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70" activeTab="3"/>
  </bookViews>
  <sheets>
    <sheet name="Exhibit 3 Tables" sheetId="49" r:id="rId1"/>
    <sheet name="Tables con't" sheetId="55" r:id="rId2"/>
    <sheet name="2014 Board Approved Proxy" sheetId="56" state="hidden" r:id="rId3"/>
    <sheet name="Summary" sheetId="11" r:id="rId4"/>
    <sheet name="Summary BCP" sheetId="50" r:id="rId5"/>
    <sheet name="Summary CND" sheetId="51" r:id="rId6"/>
    <sheet name="Purchased Power Model" sheetId="42" r:id="rId7"/>
    <sheet name="WMP pivot" sheetId="40" state="hidden" r:id="rId8"/>
    <sheet name="WMP historical data" sheetId="39" state="hidden" r:id="rId9"/>
    <sheet name="WMP Purchases" sheetId="38" state="hidden" r:id="rId10"/>
    <sheet name="Purchased Power Model WN" sheetId="52" r:id="rId11"/>
    <sheet name="Rate Class Energy Model" sheetId="9" r:id="rId12"/>
    <sheet name="Rate Class Customer Model" sheetId="17" r:id="rId13"/>
    <sheet name="Rate Class Load Model" sheetId="18" r:id="rId14"/>
    <sheet name="CDM Activity " sheetId="41" r:id="rId15"/>
    <sheet name="HDD and CDD" sheetId="27" r:id="rId16"/>
    <sheet name="Weather Analysis " sheetId="32" r:id="rId17"/>
    <sheet name="2018 COP Forecast" sheetId="53" state="hidden" r:id="rId18"/>
    <sheet name="2019 COP Forecast" sheetId="54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CAP1000" localSheetId="17">#REF!</definedName>
    <definedName name="__CAP1000" localSheetId="18">#REF!</definedName>
    <definedName name="__CAP1000" localSheetId="0">#REF!</definedName>
    <definedName name="__CAP1000" localSheetId="6">#REF!</definedName>
    <definedName name="__CAP1000" localSheetId="10">#REF!</definedName>
    <definedName name="__CAP1000" localSheetId="4">#REF!</definedName>
    <definedName name="__CAP1000" localSheetId="5">#REF!</definedName>
    <definedName name="__CAP1000">#REF!</definedName>
    <definedName name="__OP1000" localSheetId="17">#REF!</definedName>
    <definedName name="__OP1000" localSheetId="18">#REF!</definedName>
    <definedName name="__OP1000" localSheetId="0">#REF!</definedName>
    <definedName name="__OP1000" localSheetId="6">#REF!</definedName>
    <definedName name="__OP1000" localSheetId="10">#REF!</definedName>
    <definedName name="__OP1000">#REF!</definedName>
    <definedName name="_110" localSheetId="17">#REF!</definedName>
    <definedName name="_110" localSheetId="18">#REF!</definedName>
    <definedName name="_110" localSheetId="0">#REF!</definedName>
    <definedName name="_110" localSheetId="6">#REF!</definedName>
    <definedName name="_110" localSheetId="10">#REF!</definedName>
    <definedName name="_110">#REF!</definedName>
    <definedName name="_110INPT" localSheetId="17">#REF!</definedName>
    <definedName name="_110INPT" localSheetId="18">#REF!</definedName>
    <definedName name="_110INPT" localSheetId="6">#REF!</definedName>
    <definedName name="_110INPT" localSheetId="10">#REF!</definedName>
    <definedName name="_110INPT">#REF!</definedName>
    <definedName name="_115" localSheetId="17">#REF!</definedName>
    <definedName name="_115" localSheetId="18">#REF!</definedName>
    <definedName name="_115" localSheetId="6">#REF!</definedName>
    <definedName name="_115" localSheetId="10">#REF!</definedName>
    <definedName name="_115">#REF!</definedName>
    <definedName name="_115INPT" localSheetId="17">#REF!</definedName>
    <definedName name="_115INPT" localSheetId="18">#REF!</definedName>
    <definedName name="_115INPT" localSheetId="6">#REF!</definedName>
    <definedName name="_115INPT" localSheetId="10">#REF!</definedName>
    <definedName name="_115INPT">#REF!</definedName>
    <definedName name="_120" localSheetId="17">#REF!</definedName>
    <definedName name="_120" localSheetId="18">#REF!</definedName>
    <definedName name="_120" localSheetId="6">#REF!</definedName>
    <definedName name="_120" localSheetId="10">#REF!</definedName>
    <definedName name="_120">#REF!</definedName>
    <definedName name="_140" localSheetId="17">#REF!</definedName>
    <definedName name="_140" localSheetId="18">#REF!</definedName>
    <definedName name="_140" localSheetId="6">#REF!</definedName>
    <definedName name="_140" localSheetId="10">#REF!</definedName>
    <definedName name="_140">#REF!</definedName>
    <definedName name="_140INPT" localSheetId="17">#REF!</definedName>
    <definedName name="_140INPT" localSheetId="18">#REF!</definedName>
    <definedName name="_140INPT" localSheetId="6">#REF!</definedName>
    <definedName name="_140INPT" localSheetId="10">#REF!</definedName>
    <definedName name="_140INPT">#REF!</definedName>
    <definedName name="_CAP1000" localSheetId="17">#REF!</definedName>
    <definedName name="_CAP1000" localSheetId="18">#REF!</definedName>
    <definedName name="_CAP1000" localSheetId="6">#REF!</definedName>
    <definedName name="_CAP1000" localSheetId="10">#REF!</definedName>
    <definedName name="_CAP1000">#REF!</definedName>
    <definedName name="_Fill" hidden="1">'[1]Old MEA Statistics'!$B$250</definedName>
    <definedName name="_OP1000" localSheetId="17">#REF!</definedName>
    <definedName name="_OP1000" localSheetId="18">#REF!</definedName>
    <definedName name="_OP1000" localSheetId="0">#REF!</definedName>
    <definedName name="_OP1000" localSheetId="6">#REF!</definedName>
    <definedName name="_OP1000" localSheetId="10">#REF!</definedName>
    <definedName name="_OP1000" localSheetId="4">#REF!</definedName>
    <definedName name="_OP1000" localSheetId="5">#REF!</definedName>
    <definedName name="_OP1000">#REF!</definedName>
    <definedName name="_Order1" hidden="1">255</definedName>
    <definedName name="_Order2" hidden="1">0</definedName>
    <definedName name="_Sort" localSheetId="14" hidden="1">[2]Sheet1!$G$40:$K$40</definedName>
    <definedName name="_Sort" localSheetId="0" hidden="1">[3]Sheet1!$G$40:$K$40</definedName>
    <definedName name="_Sort" localSheetId="16" hidden="1">[4]Sheet1!$G$40:$K$40</definedName>
    <definedName name="_Sort" hidden="1">[5]Sheet1!$G$40:$K$40</definedName>
    <definedName name="ALL" localSheetId="17">#REF!</definedName>
    <definedName name="ALL" localSheetId="18">#REF!</definedName>
    <definedName name="ALL" localSheetId="0">#REF!</definedName>
    <definedName name="ALL" localSheetId="6">#REF!</definedName>
    <definedName name="ALL" localSheetId="10">#REF!</definedName>
    <definedName name="ALL" localSheetId="4">#REF!</definedName>
    <definedName name="ALL" localSheetId="5">#REF!</definedName>
    <definedName name="ALL">#REF!</definedName>
    <definedName name="ApprovedYr">'[6]Z1.ModelVariables'!$C$12</definedName>
    <definedName name="CAfile" localSheetId="0">[7]Refs!$B$2</definedName>
    <definedName name="CAfile">[8]Refs!$B$2</definedName>
    <definedName name="CAPCOSTS" localSheetId="17">#REF!</definedName>
    <definedName name="CAPCOSTS" localSheetId="18">#REF!</definedName>
    <definedName name="CAPCOSTS" localSheetId="0">#REF!</definedName>
    <definedName name="CAPCOSTS" localSheetId="6">#REF!</definedName>
    <definedName name="CAPCOSTS" localSheetId="10">#REF!</definedName>
    <definedName name="CAPCOSTS" localSheetId="4">#REF!</definedName>
    <definedName name="CAPCOSTS" localSheetId="5">#REF!</definedName>
    <definedName name="CAPCOSTS">#REF!</definedName>
    <definedName name="CAPITAL" localSheetId="17">#REF!</definedName>
    <definedName name="CAPITAL" localSheetId="18">#REF!</definedName>
    <definedName name="CAPITAL" localSheetId="0">#REF!</definedName>
    <definedName name="CAPITAL" localSheetId="6">#REF!</definedName>
    <definedName name="CAPITAL" localSheetId="10">#REF!</definedName>
    <definedName name="CAPITAL">#REF!</definedName>
    <definedName name="CapitalExpListing" localSheetId="17">#REF!</definedName>
    <definedName name="CapitalExpListing" localSheetId="18">#REF!</definedName>
    <definedName name="CapitalExpListing" localSheetId="0">#REF!</definedName>
    <definedName name="CapitalExpListing" localSheetId="6">#REF!</definedName>
    <definedName name="CapitalExpListing" localSheetId="10">#REF!</definedName>
    <definedName name="CapitalExpListing">#REF!</definedName>
    <definedName name="CArevReq" localSheetId="0">[7]Refs!$B$6</definedName>
    <definedName name="CArevReq">[8]Refs!$B$6</definedName>
    <definedName name="CASHFLOW" localSheetId="17">#REF!</definedName>
    <definedName name="CASHFLOW" localSheetId="18">#REF!</definedName>
    <definedName name="CASHFLOW" localSheetId="0">#REF!</definedName>
    <definedName name="CASHFLOW" localSheetId="6">#REF!</definedName>
    <definedName name="CASHFLOW" localSheetId="10">#REF!</definedName>
    <definedName name="CASHFLOW" localSheetId="4">#REF!</definedName>
    <definedName name="CASHFLOW" localSheetId="5">#REF!</definedName>
    <definedName name="CASHFLOW">#REF!</definedName>
    <definedName name="cc" localSheetId="17">#REF!</definedName>
    <definedName name="cc" localSheetId="18">#REF!</definedName>
    <definedName name="cc" localSheetId="0">#REF!</definedName>
    <definedName name="cc" localSheetId="6">#REF!</definedName>
    <definedName name="cc" localSheetId="10">#REF!</definedName>
    <definedName name="cc">#REF!</definedName>
    <definedName name="ClassRange1" localSheetId="0">[7]Refs!$B$3</definedName>
    <definedName name="ClassRange1">[8]Refs!$B$3</definedName>
    <definedName name="ClassRange2" localSheetId="0">[7]Refs!$B$4</definedName>
    <definedName name="ClassRange2">[8]Refs!$B$4</definedName>
    <definedName name="contactf" localSheetId="17">#REF!</definedName>
    <definedName name="contactf" localSheetId="18">#REF!</definedName>
    <definedName name="contactf" localSheetId="0">#REF!</definedName>
    <definedName name="contactf" localSheetId="6">#REF!</definedName>
    <definedName name="contactf" localSheetId="10">#REF!</definedName>
    <definedName name="contactf" localSheetId="4">#REF!</definedName>
    <definedName name="contactf" localSheetId="5">#REF!</definedName>
    <definedName name="contactf">#REF!</definedName>
    <definedName name="_xlnm.Criteria" localSheetId="17">#REF!</definedName>
    <definedName name="_xlnm.Criteria" localSheetId="18">#REF!</definedName>
    <definedName name="_xlnm.Criteria" localSheetId="0">#REF!</definedName>
    <definedName name="_xlnm.Criteria" localSheetId="6">#REF!</definedName>
    <definedName name="_xlnm.Criteria" localSheetId="10">#REF!</definedName>
    <definedName name="_xlnm.Criteria">#REF!</definedName>
    <definedName name="CRLF">'[6]Z1.ModelVariables'!$C$10</definedName>
    <definedName name="_xlnm.Database" localSheetId="17">#REF!</definedName>
    <definedName name="_xlnm.Database" localSheetId="18">#REF!</definedName>
    <definedName name="_xlnm.Database" localSheetId="0">#REF!</definedName>
    <definedName name="_xlnm.Database" localSheetId="6">#REF!</definedName>
    <definedName name="_xlnm.Database" localSheetId="10">#REF!</definedName>
    <definedName name="_xlnm.Database" localSheetId="4">#REF!</definedName>
    <definedName name="_xlnm.Database" localSheetId="5">#REF!</definedName>
    <definedName name="_xlnm.Database">#REF!</definedName>
    <definedName name="DaysInPreviousYear">'[9]Distribution Revenue by Source'!$B$22</definedName>
    <definedName name="DaysInYear">'[9]Distribution Revenue by Source'!$B$21</definedName>
    <definedName name="DEBTREPAY" localSheetId="17">#REF!</definedName>
    <definedName name="DEBTREPAY" localSheetId="18">#REF!</definedName>
    <definedName name="DEBTREPAY" localSheetId="0">#REF!</definedName>
    <definedName name="DEBTREPAY" localSheetId="6">#REF!</definedName>
    <definedName name="DEBTREPAY" localSheetId="10">#REF!</definedName>
    <definedName name="DEBTREPAY" localSheetId="4">#REF!</definedName>
    <definedName name="DEBTREPAY" localSheetId="5">#REF!</definedName>
    <definedName name="DEBTREPAY">#REF!</definedName>
    <definedName name="DeptDiv" localSheetId="17">#REF!</definedName>
    <definedName name="DeptDiv" localSheetId="18">#REF!</definedName>
    <definedName name="DeptDiv" localSheetId="0">#REF!</definedName>
    <definedName name="DeptDiv" localSheetId="6">#REF!</definedName>
    <definedName name="DeptDiv" localSheetId="10">#REF!</definedName>
    <definedName name="DeptDiv">#REF!</definedName>
    <definedName name="ExpenseAccountListing" localSheetId="17">#REF!</definedName>
    <definedName name="ExpenseAccountListing" localSheetId="18">#REF!</definedName>
    <definedName name="ExpenseAccountListing" localSheetId="0">#REF!</definedName>
    <definedName name="ExpenseAccountListing" localSheetId="6">#REF!</definedName>
    <definedName name="ExpenseAccountListing" localSheetId="10">#REF!</definedName>
    <definedName name="ExpenseAccountListing">#REF!</definedName>
    <definedName name="_xlnm.Extract" localSheetId="17">#REF!</definedName>
    <definedName name="_xlnm.Extract" localSheetId="18">#REF!</definedName>
    <definedName name="_xlnm.Extract" localSheetId="6">#REF!</definedName>
    <definedName name="_xlnm.Extract" localSheetId="10">#REF!</definedName>
    <definedName name="_xlnm.Extract">#REF!</definedName>
    <definedName name="FakeBlank">'[6]Z1.ModelVariables'!$C$14</definedName>
    <definedName name="FolderPath" localSheetId="0">[7]Menu!$C$8</definedName>
    <definedName name="FolderPath">[8]Menu!$C$8</definedName>
    <definedName name="histdate">[10]Financials!$E$76</definedName>
    <definedName name="Incr2000" localSheetId="17">#REF!</definedName>
    <definedName name="Incr2000" localSheetId="18">#REF!</definedName>
    <definedName name="Incr2000" localSheetId="0">#REF!</definedName>
    <definedName name="Incr2000" localSheetId="6">#REF!</definedName>
    <definedName name="Incr2000" localSheetId="10">#REF!</definedName>
    <definedName name="Incr2000" localSheetId="4">#REF!</definedName>
    <definedName name="Incr2000" localSheetId="5">#REF!</definedName>
    <definedName name="Incr2000">#REF!</definedName>
    <definedName name="INTERIM" localSheetId="17">#REF!</definedName>
    <definedName name="INTERIM" localSheetId="18">#REF!</definedName>
    <definedName name="INTERIM" localSheetId="0">#REF!</definedName>
    <definedName name="INTERIM" localSheetId="6">#REF!</definedName>
    <definedName name="INTERIM" localSheetId="10">#REF!</definedName>
    <definedName name="INTERIM">#REF!</definedName>
    <definedName name="LIMIT" localSheetId="17">#REF!</definedName>
    <definedName name="LIMIT" localSheetId="18">#REF!</definedName>
    <definedName name="LIMIT" localSheetId="0">#REF!</definedName>
    <definedName name="LIMIT" localSheetId="6">#REF!</definedName>
    <definedName name="LIMIT" localSheetId="10">#REF!</definedName>
    <definedName name="LIMIT">#REF!</definedName>
    <definedName name="man_beg_bud" localSheetId="17">#REF!</definedName>
    <definedName name="man_beg_bud" localSheetId="18">#REF!</definedName>
    <definedName name="man_beg_bud" localSheetId="6">#REF!</definedName>
    <definedName name="man_beg_bud" localSheetId="10">#REF!</definedName>
    <definedName name="man_beg_bud">#REF!</definedName>
    <definedName name="man_end_bud" localSheetId="17">#REF!</definedName>
    <definedName name="man_end_bud" localSheetId="18">#REF!</definedName>
    <definedName name="man_end_bud" localSheetId="6">#REF!</definedName>
    <definedName name="man_end_bud" localSheetId="10">#REF!</definedName>
    <definedName name="man_end_bud">#REF!</definedName>
    <definedName name="man12ACT" localSheetId="17">#REF!</definedName>
    <definedName name="man12ACT" localSheetId="18">#REF!</definedName>
    <definedName name="man12ACT" localSheetId="6">#REF!</definedName>
    <definedName name="man12ACT" localSheetId="10">#REF!</definedName>
    <definedName name="man12ACT">#REF!</definedName>
    <definedName name="MANBUD" localSheetId="17">#REF!</definedName>
    <definedName name="MANBUD" localSheetId="18">#REF!</definedName>
    <definedName name="MANBUD" localSheetId="6">#REF!</definedName>
    <definedName name="MANBUD" localSheetId="10">#REF!</definedName>
    <definedName name="MANBUD">#REF!</definedName>
    <definedName name="manCYACT" localSheetId="17">#REF!</definedName>
    <definedName name="manCYACT" localSheetId="18">#REF!</definedName>
    <definedName name="manCYACT" localSheetId="6">#REF!</definedName>
    <definedName name="manCYACT" localSheetId="10">#REF!</definedName>
    <definedName name="manCYACT">#REF!</definedName>
    <definedName name="manCYBUD" localSheetId="17">#REF!</definedName>
    <definedName name="manCYBUD" localSheetId="18">#REF!</definedName>
    <definedName name="manCYBUD" localSheetId="6">#REF!</definedName>
    <definedName name="manCYBUD" localSheetId="10">#REF!</definedName>
    <definedName name="manCYBUD">#REF!</definedName>
    <definedName name="manCYF" localSheetId="17">#REF!</definedName>
    <definedName name="manCYF" localSheetId="18">#REF!</definedName>
    <definedName name="manCYF" localSheetId="6">#REF!</definedName>
    <definedName name="manCYF" localSheetId="10">#REF!</definedName>
    <definedName name="manCYF">#REF!</definedName>
    <definedName name="MANEND" localSheetId="17">#REF!</definedName>
    <definedName name="MANEND" localSheetId="18">#REF!</definedName>
    <definedName name="MANEND" localSheetId="6">#REF!</definedName>
    <definedName name="MANEND" localSheetId="10">#REF!</definedName>
    <definedName name="MANEND">#REF!</definedName>
    <definedName name="manNYbud" localSheetId="17">#REF!</definedName>
    <definedName name="manNYbud" localSheetId="18">#REF!</definedName>
    <definedName name="manNYbud" localSheetId="6">#REF!</definedName>
    <definedName name="manNYbud" localSheetId="10">#REF!</definedName>
    <definedName name="manNYbud">#REF!</definedName>
    <definedName name="manpower_costs" localSheetId="17">#REF!</definedName>
    <definedName name="manpower_costs" localSheetId="18">#REF!</definedName>
    <definedName name="manpower_costs" localSheetId="6">#REF!</definedName>
    <definedName name="manpower_costs" localSheetId="10">#REF!</definedName>
    <definedName name="manpower_costs">#REF!</definedName>
    <definedName name="manPYACT" localSheetId="17">#REF!</definedName>
    <definedName name="manPYACT" localSheetId="18">#REF!</definedName>
    <definedName name="manPYACT" localSheetId="6">#REF!</definedName>
    <definedName name="manPYACT" localSheetId="10">#REF!</definedName>
    <definedName name="manPYACT">#REF!</definedName>
    <definedName name="MANSTART" localSheetId="17">#REF!</definedName>
    <definedName name="MANSTART" localSheetId="18">#REF!</definedName>
    <definedName name="MANSTART" localSheetId="6">#REF!</definedName>
    <definedName name="MANSTART" localSheetId="10">#REF!</definedName>
    <definedName name="MANSTART">#REF!</definedName>
    <definedName name="mat_beg_bud" localSheetId="17">#REF!</definedName>
    <definedName name="mat_beg_bud" localSheetId="18">#REF!</definedName>
    <definedName name="mat_beg_bud" localSheetId="6">#REF!</definedName>
    <definedName name="mat_beg_bud" localSheetId="10">#REF!</definedName>
    <definedName name="mat_beg_bud">#REF!</definedName>
    <definedName name="mat_end_bud" localSheetId="17">#REF!</definedName>
    <definedName name="mat_end_bud" localSheetId="18">#REF!</definedName>
    <definedName name="mat_end_bud" localSheetId="6">#REF!</definedName>
    <definedName name="mat_end_bud" localSheetId="10">#REF!</definedName>
    <definedName name="mat_end_bud">#REF!</definedName>
    <definedName name="mat12ACT" localSheetId="17">#REF!</definedName>
    <definedName name="mat12ACT" localSheetId="18">#REF!</definedName>
    <definedName name="mat12ACT" localSheetId="6">#REF!</definedName>
    <definedName name="mat12ACT" localSheetId="10">#REF!</definedName>
    <definedName name="mat12ACT">#REF!</definedName>
    <definedName name="MATBUD" localSheetId="17">#REF!</definedName>
    <definedName name="MATBUD" localSheetId="18">#REF!</definedName>
    <definedName name="MATBUD" localSheetId="6">#REF!</definedName>
    <definedName name="MATBUD" localSheetId="10">#REF!</definedName>
    <definedName name="MATBUD">#REF!</definedName>
    <definedName name="matCYACT" localSheetId="17">#REF!</definedName>
    <definedName name="matCYACT" localSheetId="18">#REF!</definedName>
    <definedName name="matCYACT" localSheetId="6">#REF!</definedName>
    <definedName name="matCYACT" localSheetId="10">#REF!</definedName>
    <definedName name="matCYACT">#REF!</definedName>
    <definedName name="matCYBUD" localSheetId="17">#REF!</definedName>
    <definedName name="matCYBUD" localSheetId="18">#REF!</definedName>
    <definedName name="matCYBUD" localSheetId="6">#REF!</definedName>
    <definedName name="matCYBUD" localSheetId="10">#REF!</definedName>
    <definedName name="matCYBUD">#REF!</definedName>
    <definedName name="matCYF" localSheetId="17">#REF!</definedName>
    <definedName name="matCYF" localSheetId="18">#REF!</definedName>
    <definedName name="matCYF" localSheetId="6">#REF!</definedName>
    <definedName name="matCYF" localSheetId="10">#REF!</definedName>
    <definedName name="matCYF">#REF!</definedName>
    <definedName name="MATEND" localSheetId="17">#REF!</definedName>
    <definedName name="MATEND" localSheetId="18">#REF!</definedName>
    <definedName name="MATEND" localSheetId="6">#REF!</definedName>
    <definedName name="MATEND" localSheetId="10">#REF!</definedName>
    <definedName name="MATEND">#REF!</definedName>
    <definedName name="material_costs" localSheetId="17">#REF!</definedName>
    <definedName name="material_costs" localSheetId="18">#REF!</definedName>
    <definedName name="material_costs" localSheetId="6">#REF!</definedName>
    <definedName name="material_costs" localSheetId="10">#REF!</definedName>
    <definedName name="material_costs">#REF!</definedName>
    <definedName name="matNYbud" localSheetId="17">#REF!</definedName>
    <definedName name="matNYbud" localSheetId="18">#REF!</definedName>
    <definedName name="matNYbud" localSheetId="6">#REF!</definedName>
    <definedName name="matNYbud" localSheetId="10">#REF!</definedName>
    <definedName name="matNYbud">#REF!</definedName>
    <definedName name="matPYACT" localSheetId="17">#REF!</definedName>
    <definedName name="matPYACT" localSheetId="18">#REF!</definedName>
    <definedName name="matPYACT" localSheetId="6">#REF!</definedName>
    <definedName name="matPYACT" localSheetId="10">#REF!</definedName>
    <definedName name="matPYACT">#REF!</definedName>
    <definedName name="MATSTART" localSheetId="17">#REF!</definedName>
    <definedName name="MATSTART" localSheetId="18">#REF!</definedName>
    <definedName name="MATSTART" localSheetId="6">#REF!</definedName>
    <definedName name="MATSTART" localSheetId="10">#REF!</definedName>
    <definedName name="MATSTART">#REF!</definedName>
    <definedName name="mea" localSheetId="17">#REF!</definedName>
    <definedName name="mea" localSheetId="18">#REF!</definedName>
    <definedName name="mea" localSheetId="6">#REF!</definedName>
    <definedName name="mea" localSheetId="10">#REF!</definedName>
    <definedName name="mea">#REF!</definedName>
    <definedName name="MEABAL" localSheetId="17">#REF!</definedName>
    <definedName name="MEABAL" localSheetId="18">#REF!</definedName>
    <definedName name="MEABAL" localSheetId="6">#REF!</definedName>
    <definedName name="MEABAL" localSheetId="10">#REF!</definedName>
    <definedName name="MEABAL">#REF!</definedName>
    <definedName name="MEACASH" localSheetId="17">#REF!</definedName>
    <definedName name="MEACASH" localSheetId="18">#REF!</definedName>
    <definedName name="MEACASH" localSheetId="6">#REF!</definedName>
    <definedName name="MEACASH" localSheetId="10">#REF!</definedName>
    <definedName name="MEACASH">#REF!</definedName>
    <definedName name="MEAEQITY" localSheetId="17">#REF!</definedName>
    <definedName name="MEAEQITY" localSheetId="18">#REF!</definedName>
    <definedName name="MEAEQITY" localSheetId="6">#REF!</definedName>
    <definedName name="MEAEQITY" localSheetId="10">#REF!</definedName>
    <definedName name="MEAEQITY">#REF!</definedName>
    <definedName name="MEAOP" localSheetId="17">#REF!</definedName>
    <definedName name="MEAOP" localSheetId="18">#REF!</definedName>
    <definedName name="MEAOP" localSheetId="6">#REF!</definedName>
    <definedName name="MEAOP" localSheetId="10">#REF!</definedName>
    <definedName name="MEAOP">#REF!</definedName>
    <definedName name="MofF" localSheetId="17">#REF!</definedName>
    <definedName name="MofF" localSheetId="18">#REF!</definedName>
    <definedName name="MofF" localSheetId="6">#REF!</definedName>
    <definedName name="MofF" localSheetId="10">#REF!</definedName>
    <definedName name="MofF">#REF!</definedName>
    <definedName name="NewRevReq" localSheetId="0">[7]Refs!$B$8</definedName>
    <definedName name="NewRevReq">[8]Refs!$B$8</definedName>
    <definedName name="NOTES" localSheetId="17">#REF!</definedName>
    <definedName name="NOTES" localSheetId="18">#REF!</definedName>
    <definedName name="NOTES" localSheetId="0">#REF!</definedName>
    <definedName name="NOTES" localSheetId="6">#REF!</definedName>
    <definedName name="NOTES" localSheetId="10">#REF!</definedName>
    <definedName name="NOTES" localSheetId="4">#REF!</definedName>
    <definedName name="NOTES" localSheetId="5">#REF!</definedName>
    <definedName name="NOTES">#REF!</definedName>
    <definedName name="OPERATING" localSheetId="17">#REF!</definedName>
    <definedName name="OPERATING" localSheetId="18">#REF!</definedName>
    <definedName name="OPERATING" localSheetId="0">#REF!</definedName>
    <definedName name="OPERATING" localSheetId="6">#REF!</definedName>
    <definedName name="OPERATING" localSheetId="10">#REF!</definedName>
    <definedName name="OPERATING">#REF!</definedName>
    <definedName name="oth_beg_bud" localSheetId="17">#REF!</definedName>
    <definedName name="oth_beg_bud" localSheetId="18">#REF!</definedName>
    <definedName name="oth_beg_bud" localSheetId="0">#REF!</definedName>
    <definedName name="oth_beg_bud" localSheetId="6">#REF!</definedName>
    <definedName name="oth_beg_bud" localSheetId="10">#REF!</definedName>
    <definedName name="oth_beg_bud">#REF!</definedName>
    <definedName name="oth_end_bud" localSheetId="17">#REF!</definedName>
    <definedName name="oth_end_bud" localSheetId="18">#REF!</definedName>
    <definedName name="oth_end_bud" localSheetId="6">#REF!</definedName>
    <definedName name="oth_end_bud" localSheetId="10">#REF!</definedName>
    <definedName name="oth_end_bud">#REF!</definedName>
    <definedName name="oth12ACT" localSheetId="17">#REF!</definedName>
    <definedName name="oth12ACT" localSheetId="18">#REF!</definedName>
    <definedName name="oth12ACT" localSheetId="6">#REF!</definedName>
    <definedName name="oth12ACT" localSheetId="10">#REF!</definedName>
    <definedName name="oth12ACT">#REF!</definedName>
    <definedName name="othCYACT" localSheetId="17">#REF!</definedName>
    <definedName name="othCYACT" localSheetId="18">#REF!</definedName>
    <definedName name="othCYACT" localSheetId="6">#REF!</definedName>
    <definedName name="othCYACT" localSheetId="10">#REF!</definedName>
    <definedName name="othCYACT">#REF!</definedName>
    <definedName name="othCYBUD" localSheetId="17">#REF!</definedName>
    <definedName name="othCYBUD" localSheetId="18">#REF!</definedName>
    <definedName name="othCYBUD" localSheetId="6">#REF!</definedName>
    <definedName name="othCYBUD" localSheetId="10">#REF!</definedName>
    <definedName name="othCYBUD">#REF!</definedName>
    <definedName name="othCYF" localSheetId="17">#REF!</definedName>
    <definedName name="othCYF" localSheetId="18">#REF!</definedName>
    <definedName name="othCYF" localSheetId="6">#REF!</definedName>
    <definedName name="othCYF" localSheetId="10">#REF!</definedName>
    <definedName name="othCYF">#REF!</definedName>
    <definedName name="OTHEND" localSheetId="17">#REF!</definedName>
    <definedName name="OTHEND" localSheetId="18">#REF!</definedName>
    <definedName name="OTHEND" localSheetId="6">#REF!</definedName>
    <definedName name="OTHEND" localSheetId="10">#REF!</definedName>
    <definedName name="OTHEND">#REF!</definedName>
    <definedName name="other_costs" localSheetId="17">#REF!</definedName>
    <definedName name="other_costs" localSheetId="18">#REF!</definedName>
    <definedName name="other_costs" localSheetId="6">#REF!</definedName>
    <definedName name="other_costs" localSheetId="10">#REF!</definedName>
    <definedName name="other_costs">#REF!</definedName>
    <definedName name="OTHERBUD" localSheetId="17">#REF!</definedName>
    <definedName name="OTHERBUD" localSheetId="18">#REF!</definedName>
    <definedName name="OTHERBUD" localSheetId="6">#REF!</definedName>
    <definedName name="OTHERBUD" localSheetId="10">#REF!</definedName>
    <definedName name="OTHERBUD">#REF!</definedName>
    <definedName name="othNYbud" localSheetId="17">#REF!</definedName>
    <definedName name="othNYbud" localSheetId="18">#REF!</definedName>
    <definedName name="othNYbud" localSheetId="6">#REF!</definedName>
    <definedName name="othNYbud" localSheetId="10">#REF!</definedName>
    <definedName name="othNYbud">#REF!</definedName>
    <definedName name="othPYACT" localSheetId="17">#REF!</definedName>
    <definedName name="othPYACT" localSheetId="18">#REF!</definedName>
    <definedName name="othPYACT" localSheetId="6">#REF!</definedName>
    <definedName name="othPYACT" localSheetId="10">#REF!</definedName>
    <definedName name="othPYACT">#REF!</definedName>
    <definedName name="OTHSTART" localSheetId="17">#REF!</definedName>
    <definedName name="OTHSTART" localSheetId="18">#REF!</definedName>
    <definedName name="OTHSTART" localSheetId="6">#REF!</definedName>
    <definedName name="OTHSTART" localSheetId="10">#REF!</definedName>
    <definedName name="OTHSTART">#REF!</definedName>
    <definedName name="PAGE11" localSheetId="17">#REF!</definedName>
    <definedName name="PAGE11" localSheetId="18">#REF!</definedName>
    <definedName name="PAGE11" localSheetId="14">#REF!</definedName>
    <definedName name="PAGE11" localSheetId="0">#REF!</definedName>
    <definedName name="PAGE11" localSheetId="6">#REF!</definedName>
    <definedName name="PAGE11" localSheetId="10">#REF!</definedName>
    <definedName name="PAGE11" localSheetId="16">#REF!</definedName>
    <definedName name="PAGE11">#REF!</definedName>
    <definedName name="PAGE2" localSheetId="14">[2]Sheet1!$A$1:$I$40</definedName>
    <definedName name="PAGE2" localSheetId="0">[3]Sheet1!$A$1:$I$40</definedName>
    <definedName name="PAGE2" localSheetId="16">[4]Sheet1!$A$1:$I$40</definedName>
    <definedName name="PAGE2">[5]Sheet1!$A$1:$I$40</definedName>
    <definedName name="PAGE3" localSheetId="17">#REF!</definedName>
    <definedName name="PAGE3" localSheetId="18">#REF!</definedName>
    <definedName name="PAGE3" localSheetId="14">#REF!</definedName>
    <definedName name="PAGE3" localSheetId="0">#REF!</definedName>
    <definedName name="PAGE3" localSheetId="6">#REF!</definedName>
    <definedName name="PAGE3" localSheetId="10">#REF!</definedName>
    <definedName name="PAGE3" localSheetId="4">#REF!</definedName>
    <definedName name="PAGE3" localSheetId="5">#REF!</definedName>
    <definedName name="PAGE3" localSheetId="16">#REF!</definedName>
    <definedName name="PAGE3">#REF!</definedName>
    <definedName name="PAGE4" localSheetId="17">#REF!</definedName>
    <definedName name="PAGE4" localSheetId="18">#REF!</definedName>
    <definedName name="PAGE4" localSheetId="14">#REF!</definedName>
    <definedName name="PAGE4" localSheetId="0">#REF!</definedName>
    <definedName name="PAGE4" localSheetId="6">#REF!</definedName>
    <definedName name="PAGE4" localSheetId="10">#REF!</definedName>
    <definedName name="PAGE4" localSheetId="16">#REF!</definedName>
    <definedName name="PAGE4">#REF!</definedName>
    <definedName name="PAGE7" localSheetId="17">#REF!</definedName>
    <definedName name="PAGE7" localSheetId="18">#REF!</definedName>
    <definedName name="PAGE7" localSheetId="14">#REF!</definedName>
    <definedName name="PAGE7" localSheetId="0">#REF!</definedName>
    <definedName name="PAGE7" localSheetId="6">#REF!</definedName>
    <definedName name="PAGE7" localSheetId="10">#REF!</definedName>
    <definedName name="PAGE7" localSheetId="16">#REF!</definedName>
    <definedName name="PAGE7">#REF!</definedName>
    <definedName name="PAGE9" localSheetId="17">#REF!</definedName>
    <definedName name="PAGE9" localSheetId="18">#REF!</definedName>
    <definedName name="PAGE9" localSheetId="14">#REF!</definedName>
    <definedName name="PAGE9" localSheetId="0">#REF!</definedName>
    <definedName name="PAGE9" localSheetId="6">#REF!</definedName>
    <definedName name="PAGE9" localSheetId="10">#REF!</definedName>
    <definedName name="PAGE9" localSheetId="16">#REF!</definedName>
    <definedName name="PAGE9">#REF!</definedName>
    <definedName name="PageOne" localSheetId="17">#REF!</definedName>
    <definedName name="PageOne" localSheetId="18">#REF!</definedName>
    <definedName name="PageOne" localSheetId="6">#REF!</definedName>
    <definedName name="PageOne" localSheetId="10">#REF!</definedName>
    <definedName name="PageOne">#REF!</definedName>
    <definedName name="PR" localSheetId="17">#REF!</definedName>
    <definedName name="PR" localSheetId="18">#REF!</definedName>
    <definedName name="PR" localSheetId="6">#REF!</definedName>
    <definedName name="PR" localSheetId="10">#REF!</definedName>
    <definedName name="PR">#REF!</definedName>
    <definedName name="_xlnm.Print_Area" localSheetId="14">'CDM Activity '!$A$1:$T$80</definedName>
    <definedName name="_xlnm.Print_Area" localSheetId="6">'Purchased Power Model'!$A$1:$U$168</definedName>
    <definedName name="_xlnm.Print_Area" localSheetId="10">'Purchased Power Model WN'!$A$1:$T$181</definedName>
    <definedName name="_xlnm.Print_Area" localSheetId="12">'Rate Class Customer Model'!$A$1:$N$40</definedName>
    <definedName name="_xlnm.Print_Area" localSheetId="11">'Rate Class Energy Model'!$G$82:$T$86</definedName>
    <definedName name="_xlnm.Print_Area" localSheetId="13">'Rate Class Load Model'!$A$1:$K$46</definedName>
    <definedName name="_xlnm.Print_Area" localSheetId="3">Summary!$A$3:$K$84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6">#REF!</definedName>
    <definedName name="Print_Area_MI" localSheetId="10">#REF!</definedName>
    <definedName name="Print_Area_MI" localSheetId="4">#REF!</definedName>
    <definedName name="Print_Area_MI" localSheetId="5">#REF!</definedName>
    <definedName name="Print_Area_MI">#REF!</definedName>
    <definedName name="print_end" localSheetId="17">#REF!</definedName>
    <definedName name="print_end" localSheetId="18">#REF!</definedName>
    <definedName name="print_end" localSheetId="0">#REF!</definedName>
    <definedName name="print_end" localSheetId="6">#REF!</definedName>
    <definedName name="print_end" localSheetId="10">#REF!</definedName>
    <definedName name="print_end">#REF!</definedName>
    <definedName name="_xlnm.Print_Titles" localSheetId="6">'Purchased Power Model'!$A:$U,'Purchased Power Model'!$1:$2</definedName>
    <definedName name="_xlnm.Print_Titles" localSheetId="10">'Purchased Power Model WN'!$A:$T,'Purchased Power Model WN'!$1:$2</definedName>
    <definedName name="PRIOR" localSheetId="17">#REF!</definedName>
    <definedName name="PRIOR" localSheetId="18">#REF!</definedName>
    <definedName name="PRIOR" localSheetId="0">#REF!</definedName>
    <definedName name="PRIOR" localSheetId="6">#REF!</definedName>
    <definedName name="PRIOR" localSheetId="10">#REF!</definedName>
    <definedName name="PRIOR" localSheetId="4">#REF!</definedName>
    <definedName name="PRIOR" localSheetId="5">#REF!</definedName>
    <definedName name="PRIOR">#REF!</definedName>
    <definedName name="Ratebase">'[9]Distribution Revenue by Source'!$C$25</definedName>
    <definedName name="RevReqLookupKey" localSheetId="0">[7]Refs!$B$5</definedName>
    <definedName name="RevReqLookupKey">[8]Refs!$B$5</definedName>
    <definedName name="RevReqRange" localSheetId="0">[7]Refs!$B$7</definedName>
    <definedName name="RevReqRange">[8]Refs!$B$7</definedName>
    <definedName name="RVCASHPR" localSheetId="17">#REF!</definedName>
    <definedName name="RVCASHPR" localSheetId="18">#REF!</definedName>
    <definedName name="RVCASHPR" localSheetId="0">#REF!</definedName>
    <definedName name="RVCASHPR" localSheetId="6">#REF!</definedName>
    <definedName name="RVCASHPR" localSheetId="10">#REF!</definedName>
    <definedName name="RVCASHPR" localSheetId="4">#REF!</definedName>
    <definedName name="RVCASHPR" localSheetId="5">#REF!</definedName>
    <definedName name="RVCASHPR">#REF!</definedName>
    <definedName name="SALBENF" localSheetId="17">#REF!</definedName>
    <definedName name="SALBENF" localSheetId="18">#REF!</definedName>
    <definedName name="SALBENF" localSheetId="0">#REF!</definedName>
    <definedName name="SALBENF" localSheetId="6">#REF!</definedName>
    <definedName name="SALBENF" localSheetId="10">#REF!</definedName>
    <definedName name="SALBENF">#REF!</definedName>
    <definedName name="salreg" localSheetId="17">#REF!</definedName>
    <definedName name="salreg" localSheetId="18">#REF!</definedName>
    <definedName name="salreg" localSheetId="0">#REF!</definedName>
    <definedName name="salreg" localSheetId="6">#REF!</definedName>
    <definedName name="salreg" localSheetId="10">#REF!</definedName>
    <definedName name="salreg">#REF!</definedName>
    <definedName name="SALREGF" localSheetId="17">#REF!</definedName>
    <definedName name="SALREGF" localSheetId="18">#REF!</definedName>
    <definedName name="SALREGF" localSheetId="6">#REF!</definedName>
    <definedName name="SALREGF" localSheetId="10">#REF!</definedName>
    <definedName name="SALREGF">#REF!</definedName>
    <definedName name="SOURCEAPP" localSheetId="17">#REF!</definedName>
    <definedName name="SOURCEAPP" localSheetId="18">#REF!</definedName>
    <definedName name="SOURCEAPP" localSheetId="6">#REF!</definedName>
    <definedName name="SOURCEAPP" localSheetId="10">#REF!</definedName>
    <definedName name="SOURCEAPP">#REF!</definedName>
    <definedName name="STATS1" localSheetId="17">#REF!</definedName>
    <definedName name="STATS1" localSheetId="18">#REF!</definedName>
    <definedName name="STATS1" localSheetId="6">#REF!</definedName>
    <definedName name="STATS1" localSheetId="10">#REF!</definedName>
    <definedName name="STATS1">#REF!</definedName>
    <definedName name="STATS2" localSheetId="17">#REF!</definedName>
    <definedName name="STATS2" localSheetId="18">#REF!</definedName>
    <definedName name="STATS2" localSheetId="6">#REF!</definedName>
    <definedName name="STATS2" localSheetId="10">#REF!</definedName>
    <definedName name="STATS2">#REF!</definedName>
    <definedName name="Surtax" localSheetId="17">#REF!</definedName>
    <definedName name="Surtax" localSheetId="18">#REF!</definedName>
    <definedName name="Surtax" localSheetId="6">#REF!</definedName>
    <definedName name="Surtax" localSheetId="10">#REF!</definedName>
    <definedName name="Surtax">#REF!</definedName>
    <definedName name="TEMPA" localSheetId="17">#REF!</definedName>
    <definedName name="TEMPA" localSheetId="18">#REF!</definedName>
    <definedName name="TEMPA" localSheetId="6">#REF!</definedName>
    <definedName name="TEMPA" localSheetId="10">#REF!</definedName>
    <definedName name="TEMPA">#REF!</definedName>
    <definedName name="TestYr">'[6]A1.Admin'!$C$13</definedName>
    <definedName name="TestYrPL">'[11]Revenue Requirement'!$B$10</definedName>
    <definedName name="total_dept" localSheetId="17">#REF!</definedName>
    <definedName name="total_dept" localSheetId="18">#REF!</definedName>
    <definedName name="total_dept" localSheetId="0">#REF!</definedName>
    <definedName name="total_dept" localSheetId="6">#REF!</definedName>
    <definedName name="total_dept" localSheetId="10">#REF!</definedName>
    <definedName name="total_dept" localSheetId="4">#REF!</definedName>
    <definedName name="total_dept" localSheetId="5">#REF!</definedName>
    <definedName name="total_dept">#REF!</definedName>
    <definedName name="total_manpower" localSheetId="17">#REF!</definedName>
    <definedName name="total_manpower" localSheetId="18">#REF!</definedName>
    <definedName name="total_manpower" localSheetId="0">#REF!</definedName>
    <definedName name="total_manpower" localSheetId="6">#REF!</definedName>
    <definedName name="total_manpower" localSheetId="10">#REF!</definedName>
    <definedName name="total_manpower">#REF!</definedName>
    <definedName name="total_material" localSheetId="17">#REF!</definedName>
    <definedName name="total_material" localSheetId="18">#REF!</definedName>
    <definedName name="total_material" localSheetId="0">#REF!</definedName>
    <definedName name="total_material" localSheetId="6">#REF!</definedName>
    <definedName name="total_material" localSheetId="10">#REF!</definedName>
    <definedName name="total_material">#REF!</definedName>
    <definedName name="total_other" localSheetId="17">#REF!</definedName>
    <definedName name="total_other" localSheetId="18">#REF!</definedName>
    <definedName name="total_other" localSheetId="6">#REF!</definedName>
    <definedName name="total_other" localSheetId="10">#REF!</definedName>
    <definedName name="total_other">#REF!</definedName>
    <definedName name="total_transportation" localSheetId="17">#REF!</definedName>
    <definedName name="total_transportation" localSheetId="18">#REF!</definedName>
    <definedName name="total_transportation" localSheetId="6">#REF!</definedName>
    <definedName name="total_transportation" localSheetId="10">#REF!</definedName>
    <definedName name="total_transportation">#REF!</definedName>
    <definedName name="TOTCAPADDITIONS" localSheetId="17">#REF!</definedName>
    <definedName name="TOTCAPADDITIONS" localSheetId="18">#REF!</definedName>
    <definedName name="TOTCAPADDITIONS" localSheetId="6">#REF!</definedName>
    <definedName name="TOTCAPADDITIONS" localSheetId="10">#REF!</definedName>
    <definedName name="TOTCAPADDITIONS">#REF!</definedName>
    <definedName name="TRANBUD" localSheetId="17">#REF!</definedName>
    <definedName name="TRANBUD" localSheetId="18">#REF!</definedName>
    <definedName name="TRANBUD" localSheetId="6">#REF!</definedName>
    <definedName name="TRANBUD" localSheetId="10">#REF!</definedName>
    <definedName name="TRANBUD">#REF!</definedName>
    <definedName name="TRANEND" localSheetId="17">#REF!</definedName>
    <definedName name="TRANEND" localSheetId="18">#REF!</definedName>
    <definedName name="TRANEND" localSheetId="6">#REF!</definedName>
    <definedName name="TRANEND" localSheetId="10">#REF!</definedName>
    <definedName name="TRANEND">#REF!</definedName>
    <definedName name="TRANSCAP" localSheetId="17">#REF!</definedName>
    <definedName name="TRANSCAP" localSheetId="18">#REF!</definedName>
    <definedName name="TRANSCAP" localSheetId="6">#REF!</definedName>
    <definedName name="TRANSCAP" localSheetId="10">#REF!</definedName>
    <definedName name="TRANSCAP">#REF!</definedName>
    <definedName name="TRANSFER" localSheetId="17">#REF!</definedName>
    <definedName name="TRANSFER" localSheetId="18">#REF!</definedName>
    <definedName name="TRANSFER" localSheetId="6">#REF!</definedName>
    <definedName name="TRANSFER" localSheetId="10">#REF!</definedName>
    <definedName name="TRANSFER">#REF!</definedName>
    <definedName name="transportation_costs" localSheetId="17">#REF!</definedName>
    <definedName name="transportation_costs" localSheetId="18">#REF!</definedName>
    <definedName name="transportation_costs" localSheetId="6">#REF!</definedName>
    <definedName name="transportation_costs" localSheetId="10">#REF!</definedName>
    <definedName name="transportation_costs">#REF!</definedName>
    <definedName name="TRANSTART" localSheetId="17">#REF!</definedName>
    <definedName name="TRANSTART" localSheetId="18">#REF!</definedName>
    <definedName name="TRANSTART" localSheetId="6">#REF!</definedName>
    <definedName name="TRANSTART" localSheetId="10">#REF!</definedName>
    <definedName name="TRANSTART">#REF!</definedName>
    <definedName name="trn_beg_bud" localSheetId="17">#REF!</definedName>
    <definedName name="trn_beg_bud" localSheetId="18">#REF!</definedName>
    <definedName name="trn_beg_bud" localSheetId="6">#REF!</definedName>
    <definedName name="trn_beg_bud" localSheetId="10">#REF!</definedName>
    <definedName name="trn_beg_bud">#REF!</definedName>
    <definedName name="trn_end_bud" localSheetId="17">#REF!</definedName>
    <definedName name="trn_end_bud" localSheetId="18">#REF!</definedName>
    <definedName name="trn_end_bud" localSheetId="6">#REF!</definedName>
    <definedName name="trn_end_bud" localSheetId="10">#REF!</definedName>
    <definedName name="trn_end_bud">#REF!</definedName>
    <definedName name="trn12ACT" localSheetId="17">#REF!</definedName>
    <definedName name="trn12ACT" localSheetId="18">#REF!</definedName>
    <definedName name="trn12ACT" localSheetId="6">#REF!</definedName>
    <definedName name="trn12ACT" localSheetId="10">#REF!</definedName>
    <definedName name="trn12ACT">#REF!</definedName>
    <definedName name="trnCYACT" localSheetId="17">#REF!</definedName>
    <definedName name="trnCYACT" localSheetId="18">#REF!</definedName>
    <definedName name="trnCYACT" localSheetId="6">#REF!</definedName>
    <definedName name="trnCYACT" localSheetId="10">#REF!</definedName>
    <definedName name="trnCYACT">#REF!</definedName>
    <definedName name="trnCYBUD" localSheetId="17">#REF!</definedName>
    <definedName name="trnCYBUD" localSheetId="18">#REF!</definedName>
    <definedName name="trnCYBUD" localSheetId="6">#REF!</definedName>
    <definedName name="trnCYBUD" localSheetId="10">#REF!</definedName>
    <definedName name="trnCYBUD">#REF!</definedName>
    <definedName name="trnCYF" localSheetId="17">#REF!</definedName>
    <definedName name="trnCYF" localSheetId="18">#REF!</definedName>
    <definedName name="trnCYF" localSheetId="6">#REF!</definedName>
    <definedName name="trnCYF" localSheetId="10">#REF!</definedName>
    <definedName name="trnCYF">#REF!</definedName>
    <definedName name="trnNYbud" localSheetId="17">#REF!</definedName>
    <definedName name="trnNYbud" localSheetId="18">#REF!</definedName>
    <definedName name="trnNYbud" localSheetId="6">#REF!</definedName>
    <definedName name="trnNYbud" localSheetId="10">#REF!</definedName>
    <definedName name="trnNYbud">#REF!</definedName>
    <definedName name="trnPYACT" localSheetId="17">#REF!</definedName>
    <definedName name="trnPYACT" localSheetId="18">#REF!</definedName>
    <definedName name="trnPYACT" localSheetId="6">#REF!</definedName>
    <definedName name="trnPYACT" localSheetId="10">#REF!</definedName>
    <definedName name="trnPYACT">#REF!</definedName>
    <definedName name="Utility">[10]Financials!$A$1</definedName>
    <definedName name="utitliy1">[12]Financials!$A$1</definedName>
    <definedName name="WAGBENF" localSheetId="17">#REF!</definedName>
    <definedName name="WAGBENF" localSheetId="18">#REF!</definedName>
    <definedName name="WAGBENF" localSheetId="0">#REF!</definedName>
    <definedName name="WAGBENF" localSheetId="6">#REF!</definedName>
    <definedName name="WAGBENF" localSheetId="10">#REF!</definedName>
    <definedName name="WAGBENF" localSheetId="4">#REF!</definedName>
    <definedName name="WAGBENF" localSheetId="5">#REF!</definedName>
    <definedName name="WAGBENF">#REF!</definedName>
    <definedName name="wagdob" localSheetId="17">#REF!</definedName>
    <definedName name="wagdob" localSheetId="18">#REF!</definedName>
    <definedName name="wagdob" localSheetId="0">#REF!</definedName>
    <definedName name="wagdob" localSheetId="6">#REF!</definedName>
    <definedName name="wagdob" localSheetId="10">#REF!</definedName>
    <definedName name="wagdob">#REF!</definedName>
    <definedName name="wagdobf" localSheetId="17">#REF!</definedName>
    <definedName name="wagdobf" localSheetId="18">#REF!</definedName>
    <definedName name="wagdobf" localSheetId="0">#REF!</definedName>
    <definedName name="wagdobf" localSheetId="6">#REF!</definedName>
    <definedName name="wagdobf" localSheetId="10">#REF!</definedName>
    <definedName name="wagdobf">#REF!</definedName>
    <definedName name="wagreg" localSheetId="17">#REF!</definedName>
    <definedName name="wagreg" localSheetId="18">#REF!</definedName>
    <definedName name="wagreg" localSheetId="6">#REF!</definedName>
    <definedName name="wagreg" localSheetId="10">#REF!</definedName>
    <definedName name="wagreg">#REF!</definedName>
    <definedName name="wagregf" localSheetId="17">#REF!</definedName>
    <definedName name="wagregf" localSheetId="18">#REF!</definedName>
    <definedName name="wagregf" localSheetId="6">#REF!</definedName>
    <definedName name="wagregf" localSheetId="10">#REF!</definedName>
    <definedName name="wagregf">#REF!</definedName>
  </definedNames>
  <calcPr calcId="152511"/>
  <pivotCaches>
    <pivotCache cacheId="0" r:id="rId32"/>
  </pivotCaches>
</workbook>
</file>

<file path=xl/calcChain.xml><?xml version="1.0" encoding="utf-8"?>
<calcChain xmlns="http://schemas.openxmlformats.org/spreadsheetml/2006/main">
  <c r="H240" i="49" l="1"/>
  <c r="H241" i="49"/>
  <c r="G239" i="49"/>
  <c r="G240" i="49"/>
  <c r="G241" i="49"/>
  <c r="F238" i="49"/>
  <c r="F239" i="49"/>
  <c r="F240" i="49"/>
  <c r="F241" i="49"/>
  <c r="S4" i="42" l="1"/>
  <c r="S5" i="42"/>
  <c r="S6" i="42"/>
  <c r="S7" i="42"/>
  <c r="S8" i="42"/>
  <c r="S9" i="42"/>
  <c r="S10" i="42"/>
  <c r="S11" i="42"/>
  <c r="S12" i="42"/>
  <c r="S13" i="42"/>
  <c r="S14" i="42"/>
  <c r="S15" i="42"/>
  <c r="S16" i="42"/>
  <c r="S17" i="42"/>
  <c r="S18" i="42"/>
  <c r="S19" i="42"/>
  <c r="S20" i="42"/>
  <c r="S21" i="42"/>
  <c r="S22" i="42"/>
  <c r="S23" i="42"/>
  <c r="S24" i="42"/>
  <c r="S25" i="42"/>
  <c r="S26" i="42"/>
  <c r="S27" i="42"/>
  <c r="S28" i="42"/>
  <c r="S29" i="42"/>
  <c r="S30" i="42"/>
  <c r="S31" i="42"/>
  <c r="S32" i="42"/>
  <c r="S33" i="42"/>
  <c r="S34" i="42"/>
  <c r="S35" i="42"/>
  <c r="S36" i="42"/>
  <c r="S37" i="42"/>
  <c r="S38" i="42"/>
  <c r="S39" i="42"/>
  <c r="S40" i="42"/>
  <c r="S41" i="42"/>
  <c r="S42" i="42"/>
  <c r="S43" i="42"/>
  <c r="S44" i="42"/>
  <c r="S45" i="42"/>
  <c r="S46" i="42"/>
  <c r="S47" i="42"/>
  <c r="S48" i="42"/>
  <c r="S49" i="42"/>
  <c r="S50" i="42"/>
  <c r="S51" i="42"/>
  <c r="S52" i="42"/>
  <c r="S53" i="42"/>
  <c r="S54" i="42"/>
  <c r="S55" i="42"/>
  <c r="S56" i="42"/>
  <c r="S57" i="42"/>
  <c r="S58" i="42"/>
  <c r="S59" i="42"/>
  <c r="S60" i="42"/>
  <c r="S61" i="42"/>
  <c r="S62" i="42"/>
  <c r="S63" i="42"/>
  <c r="S64" i="42"/>
  <c r="S65" i="42"/>
  <c r="S66" i="42"/>
  <c r="S67" i="42"/>
  <c r="S68" i="42"/>
  <c r="S69" i="42"/>
  <c r="S70" i="42"/>
  <c r="S71" i="42"/>
  <c r="S72" i="42"/>
  <c r="S73" i="42"/>
  <c r="S74" i="42"/>
  <c r="S75" i="42"/>
  <c r="S76" i="42"/>
  <c r="S77" i="42"/>
  <c r="S78" i="42"/>
  <c r="S79" i="42"/>
  <c r="S80" i="42"/>
  <c r="S81" i="42"/>
  <c r="S82" i="42"/>
  <c r="S83" i="42"/>
  <c r="S84" i="42"/>
  <c r="S85" i="42"/>
  <c r="S86" i="42"/>
  <c r="S87" i="42"/>
  <c r="S88" i="42"/>
  <c r="S89" i="42"/>
  <c r="S90" i="42"/>
  <c r="S91" i="42"/>
  <c r="S92" i="42"/>
  <c r="S93" i="42"/>
  <c r="S94" i="42"/>
  <c r="S95" i="42"/>
  <c r="S96" i="42"/>
  <c r="S97" i="42"/>
  <c r="S98" i="42"/>
  <c r="S99" i="42"/>
  <c r="S100" i="42"/>
  <c r="S101" i="42"/>
  <c r="S102" i="42"/>
  <c r="S103" i="42"/>
  <c r="S104" i="42"/>
  <c r="S105" i="42"/>
  <c r="S106" i="42"/>
  <c r="S107" i="42"/>
  <c r="S108" i="42"/>
  <c r="S109" i="42"/>
  <c r="S110" i="42"/>
  <c r="S3" i="42"/>
  <c r="T7" i="41" l="1"/>
  <c r="V7" i="41"/>
  <c r="G86" i="9" s="1"/>
  <c r="U7" i="41"/>
  <c r="G85" i="9" s="1"/>
  <c r="F23" i="56" l="1"/>
  <c r="D23" i="56"/>
  <c r="AF790" i="49" l="1"/>
  <c r="AF781" i="49"/>
  <c r="AF782" i="49"/>
  <c r="AF783" i="49"/>
  <c r="AF784" i="49"/>
  <c r="AF785" i="49"/>
  <c r="AF786" i="49"/>
  <c r="AF787" i="49"/>
  <c r="AF788" i="49"/>
  <c r="AF789" i="49"/>
  <c r="AF780" i="49"/>
  <c r="AE790" i="49"/>
  <c r="AE781" i="49"/>
  <c r="AE782" i="49"/>
  <c r="AE783" i="49"/>
  <c r="AE784" i="49"/>
  <c r="AE785" i="49"/>
  <c r="AE786" i="49"/>
  <c r="AE787" i="49"/>
  <c r="AE788" i="49"/>
  <c r="AE789" i="49"/>
  <c r="AE780" i="49"/>
  <c r="AD790" i="49"/>
  <c r="AC790" i="49"/>
  <c r="B15" i="56" l="1"/>
  <c r="B36" i="56"/>
  <c r="AC722" i="49" l="1"/>
  <c r="AD623" i="49"/>
  <c r="AC523" i="49" l="1"/>
  <c r="AD523" i="49" l="1"/>
  <c r="AE523" i="49" s="1"/>
  <c r="AF523" i="49" s="1"/>
  <c r="AC573" i="49"/>
  <c r="B27" i="55"/>
  <c r="B30" i="55"/>
  <c r="C30" i="55"/>
  <c r="D30" i="55" l="1"/>
  <c r="E30" i="55" s="1"/>
  <c r="B31" i="55" l="1"/>
  <c r="B28" i="55"/>
  <c r="B26" i="55"/>
  <c r="AC572" i="49" l="1"/>
  <c r="B29" i="55"/>
  <c r="C12" i="55"/>
  <c r="AD522" i="49"/>
  <c r="B25" i="55"/>
  <c r="B24" i="55"/>
  <c r="B23" i="55"/>
  <c r="B22" i="55"/>
  <c r="B21" i="55"/>
  <c r="B32" i="55" l="1"/>
  <c r="AC623" i="49" l="1"/>
  <c r="AE623" i="49" s="1"/>
  <c r="C28" i="55"/>
  <c r="D28" i="55" s="1"/>
  <c r="E28" i="55" s="1"/>
  <c r="C27" i="55"/>
  <c r="D27" i="55" s="1"/>
  <c r="E27" i="55" s="1"/>
  <c r="C26" i="55"/>
  <c r="D26" i="55" s="1"/>
  <c r="E26" i="55" s="1"/>
  <c r="C25" i="55"/>
  <c r="D25" i="55" s="1"/>
  <c r="E25" i="55" s="1"/>
  <c r="C24" i="55"/>
  <c r="D24" i="55" s="1"/>
  <c r="E24" i="55" s="1"/>
  <c r="C23" i="55"/>
  <c r="D23" i="55" s="1"/>
  <c r="E23" i="55" s="1"/>
  <c r="C22" i="55"/>
  <c r="D22" i="55" s="1"/>
  <c r="E22" i="55" s="1"/>
  <c r="C21" i="55"/>
  <c r="C29" i="55" l="1"/>
  <c r="D29" i="55" s="1"/>
  <c r="E29" i="55" s="1"/>
  <c r="C31" i="55"/>
  <c r="D31" i="55" s="1"/>
  <c r="E31" i="55" s="1"/>
  <c r="AD573" i="49"/>
  <c r="AE573" i="49" s="1"/>
  <c r="AF573" i="49" s="1"/>
  <c r="D21" i="55"/>
  <c r="E21" i="55" s="1"/>
  <c r="C32" i="55" l="1"/>
  <c r="D32" i="55" s="1"/>
  <c r="E32" i="55" s="1"/>
  <c r="F16" i="56"/>
  <c r="B16" i="56"/>
  <c r="B24" i="56" s="1"/>
  <c r="G15" i="56" l="1"/>
  <c r="H15" i="56" s="1"/>
  <c r="I15" i="56" s="1"/>
  <c r="G14" i="56"/>
  <c r="H14" i="56" s="1"/>
  <c r="I14" i="56" s="1"/>
  <c r="G13" i="56"/>
  <c r="H13" i="56" s="1"/>
  <c r="I13" i="56" s="1"/>
  <c r="G12" i="56"/>
  <c r="H12" i="56" s="1"/>
  <c r="I12" i="56" s="1"/>
  <c r="G11" i="56"/>
  <c r="H11" i="56" s="1"/>
  <c r="I11" i="56" s="1"/>
  <c r="G10" i="56"/>
  <c r="H10" i="56" s="1"/>
  <c r="I10" i="56" s="1"/>
  <c r="C10" i="56" s="1"/>
  <c r="G9" i="56"/>
  <c r="H9" i="56" s="1"/>
  <c r="I9" i="56" s="1"/>
  <c r="G8" i="56"/>
  <c r="H8" i="56" s="1"/>
  <c r="I8" i="56" s="1"/>
  <c r="G7" i="56"/>
  <c r="C8" i="56" l="1"/>
  <c r="D8" i="56" s="1"/>
  <c r="P6" i="49" s="1"/>
  <c r="C11" i="56"/>
  <c r="D11" i="56" s="1"/>
  <c r="P9" i="49" s="1"/>
  <c r="C14" i="56"/>
  <c r="D14" i="56" s="1"/>
  <c r="P12" i="49" s="1"/>
  <c r="C9" i="56"/>
  <c r="D9" i="56" s="1"/>
  <c r="P7" i="49" s="1"/>
  <c r="C12" i="56"/>
  <c r="D12" i="56" s="1"/>
  <c r="P10" i="49" s="1"/>
  <c r="C13" i="56"/>
  <c r="D13" i="56" s="1"/>
  <c r="P11" i="49" s="1"/>
  <c r="C15" i="56"/>
  <c r="D15" i="56" s="1"/>
  <c r="P13" i="49" s="1"/>
  <c r="H7" i="56"/>
  <c r="G16" i="56"/>
  <c r="D10" i="56"/>
  <c r="P8" i="49" s="1"/>
  <c r="B116" i="55"/>
  <c r="C116" i="55"/>
  <c r="B99" i="55"/>
  <c r="C99" i="55"/>
  <c r="B82" i="55"/>
  <c r="C82" i="55"/>
  <c r="B65" i="55"/>
  <c r="C65" i="55"/>
  <c r="D65" i="55" s="1"/>
  <c r="B48" i="55"/>
  <c r="C48" i="55"/>
  <c r="B14" i="55"/>
  <c r="C14" i="55"/>
  <c r="D14" i="55" s="1"/>
  <c r="E14" i="55" s="1"/>
  <c r="D99" i="55" l="1"/>
  <c r="D48" i="55"/>
  <c r="D116" i="55"/>
  <c r="D82" i="55"/>
  <c r="I7" i="56"/>
  <c r="C7" i="56" s="1"/>
  <c r="C16" i="56" s="1"/>
  <c r="H16" i="56"/>
  <c r="D7" i="56" l="1"/>
  <c r="I16" i="56"/>
  <c r="D16" i="56" l="1"/>
  <c r="P5" i="49"/>
  <c r="P17" i="49" s="1"/>
  <c r="U46" i="17" l="1"/>
  <c r="U45" i="17"/>
  <c r="U44" i="17"/>
  <c r="N45" i="17"/>
  <c r="N46" i="17"/>
  <c r="N44" i="17"/>
  <c r="H10" i="17"/>
  <c r="U12" i="17"/>
  <c r="B77" i="55" l="1"/>
  <c r="B78" i="55"/>
  <c r="B79" i="55"/>
  <c r="B80" i="55"/>
  <c r="B81" i="55"/>
  <c r="B60" i="55"/>
  <c r="C60" i="55"/>
  <c r="B61" i="55"/>
  <c r="C61" i="55"/>
  <c r="B62" i="55"/>
  <c r="C62" i="55"/>
  <c r="B63" i="55"/>
  <c r="C63" i="55"/>
  <c r="B64" i="55"/>
  <c r="C64" i="55"/>
  <c r="B43" i="55"/>
  <c r="C43" i="55"/>
  <c r="B44" i="55"/>
  <c r="C44" i="55"/>
  <c r="B45" i="55"/>
  <c r="C45" i="55"/>
  <c r="B46" i="55"/>
  <c r="C46" i="55"/>
  <c r="B47" i="55"/>
  <c r="C47" i="55"/>
  <c r="D45" i="55" l="1"/>
  <c r="E45" i="55" s="1"/>
  <c r="D63" i="55"/>
  <c r="E63" i="55" s="1"/>
  <c r="D44" i="55"/>
  <c r="E44" i="55" s="1"/>
  <c r="D62" i="55"/>
  <c r="E62" i="55" s="1"/>
  <c r="D46" i="55"/>
  <c r="E46" i="55" s="1"/>
  <c r="D64" i="55"/>
  <c r="D60" i="55"/>
  <c r="E60" i="55" s="1"/>
  <c r="D47" i="55"/>
  <c r="D43" i="55"/>
  <c r="E43" i="55" s="1"/>
  <c r="D61" i="55"/>
  <c r="E61" i="55" s="1"/>
  <c r="B9" i="55"/>
  <c r="C9" i="55"/>
  <c r="B10" i="55"/>
  <c r="C10" i="55"/>
  <c r="B11" i="55"/>
  <c r="C11" i="55"/>
  <c r="B12" i="55"/>
  <c r="B13" i="55"/>
  <c r="C13" i="55"/>
  <c r="B5" i="55"/>
  <c r="B6" i="55"/>
  <c r="B7" i="55"/>
  <c r="B8" i="55"/>
  <c r="B4" i="55"/>
  <c r="D9" i="55" l="1"/>
  <c r="E9" i="55" s="1"/>
  <c r="D10" i="55"/>
  <c r="E10" i="55" s="1"/>
  <c r="D12" i="55"/>
  <c r="D11" i="55"/>
  <c r="E11" i="55" s="1"/>
  <c r="D13" i="55"/>
  <c r="B15" i="55"/>
  <c r="T17" i="49"/>
  <c r="Q17" i="49"/>
  <c r="R17" i="49"/>
  <c r="S17" i="49"/>
  <c r="C4" i="55"/>
  <c r="D4" i="55" s="1"/>
  <c r="E4" i="55" s="1"/>
  <c r="C6" i="55"/>
  <c r="D6" i="55" s="1"/>
  <c r="E6" i="55" s="1"/>
  <c r="B39" i="55"/>
  <c r="C41" i="55"/>
  <c r="B58" i="55"/>
  <c r="B38" i="55"/>
  <c r="B72" i="55"/>
  <c r="C55" i="55"/>
  <c r="C57" i="55"/>
  <c r="B74" i="55"/>
  <c r="C8" i="55"/>
  <c r="D8" i="55" s="1"/>
  <c r="E8" i="55" s="1"/>
  <c r="C38" i="55"/>
  <c r="B55" i="55"/>
  <c r="B57" i="55"/>
  <c r="C40" i="55"/>
  <c r="B42" i="55"/>
  <c r="C5" i="55"/>
  <c r="D5" i="55" s="1"/>
  <c r="E5" i="55" s="1"/>
  <c r="B41" i="55"/>
  <c r="C59" i="55"/>
  <c r="B76" i="55"/>
  <c r="B40" i="55"/>
  <c r="C7" i="55"/>
  <c r="D7" i="55" s="1"/>
  <c r="E7" i="55" s="1"/>
  <c r="C39" i="55"/>
  <c r="B56" i="55"/>
  <c r="C58" i="55"/>
  <c r="B75" i="55"/>
  <c r="B59" i="55"/>
  <c r="C42" i="55"/>
  <c r="B73" i="55"/>
  <c r="C56" i="55"/>
  <c r="I114" i="49"/>
  <c r="B49" i="55" l="1"/>
  <c r="D58" i="55"/>
  <c r="E58" i="55" s="1"/>
  <c r="D39" i="55"/>
  <c r="E39" i="55" s="1"/>
  <c r="D42" i="55"/>
  <c r="E42" i="55" s="1"/>
  <c r="D59" i="55"/>
  <c r="E59" i="55" s="1"/>
  <c r="D38" i="55"/>
  <c r="E38" i="55" s="1"/>
  <c r="D40" i="55"/>
  <c r="E40" i="55" s="1"/>
  <c r="D56" i="55"/>
  <c r="E56" i="55" s="1"/>
  <c r="D57" i="55"/>
  <c r="E57" i="55" s="1"/>
  <c r="D41" i="55"/>
  <c r="E41" i="55" s="1"/>
  <c r="D55" i="55"/>
  <c r="E55" i="55" s="1"/>
  <c r="B83" i="55"/>
  <c r="C49" i="55"/>
  <c r="B66" i="55"/>
  <c r="C66" i="55"/>
  <c r="C15" i="55"/>
  <c r="D15" i="55" s="1"/>
  <c r="E15" i="55" s="1"/>
  <c r="AJ808" i="49"/>
  <c r="AG808" i="49"/>
  <c r="AJ807" i="49"/>
  <c r="AG807" i="49"/>
  <c r="AJ806" i="49"/>
  <c r="AG806" i="49"/>
  <c r="AJ805" i="49"/>
  <c r="AG805" i="49"/>
  <c r="AJ804" i="49"/>
  <c r="AG804" i="49"/>
  <c r="AJ803" i="49"/>
  <c r="AG803" i="49"/>
  <c r="AJ802" i="49"/>
  <c r="AG802" i="49"/>
  <c r="AJ801" i="49"/>
  <c r="AG801" i="49"/>
  <c r="AJ800" i="49"/>
  <c r="AG800" i="49"/>
  <c r="AJ799" i="49"/>
  <c r="AG799" i="49"/>
  <c r="AJ798" i="49"/>
  <c r="AG798" i="49"/>
  <c r="AJ797" i="49"/>
  <c r="AG797" i="49"/>
  <c r="AJ796" i="49"/>
  <c r="AG796" i="49"/>
  <c r="AJ795" i="49"/>
  <c r="AG795" i="49"/>
  <c r="AI778" i="49"/>
  <c r="AL778" i="49" s="1"/>
  <c r="AN778" i="49" s="1"/>
  <c r="AP778" i="49" s="1"/>
  <c r="AR778" i="49" s="1"/>
  <c r="AH778" i="49"/>
  <c r="AK778" i="49" s="1"/>
  <c r="AM778" i="49" s="1"/>
  <c r="AO778" i="49" s="1"/>
  <c r="AQ778" i="49" s="1"/>
  <c r="AC713" i="49"/>
  <c r="AC714" i="49"/>
  <c r="AC715" i="49"/>
  <c r="AC716" i="49"/>
  <c r="AC717" i="49"/>
  <c r="AC718" i="49"/>
  <c r="AC719" i="49"/>
  <c r="AC720" i="49"/>
  <c r="AC721" i="49"/>
  <c r="AJ758" i="49"/>
  <c r="AG758" i="49"/>
  <c r="AJ757" i="49"/>
  <c r="AG757" i="49"/>
  <c r="AJ756" i="49"/>
  <c r="AG756" i="49"/>
  <c r="AJ755" i="49"/>
  <c r="AG755" i="49"/>
  <c r="AJ754" i="49"/>
  <c r="AG754" i="49"/>
  <c r="AJ753" i="49"/>
  <c r="AG753" i="49"/>
  <c r="AJ752" i="49"/>
  <c r="AG752" i="49"/>
  <c r="AJ751" i="49"/>
  <c r="AG751" i="49"/>
  <c r="AJ750" i="49"/>
  <c r="AG750" i="49"/>
  <c r="AJ749" i="49"/>
  <c r="AG749" i="49"/>
  <c r="AJ748" i="49"/>
  <c r="AG748" i="49"/>
  <c r="AJ747" i="49"/>
  <c r="AG747" i="49"/>
  <c r="AJ746" i="49"/>
  <c r="AG746" i="49"/>
  <c r="AJ745" i="49"/>
  <c r="AG745" i="49"/>
  <c r="AI728" i="49"/>
  <c r="AL728" i="49" s="1"/>
  <c r="AN728" i="49" s="1"/>
  <c r="AP728" i="49" s="1"/>
  <c r="AR728" i="49" s="1"/>
  <c r="AH728" i="49"/>
  <c r="AK728" i="49" s="1"/>
  <c r="AM728" i="49" s="1"/>
  <c r="AO728" i="49" s="1"/>
  <c r="AQ728" i="49" s="1"/>
  <c r="AD672" i="49"/>
  <c r="AD671" i="49"/>
  <c r="AD670" i="49"/>
  <c r="AD669" i="49"/>
  <c r="AD668" i="49"/>
  <c r="AD667" i="49"/>
  <c r="AD666" i="49"/>
  <c r="AD665" i="49"/>
  <c r="AD664" i="49"/>
  <c r="AC664" i="49"/>
  <c r="AC665" i="49"/>
  <c r="AC666" i="49"/>
  <c r="AC667" i="49"/>
  <c r="AC668" i="49"/>
  <c r="AC669" i="49"/>
  <c r="AC670" i="49"/>
  <c r="AC671" i="49"/>
  <c r="AC672" i="49"/>
  <c r="AJ708" i="49"/>
  <c r="AG708" i="49"/>
  <c r="AJ707" i="49"/>
  <c r="AG707" i="49"/>
  <c r="AJ706" i="49"/>
  <c r="AG706" i="49"/>
  <c r="AJ705" i="49"/>
  <c r="AG705" i="49"/>
  <c r="AJ704" i="49"/>
  <c r="AG704" i="49"/>
  <c r="AJ703" i="49"/>
  <c r="AG703" i="49"/>
  <c r="AJ702" i="49"/>
  <c r="AG702" i="49"/>
  <c r="AJ701" i="49"/>
  <c r="AG701" i="49"/>
  <c r="AJ700" i="49"/>
  <c r="AG700" i="49"/>
  <c r="AJ699" i="49"/>
  <c r="AG699" i="49"/>
  <c r="AJ698" i="49"/>
  <c r="AG698" i="49"/>
  <c r="AJ697" i="49"/>
  <c r="AG697" i="49"/>
  <c r="AJ696" i="49"/>
  <c r="AG696" i="49"/>
  <c r="AJ695" i="49"/>
  <c r="AG695" i="49"/>
  <c r="AI678" i="49"/>
  <c r="AL678" i="49" s="1"/>
  <c r="AN678" i="49" s="1"/>
  <c r="AP678" i="49" s="1"/>
  <c r="AR678" i="49" s="1"/>
  <c r="AH678" i="49"/>
  <c r="AK678" i="49" s="1"/>
  <c r="AM678" i="49" s="1"/>
  <c r="AO678" i="49" s="1"/>
  <c r="AQ678" i="49" s="1"/>
  <c r="AD622" i="49"/>
  <c r="AD621" i="49"/>
  <c r="AD620" i="49"/>
  <c r="AD619" i="49"/>
  <c r="AD618" i="49"/>
  <c r="AD617" i="49"/>
  <c r="AD616" i="49"/>
  <c r="AD615" i="49"/>
  <c r="AD614" i="49"/>
  <c r="AC614" i="49"/>
  <c r="AC615" i="49"/>
  <c r="AC616" i="49"/>
  <c r="AC617" i="49"/>
  <c r="AC618" i="49"/>
  <c r="AC619" i="49"/>
  <c r="AC620" i="49"/>
  <c r="AC621" i="49"/>
  <c r="AC622" i="49"/>
  <c r="AJ659" i="49"/>
  <c r="AG659" i="49"/>
  <c r="AJ658" i="49"/>
  <c r="AG658" i="49"/>
  <c r="AJ657" i="49"/>
  <c r="AG657" i="49"/>
  <c r="AJ656" i="49"/>
  <c r="AG656" i="49"/>
  <c r="AJ655" i="49"/>
  <c r="AG655" i="49"/>
  <c r="AJ654" i="49"/>
  <c r="AG654" i="49"/>
  <c r="AJ653" i="49"/>
  <c r="AG653" i="49"/>
  <c r="AJ652" i="49"/>
  <c r="AG652" i="49"/>
  <c r="AJ651" i="49"/>
  <c r="AG651" i="49"/>
  <c r="AJ650" i="49"/>
  <c r="AG650" i="49"/>
  <c r="AJ649" i="49"/>
  <c r="AG649" i="49"/>
  <c r="AJ648" i="49"/>
  <c r="AG648" i="49"/>
  <c r="AJ647" i="49"/>
  <c r="AG647" i="49"/>
  <c r="AJ646" i="49"/>
  <c r="AG646" i="49"/>
  <c r="AI629" i="49"/>
  <c r="AL629" i="49" s="1"/>
  <c r="AN629" i="49" s="1"/>
  <c r="AP629" i="49" s="1"/>
  <c r="AR629" i="49" s="1"/>
  <c r="AH629" i="49"/>
  <c r="AK629" i="49" s="1"/>
  <c r="AM629" i="49" s="1"/>
  <c r="AO629" i="49" s="1"/>
  <c r="AQ629" i="49" s="1"/>
  <c r="AD572" i="49"/>
  <c r="AD571" i="49"/>
  <c r="AD570" i="49"/>
  <c r="AD569" i="49"/>
  <c r="AD568" i="49"/>
  <c r="AD567" i="49"/>
  <c r="AD566" i="49"/>
  <c r="AD565" i="49"/>
  <c r="AD564" i="49"/>
  <c r="AC571" i="49"/>
  <c r="AC570" i="49"/>
  <c r="AC569" i="49"/>
  <c r="AC568" i="49"/>
  <c r="AC567" i="49"/>
  <c r="AC566" i="49"/>
  <c r="AC565" i="49"/>
  <c r="AC564" i="49"/>
  <c r="AJ609" i="49"/>
  <c r="AG609" i="49"/>
  <c r="AJ608" i="49"/>
  <c r="AJ607" i="49"/>
  <c r="AJ606" i="49"/>
  <c r="AG606" i="49"/>
  <c r="AJ605" i="49"/>
  <c r="AJ604" i="49"/>
  <c r="AJ603" i="49"/>
  <c r="AJ602" i="49"/>
  <c r="AG602" i="49"/>
  <c r="AJ601" i="49"/>
  <c r="AJ600" i="49"/>
  <c r="AJ599" i="49"/>
  <c r="AJ598" i="49"/>
  <c r="AJ597" i="49"/>
  <c r="AJ596" i="49"/>
  <c r="AG608" i="49"/>
  <c r="AG607" i="49"/>
  <c r="AG605" i="49"/>
  <c r="AG604" i="49"/>
  <c r="AG603" i="49"/>
  <c r="AG601" i="49"/>
  <c r="AG600" i="49"/>
  <c r="AG599" i="49"/>
  <c r="AG598" i="49"/>
  <c r="AG597" i="49"/>
  <c r="AG596" i="49"/>
  <c r="AI579" i="49"/>
  <c r="AL579" i="49" s="1"/>
  <c r="AN579" i="49" s="1"/>
  <c r="AP579" i="49" s="1"/>
  <c r="AR579" i="49" s="1"/>
  <c r="AH579" i="49"/>
  <c r="AK579" i="49" s="1"/>
  <c r="AM579" i="49" s="1"/>
  <c r="AO579" i="49" s="1"/>
  <c r="AQ579" i="49" s="1"/>
  <c r="AO537" i="49"/>
  <c r="AO541" i="49"/>
  <c r="AO542" i="49"/>
  <c r="AO543" i="49"/>
  <c r="AM537" i="49"/>
  <c r="AQ537" i="49" s="1"/>
  <c r="AM541" i="49"/>
  <c r="AQ541" i="49" s="1"/>
  <c r="AM542" i="49"/>
  <c r="AQ542" i="49" s="1"/>
  <c r="AM543" i="49"/>
  <c r="AQ543" i="49" s="1"/>
  <c r="AJ547" i="49"/>
  <c r="AJ548" i="49"/>
  <c r="AJ549" i="49"/>
  <c r="AJ550" i="49"/>
  <c r="AJ551" i="49"/>
  <c r="AJ552" i="49"/>
  <c r="AJ553" i="49"/>
  <c r="AJ554" i="49"/>
  <c r="AJ555" i="49"/>
  <c r="AJ556" i="49"/>
  <c r="AJ557" i="49"/>
  <c r="AJ558" i="49"/>
  <c r="AJ559" i="49"/>
  <c r="AJ546" i="49"/>
  <c r="AD521" i="49"/>
  <c r="AD520" i="49"/>
  <c r="AD519" i="49"/>
  <c r="AD518" i="49"/>
  <c r="AD517" i="49"/>
  <c r="AD516" i="49"/>
  <c r="AD515" i="49"/>
  <c r="AD514" i="49"/>
  <c r="AI529" i="49"/>
  <c r="AL529" i="49" s="1"/>
  <c r="AN529" i="49" s="1"/>
  <c r="AP529" i="49" s="1"/>
  <c r="AR529" i="49" s="1"/>
  <c r="AH529" i="49"/>
  <c r="AK529" i="49" s="1"/>
  <c r="AM529" i="49" s="1"/>
  <c r="AO529" i="49" s="1"/>
  <c r="AQ529" i="49" s="1"/>
  <c r="AK538" i="49"/>
  <c r="AK536" i="49"/>
  <c r="AM536" i="49" s="1"/>
  <c r="AK533" i="49"/>
  <c r="AK535" i="49"/>
  <c r="AM535" i="49" s="1"/>
  <c r="AQ535" i="49" s="1"/>
  <c r="AK534" i="49"/>
  <c r="AO534" i="49" s="1"/>
  <c r="AK532" i="49"/>
  <c r="AM532" i="49" s="1"/>
  <c r="AK531" i="49"/>
  <c r="AM531" i="49" s="1"/>
  <c r="AK530" i="49"/>
  <c r="AM530" i="49" s="1"/>
  <c r="AK540" i="49"/>
  <c r="AK539" i="49"/>
  <c r="AO539" i="49" s="1"/>
  <c r="AC723" i="49" l="1"/>
  <c r="AC624" i="49"/>
  <c r="AD624" i="49"/>
  <c r="AD574" i="49"/>
  <c r="AC574" i="49"/>
  <c r="AD524" i="49"/>
  <c r="AE571" i="49"/>
  <c r="AF571" i="49" s="1"/>
  <c r="AE567" i="49"/>
  <c r="AF567" i="49" s="1"/>
  <c r="D66" i="55"/>
  <c r="E66" i="55" s="1"/>
  <c r="D49" i="55"/>
  <c r="E49" i="55" s="1"/>
  <c r="AE672" i="49"/>
  <c r="AF672" i="49" s="1"/>
  <c r="AE619" i="49"/>
  <c r="AF619" i="49" s="1"/>
  <c r="AE665" i="49"/>
  <c r="AF665" i="49" s="1"/>
  <c r="AE618" i="49"/>
  <c r="AF618" i="49" s="1"/>
  <c r="AO540" i="49"/>
  <c r="AM540" i="49"/>
  <c r="AQ540" i="49" s="1"/>
  <c r="AE564" i="49"/>
  <c r="AE615" i="49"/>
  <c r="AF615" i="49" s="1"/>
  <c r="AE667" i="49"/>
  <c r="AF667" i="49" s="1"/>
  <c r="AE572" i="49"/>
  <c r="AF572" i="49" s="1"/>
  <c r="AE614" i="49"/>
  <c r="AO535" i="49"/>
  <c r="AE622" i="49"/>
  <c r="AF622" i="49" s="1"/>
  <c r="AM539" i="49"/>
  <c r="AQ539" i="49" s="1"/>
  <c r="AM538" i="49"/>
  <c r="AM534" i="49"/>
  <c r="AQ534" i="49" s="1"/>
  <c r="AE668" i="49"/>
  <c r="AF668" i="49" s="1"/>
  <c r="AC673" i="49"/>
  <c r="AM533" i="49"/>
  <c r="AE664" i="49"/>
  <c r="AF664" i="49" s="1"/>
  <c r="AE566" i="49"/>
  <c r="AF566" i="49" s="1"/>
  <c r="AE570" i="49"/>
  <c r="AF570" i="49" s="1"/>
  <c r="AE565" i="49"/>
  <c r="AF565" i="49" s="1"/>
  <c r="AD673" i="49"/>
  <c r="AE669" i="49"/>
  <c r="AF669" i="49" s="1"/>
  <c r="AE671" i="49"/>
  <c r="AF671" i="49" s="1"/>
  <c r="AE666" i="49"/>
  <c r="AF666" i="49" s="1"/>
  <c r="AE670" i="49"/>
  <c r="AF670" i="49" s="1"/>
  <c r="AE616" i="49"/>
  <c r="AF616" i="49" s="1"/>
  <c r="AE620" i="49"/>
  <c r="AF620" i="49" s="1"/>
  <c r="AE617" i="49"/>
  <c r="AF617" i="49" s="1"/>
  <c r="AE621" i="49"/>
  <c r="AF621" i="49" s="1"/>
  <c r="AE568" i="49"/>
  <c r="AF568" i="49" s="1"/>
  <c r="AE569" i="49"/>
  <c r="AF569" i="49" s="1"/>
  <c r="AF614" i="49" l="1"/>
  <c r="AE624" i="49"/>
  <c r="AF624" i="49" s="1"/>
  <c r="AF564" i="49"/>
  <c r="AE574" i="49"/>
  <c r="AF574" i="49" s="1"/>
  <c r="AE673" i="49"/>
  <c r="AF673" i="49" s="1"/>
  <c r="AH538" i="49" l="1"/>
  <c r="AH536" i="49"/>
  <c r="AH533" i="49"/>
  <c r="AH532" i="49"/>
  <c r="AH531" i="49"/>
  <c r="AH530" i="49"/>
  <c r="AG559" i="49"/>
  <c r="AG558" i="49"/>
  <c r="AG557" i="49"/>
  <c r="AG556" i="49"/>
  <c r="AG555" i="49"/>
  <c r="AG554" i="49"/>
  <c r="AG553" i="49"/>
  <c r="AG552" i="49"/>
  <c r="AG551" i="49"/>
  <c r="AG550" i="49"/>
  <c r="AG549" i="49"/>
  <c r="AG548" i="49"/>
  <c r="AG547" i="49"/>
  <c r="AC515" i="49"/>
  <c r="AC516" i="49"/>
  <c r="AC517" i="49"/>
  <c r="AC518" i="49"/>
  <c r="AC519" i="49"/>
  <c r="AC520" i="49"/>
  <c r="AC521" i="49"/>
  <c r="AC522" i="49"/>
  <c r="AC514" i="49"/>
  <c r="AC524" i="49" l="1"/>
  <c r="AQ531" i="49"/>
  <c r="AO531" i="49"/>
  <c r="AO538" i="49"/>
  <c r="AQ538" i="49"/>
  <c r="AQ532" i="49"/>
  <c r="AO532" i="49"/>
  <c r="AO533" i="49"/>
  <c r="AQ533" i="49"/>
  <c r="AO530" i="49"/>
  <c r="AQ530" i="49"/>
  <c r="AO536" i="49"/>
  <c r="AQ536" i="49"/>
  <c r="AH544" i="49"/>
  <c r="O503" i="49"/>
  <c r="O502" i="49"/>
  <c r="O501" i="49"/>
  <c r="O500" i="49"/>
  <c r="O497" i="49"/>
  <c r="O498" i="49"/>
  <c r="O496" i="49"/>
  <c r="O495" i="49"/>
  <c r="O493" i="49"/>
  <c r="O492" i="49"/>
  <c r="O491" i="49"/>
  <c r="O490" i="49"/>
  <c r="O487" i="49"/>
  <c r="O488" i="49"/>
  <c r="O486" i="49"/>
  <c r="O485" i="49"/>
  <c r="G393" i="49"/>
  <c r="G405" i="49" s="1"/>
  <c r="G419" i="49" l="1"/>
  <c r="L332" i="49" l="1"/>
  <c r="M332" i="49"/>
  <c r="L333" i="49"/>
  <c r="M333" i="49"/>
  <c r="M318" i="49"/>
  <c r="L318" i="49"/>
  <c r="M181" i="49"/>
  <c r="M152" i="49"/>
  <c r="M176" i="49" s="1"/>
  <c r="M262" i="49" s="1"/>
  <c r="L152" i="49"/>
  <c r="L176" i="49" s="1"/>
  <c r="L262" i="49" s="1"/>
  <c r="L277" i="49" s="1"/>
  <c r="K42" i="49"/>
  <c r="K65" i="49" s="1"/>
  <c r="A51" i="50"/>
  <c r="M292" i="49" l="1"/>
  <c r="M277" i="49"/>
  <c r="L292" i="49"/>
  <c r="L310" i="49" l="1"/>
  <c r="L298" i="49"/>
  <c r="L304" i="49" s="1"/>
  <c r="M310" i="49"/>
  <c r="M298" i="49"/>
  <c r="M304" i="49" s="1"/>
  <c r="I97" i="49"/>
  <c r="B333" i="49"/>
  <c r="C333" i="49"/>
  <c r="D333" i="49"/>
  <c r="E333" i="49"/>
  <c r="F333" i="49"/>
  <c r="G333" i="49"/>
  <c r="H333" i="49"/>
  <c r="I333" i="49"/>
  <c r="J333" i="49"/>
  <c r="K333" i="49"/>
  <c r="K152" i="49"/>
  <c r="J185" i="49"/>
  <c r="H129" i="49"/>
  <c r="G129" i="49"/>
  <c r="E129" i="49"/>
  <c r="D129" i="49"/>
  <c r="C129" i="49"/>
  <c r="B129" i="49"/>
  <c r="M316" i="49" l="1"/>
  <c r="M331" i="49" s="1"/>
  <c r="M336" i="49"/>
  <c r="L316" i="49"/>
  <c r="L331" i="49" s="1"/>
  <c r="L336" i="49"/>
  <c r="M347" i="49" l="1"/>
  <c r="M341" i="49"/>
  <c r="L341" i="49"/>
  <c r="L347" i="49"/>
  <c r="T83" i="9" l="1"/>
  <c r="T82" i="9"/>
  <c r="J172" i="42" l="1"/>
  <c r="K172" i="42"/>
  <c r="L172" i="42"/>
  <c r="J173" i="42"/>
  <c r="K173" i="42"/>
  <c r="L173" i="42"/>
  <c r="J174" i="42"/>
  <c r="K174" i="42"/>
  <c r="L174" i="42"/>
  <c r="J175" i="42"/>
  <c r="K175" i="42"/>
  <c r="L175" i="42"/>
  <c r="J176" i="42"/>
  <c r="K176" i="42"/>
  <c r="L176" i="42"/>
  <c r="J177" i="42"/>
  <c r="K177" i="42"/>
  <c r="L177" i="42"/>
  <c r="J178" i="42"/>
  <c r="K178" i="42"/>
  <c r="L178" i="42"/>
  <c r="J179" i="42"/>
  <c r="K179" i="42"/>
  <c r="L179" i="42"/>
  <c r="J180" i="42"/>
  <c r="K180" i="42"/>
  <c r="L180" i="42"/>
  <c r="J181" i="42"/>
  <c r="K181" i="42"/>
  <c r="L181" i="42"/>
  <c r="J182" i="42"/>
  <c r="K182" i="42"/>
  <c r="L182" i="42"/>
  <c r="J183" i="42"/>
  <c r="K183" i="42"/>
  <c r="L183" i="42"/>
  <c r="I173" i="42"/>
  <c r="I174" i="42"/>
  <c r="I175" i="42"/>
  <c r="I176" i="42"/>
  <c r="I177" i="42"/>
  <c r="I178" i="42"/>
  <c r="I179" i="42"/>
  <c r="I180" i="42"/>
  <c r="I181" i="42"/>
  <c r="I182" i="42"/>
  <c r="I183" i="42"/>
  <c r="I172" i="42"/>
  <c r="Z5" i="32" l="1"/>
  <c r="V5" i="32"/>
  <c r="W5" i="32"/>
  <c r="X5" i="32"/>
  <c r="Y5" i="32"/>
  <c r="E160" i="52"/>
  <c r="E159" i="52"/>
  <c r="E158" i="52"/>
  <c r="E157" i="52"/>
  <c r="E156" i="52"/>
  <c r="E155" i="52"/>
  <c r="E154" i="52"/>
  <c r="E153" i="52"/>
  <c r="E152" i="52"/>
  <c r="M123" i="52"/>
  <c r="M124" i="52" s="1"/>
  <c r="M125" i="52" s="1"/>
  <c r="M126" i="52" s="1"/>
  <c r="M127" i="52" s="1"/>
  <c r="M128" i="52" s="1"/>
  <c r="F110" i="52"/>
  <c r="F109" i="52"/>
  <c r="F108" i="52"/>
  <c r="F107" i="52"/>
  <c r="F106" i="52"/>
  <c r="F105" i="52"/>
  <c r="F104" i="52"/>
  <c r="F103" i="52"/>
  <c r="F102" i="52"/>
  <c r="F101" i="52"/>
  <c r="F100" i="52"/>
  <c r="F99" i="52"/>
  <c r="F98" i="52"/>
  <c r="F97" i="52"/>
  <c r="F96" i="52"/>
  <c r="F95" i="52"/>
  <c r="F94" i="52"/>
  <c r="F93" i="52"/>
  <c r="F92" i="52"/>
  <c r="F91" i="52"/>
  <c r="F90" i="52"/>
  <c r="F89" i="52"/>
  <c r="F88" i="52"/>
  <c r="F87" i="52"/>
  <c r="F86" i="52"/>
  <c r="F85" i="52"/>
  <c r="F84" i="52"/>
  <c r="F83" i="52"/>
  <c r="F82" i="52"/>
  <c r="F81" i="52"/>
  <c r="F80" i="52"/>
  <c r="F79" i="52"/>
  <c r="F78" i="52"/>
  <c r="F77" i="52"/>
  <c r="F76" i="52"/>
  <c r="F74" i="52"/>
  <c r="F73" i="52"/>
  <c r="F72" i="52"/>
  <c r="F71" i="52"/>
  <c r="F70" i="52"/>
  <c r="F69" i="52"/>
  <c r="F68" i="52"/>
  <c r="F67" i="52"/>
  <c r="F66" i="52"/>
  <c r="F65" i="52"/>
  <c r="F64" i="52"/>
  <c r="F63" i="52"/>
  <c r="C62" i="52"/>
  <c r="B62" i="52"/>
  <c r="C61" i="52"/>
  <c r="B61" i="52"/>
  <c r="D61" i="52" s="1"/>
  <c r="F61" i="52" s="1"/>
  <c r="C60" i="52"/>
  <c r="B60" i="52"/>
  <c r="C59" i="52"/>
  <c r="B59" i="52"/>
  <c r="C58" i="52"/>
  <c r="B58" i="52"/>
  <c r="C57" i="52"/>
  <c r="B57" i="52"/>
  <c r="D57" i="52" s="1"/>
  <c r="F57" i="52" s="1"/>
  <c r="C56" i="52"/>
  <c r="B56" i="52"/>
  <c r="D56" i="52" s="1"/>
  <c r="F56" i="52" s="1"/>
  <c r="C55" i="52"/>
  <c r="B55" i="52"/>
  <c r="C54" i="52"/>
  <c r="B54" i="52"/>
  <c r="D54" i="52" s="1"/>
  <c r="F54" i="52" s="1"/>
  <c r="C53" i="52"/>
  <c r="B53" i="52"/>
  <c r="D53" i="52" s="1"/>
  <c r="F53" i="52" s="1"/>
  <c r="D52" i="52"/>
  <c r="F52" i="52" s="1"/>
  <c r="C52" i="52"/>
  <c r="B52" i="52"/>
  <c r="C51" i="52"/>
  <c r="B51" i="52"/>
  <c r="D51" i="52" s="1"/>
  <c r="C50" i="52"/>
  <c r="B50" i="52"/>
  <c r="D50" i="52" s="1"/>
  <c r="F50" i="52" s="1"/>
  <c r="C49" i="52"/>
  <c r="B49" i="52"/>
  <c r="D49" i="52" s="1"/>
  <c r="F49" i="52" s="1"/>
  <c r="C48" i="52"/>
  <c r="B48" i="52"/>
  <c r="D48" i="52" s="1"/>
  <c r="F48" i="52" s="1"/>
  <c r="C47" i="52"/>
  <c r="B47" i="52"/>
  <c r="D47" i="52" s="1"/>
  <c r="F47" i="52" s="1"/>
  <c r="C46" i="52"/>
  <c r="B46" i="52"/>
  <c r="D46" i="52" s="1"/>
  <c r="F46" i="52" s="1"/>
  <c r="C45" i="52"/>
  <c r="B45" i="52"/>
  <c r="C44" i="52"/>
  <c r="B44" i="52"/>
  <c r="C43" i="52"/>
  <c r="B43" i="52"/>
  <c r="C42" i="52"/>
  <c r="B42" i="52"/>
  <c r="D42" i="52" s="1"/>
  <c r="F42" i="52" s="1"/>
  <c r="C41" i="52"/>
  <c r="B41" i="52"/>
  <c r="C40" i="52"/>
  <c r="B40" i="52"/>
  <c r="C39" i="52"/>
  <c r="B39" i="52"/>
  <c r="C38" i="52"/>
  <c r="D38" i="52" s="1"/>
  <c r="F38" i="52" s="1"/>
  <c r="C37" i="52"/>
  <c r="D37" i="52" s="1"/>
  <c r="F37" i="52" s="1"/>
  <c r="C36" i="52"/>
  <c r="D36" i="52" s="1"/>
  <c r="F36" i="52" s="1"/>
  <c r="C35" i="52"/>
  <c r="D35" i="52" s="1"/>
  <c r="F35" i="52" s="1"/>
  <c r="C34" i="52"/>
  <c r="D34" i="52" s="1"/>
  <c r="F34" i="52" s="1"/>
  <c r="C33" i="52"/>
  <c r="D33" i="52" s="1"/>
  <c r="F33" i="52" s="1"/>
  <c r="C32" i="52"/>
  <c r="D32" i="52" s="1"/>
  <c r="F32" i="52" s="1"/>
  <c r="C31" i="52"/>
  <c r="D31" i="52" s="1"/>
  <c r="F31" i="52" s="1"/>
  <c r="C30" i="52"/>
  <c r="D30" i="52" s="1"/>
  <c r="F30" i="52" s="1"/>
  <c r="C29" i="52"/>
  <c r="D29" i="52" s="1"/>
  <c r="F29" i="52" s="1"/>
  <c r="C28" i="52"/>
  <c r="D28" i="52" s="1"/>
  <c r="F28" i="52" s="1"/>
  <c r="D27" i="52"/>
  <c r="C27" i="52"/>
  <c r="C26" i="52"/>
  <c r="D26" i="52" s="1"/>
  <c r="F26" i="52" s="1"/>
  <c r="C25" i="52"/>
  <c r="D25" i="52" s="1"/>
  <c r="F25" i="52" s="1"/>
  <c r="C24" i="52"/>
  <c r="D24" i="52" s="1"/>
  <c r="F24" i="52" s="1"/>
  <c r="C23" i="52"/>
  <c r="D23" i="52" s="1"/>
  <c r="F23" i="52" s="1"/>
  <c r="C22" i="52"/>
  <c r="D22" i="52" s="1"/>
  <c r="F22" i="52" s="1"/>
  <c r="C21" i="52"/>
  <c r="D21" i="52" s="1"/>
  <c r="F21" i="52" s="1"/>
  <c r="C20" i="52"/>
  <c r="D20" i="52" s="1"/>
  <c r="F20" i="52" s="1"/>
  <c r="C19" i="52"/>
  <c r="D19" i="52" s="1"/>
  <c r="F19" i="52" s="1"/>
  <c r="C18" i="52"/>
  <c r="D18" i="52" s="1"/>
  <c r="F18" i="52" s="1"/>
  <c r="C17" i="52"/>
  <c r="D17" i="52" s="1"/>
  <c r="F17" i="52" s="1"/>
  <c r="C16" i="52"/>
  <c r="D16" i="52" s="1"/>
  <c r="F16" i="52" s="1"/>
  <c r="C15" i="52"/>
  <c r="D15" i="52" s="1"/>
  <c r="C14" i="52"/>
  <c r="D14" i="52" s="1"/>
  <c r="F14" i="52" s="1"/>
  <c r="C13" i="52"/>
  <c r="D13" i="52" s="1"/>
  <c r="F13" i="52" s="1"/>
  <c r="C12" i="52"/>
  <c r="D12" i="52" s="1"/>
  <c r="F12" i="52" s="1"/>
  <c r="C11" i="52"/>
  <c r="D11" i="52" s="1"/>
  <c r="F11" i="52" s="1"/>
  <c r="C10" i="52"/>
  <c r="D10" i="52" s="1"/>
  <c r="F10" i="52" s="1"/>
  <c r="C9" i="52"/>
  <c r="D9" i="52" s="1"/>
  <c r="F9" i="52" s="1"/>
  <c r="C8" i="52"/>
  <c r="D8" i="52" s="1"/>
  <c r="F8" i="52" s="1"/>
  <c r="C7" i="52"/>
  <c r="D7" i="52" s="1"/>
  <c r="F7" i="52" s="1"/>
  <c r="C6" i="52"/>
  <c r="D6" i="52" s="1"/>
  <c r="F6" i="52" s="1"/>
  <c r="C5" i="52"/>
  <c r="D5" i="52" s="1"/>
  <c r="F5" i="52" s="1"/>
  <c r="C4" i="52"/>
  <c r="D4" i="52" s="1"/>
  <c r="F4" i="52" s="1"/>
  <c r="C3" i="52"/>
  <c r="D3" i="52" s="1"/>
  <c r="M123" i="42"/>
  <c r="F115" i="52" l="1"/>
  <c r="F111" i="52"/>
  <c r="D40" i="52"/>
  <c r="F40" i="52" s="1"/>
  <c r="D44" i="52"/>
  <c r="F44" i="52" s="1"/>
  <c r="D41" i="52"/>
  <c r="F41" i="52" s="1"/>
  <c r="D45" i="52"/>
  <c r="F45" i="52" s="1"/>
  <c r="D59" i="52"/>
  <c r="F59" i="52" s="1"/>
  <c r="D43" i="52"/>
  <c r="F43" i="52" s="1"/>
  <c r="D55" i="52"/>
  <c r="F55" i="52" s="1"/>
  <c r="D39" i="52"/>
  <c r="F39" i="52" s="1"/>
  <c r="D62" i="52"/>
  <c r="F62" i="52" s="1"/>
  <c r="F121" i="52"/>
  <c r="D158" i="52"/>
  <c r="F119" i="52"/>
  <c r="F113" i="52"/>
  <c r="F117" i="52"/>
  <c r="F159" i="52"/>
  <c r="D157" i="52"/>
  <c r="F114" i="52"/>
  <c r="E161" i="52"/>
  <c r="E165" i="52" s="1"/>
  <c r="F122" i="52"/>
  <c r="D152" i="52"/>
  <c r="F3" i="52"/>
  <c r="F152" i="52" s="1"/>
  <c r="F15" i="52"/>
  <c r="F153" i="52" s="1"/>
  <c r="D153" i="52"/>
  <c r="D154" i="52"/>
  <c r="F27" i="52"/>
  <c r="F154" i="52" s="1"/>
  <c r="F51" i="52"/>
  <c r="M129" i="52"/>
  <c r="M130" i="52" s="1"/>
  <c r="M131" i="52" s="1"/>
  <c r="M132" i="52" s="1"/>
  <c r="D161" i="52"/>
  <c r="D58" i="52"/>
  <c r="F58" i="52" s="1"/>
  <c r="F157" i="52"/>
  <c r="F160" i="52"/>
  <c r="D160" i="52"/>
  <c r="D60" i="52"/>
  <c r="F60" i="52" s="1"/>
  <c r="F116" i="52"/>
  <c r="D159" i="52"/>
  <c r="F112" i="52"/>
  <c r="F120" i="52"/>
  <c r="F75" i="52"/>
  <c r="F158" i="52" s="1"/>
  <c r="F118" i="52"/>
  <c r="F155" i="52" l="1"/>
  <c r="D155" i="52"/>
  <c r="D165" i="52" s="1"/>
  <c r="F161" i="52"/>
  <c r="D156" i="52"/>
  <c r="M133" i="52"/>
  <c r="M134" i="52" s="1"/>
  <c r="F156" i="52"/>
  <c r="M135" i="52" l="1"/>
  <c r="F165" i="52"/>
  <c r="M136" i="52" l="1"/>
  <c r="M137" i="52" l="1"/>
  <c r="M138" i="52" l="1"/>
  <c r="M139" i="52" l="1"/>
  <c r="M140" i="52" l="1"/>
  <c r="M141" i="52" l="1"/>
  <c r="M142" i="52" l="1"/>
  <c r="M143" i="52" l="1"/>
  <c r="M144" i="52" l="1"/>
  <c r="M145" i="52" l="1"/>
  <c r="M146" i="52" l="1"/>
  <c r="M124" i="42" l="1"/>
  <c r="M125" i="42" s="1"/>
  <c r="M126" i="42" s="1"/>
  <c r="M127" i="42" s="1"/>
  <c r="M128" i="42" s="1"/>
  <c r="M129" i="42" s="1"/>
  <c r="M130" i="42" s="1"/>
  <c r="M131" i="42" s="1"/>
  <c r="M132" i="42" s="1"/>
  <c r="M133" i="42" s="1"/>
  <c r="M134" i="42" s="1"/>
  <c r="M135" i="42" s="1"/>
  <c r="H9" i="18"/>
  <c r="I402" i="49" s="1"/>
  <c r="G9" i="18"/>
  <c r="H402" i="49" s="1"/>
  <c r="F9" i="18"/>
  <c r="F402" i="49" s="1"/>
  <c r="I30" i="50"/>
  <c r="I25" i="50"/>
  <c r="I20" i="50"/>
  <c r="N3" i="18"/>
  <c r="D366" i="49" s="1"/>
  <c r="N4" i="18"/>
  <c r="D367" i="49" s="1"/>
  <c r="N9" i="18"/>
  <c r="D372" i="49" s="1"/>
  <c r="J9" i="18"/>
  <c r="G402" i="49" s="1"/>
  <c r="D9" i="18"/>
  <c r="D402" i="49" s="1"/>
  <c r="L54" i="17"/>
  <c r="K54" i="17"/>
  <c r="H54" i="17"/>
  <c r="P54" i="17"/>
  <c r="Q54" i="17"/>
  <c r="M54" i="17"/>
  <c r="I54" i="17"/>
  <c r="F54" i="17"/>
  <c r="J54" i="17"/>
  <c r="W8" i="41" l="1"/>
  <c r="X8" i="41" s="1"/>
  <c r="D54" i="17"/>
  <c r="E54" i="17"/>
  <c r="M136" i="42"/>
  <c r="M137" i="42" s="1"/>
  <c r="M138" i="42" s="1"/>
  <c r="M139" i="42" s="1"/>
  <c r="M140" i="42" s="1"/>
  <c r="M141" i="42" s="1"/>
  <c r="M142" i="42" s="1"/>
  <c r="M143" i="42" s="1"/>
  <c r="M144" i="42" s="1"/>
  <c r="M145" i="42" s="1"/>
  <c r="M146" i="42" s="1"/>
  <c r="M172" i="42"/>
  <c r="M173" i="42" s="1"/>
  <c r="M174" i="42" s="1"/>
  <c r="M175" i="42" s="1"/>
  <c r="M176" i="42" s="1"/>
  <c r="M177" i="42" s="1"/>
  <c r="M178" i="42" s="1"/>
  <c r="M179" i="42" s="1"/>
  <c r="M180" i="42" s="1"/>
  <c r="M181" i="42" s="1"/>
  <c r="M182" i="42" s="1"/>
  <c r="M183" i="42" s="1"/>
  <c r="E9" i="18"/>
  <c r="E402" i="49" s="1"/>
  <c r="I41" i="51"/>
  <c r="B9" i="18"/>
  <c r="I22" i="51"/>
  <c r="C54" i="17"/>
  <c r="G54" i="17"/>
  <c r="C9" i="18"/>
  <c r="I27" i="51"/>
  <c r="B54" i="17"/>
  <c r="N54" i="17" s="1"/>
  <c r="U54" i="17" s="1"/>
  <c r="V54" i="17" s="1"/>
  <c r="I39" i="50"/>
  <c r="H51" i="49" s="1"/>
  <c r="I29" i="50"/>
  <c r="F51" i="49" s="1"/>
  <c r="I24" i="50"/>
  <c r="E51" i="49" s="1"/>
  <c r="I19" i="50"/>
  <c r="D51" i="49" s="1"/>
  <c r="I15" i="50"/>
  <c r="C51" i="49" s="1"/>
  <c r="I11" i="50" l="1"/>
  <c r="B51" i="49" s="1"/>
  <c r="I6" i="50"/>
  <c r="N13" i="9"/>
  <c r="P13" i="9"/>
  <c r="Q13" i="9"/>
  <c r="R13" i="9"/>
  <c r="V13" i="9"/>
  <c r="S13" i="9"/>
  <c r="L13" i="9"/>
  <c r="Z39" i="32"/>
  <c r="Z38" i="32"/>
  <c r="Z37" i="32"/>
  <c r="Z36" i="32"/>
  <c r="Z35" i="32"/>
  <c r="Z34" i="32"/>
  <c r="Z33" i="32"/>
  <c r="Z32" i="32"/>
  <c r="Z31" i="32"/>
  <c r="Z30" i="32"/>
  <c r="Z29" i="32"/>
  <c r="Z28" i="32"/>
  <c r="Z19" i="32"/>
  <c r="Z18" i="32"/>
  <c r="Z17" i="32"/>
  <c r="Z16" i="32"/>
  <c r="Z15" i="32"/>
  <c r="Z14" i="32"/>
  <c r="Z13" i="32"/>
  <c r="Z12" i="32"/>
  <c r="Z11" i="32"/>
  <c r="Z10" i="32"/>
  <c r="Z9" i="32"/>
  <c r="Z8" i="32"/>
  <c r="G121" i="42" l="1"/>
  <c r="H122" i="42"/>
  <c r="H134" i="42" s="1"/>
  <c r="H14" i="52" s="1"/>
  <c r="H26" i="52" s="1"/>
  <c r="H38" i="52" s="1"/>
  <c r="H50" i="52" s="1"/>
  <c r="H62" i="52" s="1"/>
  <c r="H74" i="52" s="1"/>
  <c r="H86" i="52" s="1"/>
  <c r="H98" i="52" s="1"/>
  <c r="H110" i="52" s="1"/>
  <c r="H122" i="52" s="1"/>
  <c r="H134" i="52" s="1"/>
  <c r="H146" i="52" s="1"/>
  <c r="H116" i="42"/>
  <c r="H128" i="42" s="1"/>
  <c r="H8" i="52" s="1"/>
  <c r="H20" i="52" s="1"/>
  <c r="H32" i="52" s="1"/>
  <c r="H44" i="52" s="1"/>
  <c r="H56" i="52" s="1"/>
  <c r="H68" i="52" s="1"/>
  <c r="H80" i="52" s="1"/>
  <c r="H92" i="52" s="1"/>
  <c r="H104" i="52" s="1"/>
  <c r="H116" i="52" s="1"/>
  <c r="H128" i="52" s="1"/>
  <c r="H140" i="52" s="1"/>
  <c r="G119" i="42"/>
  <c r="G113" i="42"/>
  <c r="H117" i="42"/>
  <c r="H129" i="42" s="1"/>
  <c r="H9" i="52" s="1"/>
  <c r="H21" i="52" s="1"/>
  <c r="H33" i="52" s="1"/>
  <c r="H45" i="52" s="1"/>
  <c r="H57" i="52" s="1"/>
  <c r="H69" i="52" s="1"/>
  <c r="H81" i="52" s="1"/>
  <c r="H93" i="52" s="1"/>
  <c r="H105" i="52" s="1"/>
  <c r="H117" i="52" s="1"/>
  <c r="H129" i="52" s="1"/>
  <c r="H141" i="52" s="1"/>
  <c r="H114" i="42"/>
  <c r="H126" i="42" s="1"/>
  <c r="H6" i="52" s="1"/>
  <c r="H18" i="52" s="1"/>
  <c r="H30" i="52" s="1"/>
  <c r="H42" i="52" s="1"/>
  <c r="H54" i="52" s="1"/>
  <c r="H66" i="52" s="1"/>
  <c r="H78" i="52" s="1"/>
  <c r="H90" i="52" s="1"/>
  <c r="H102" i="52" s="1"/>
  <c r="H114" i="52" s="1"/>
  <c r="H126" i="52" s="1"/>
  <c r="H138" i="52" s="1"/>
  <c r="G120" i="42"/>
  <c r="G122" i="42"/>
  <c r="G114" i="42"/>
  <c r="Z41" i="32"/>
  <c r="G112" i="42"/>
  <c r="H115" i="42"/>
  <c r="H127" i="42" s="1"/>
  <c r="H7" i="52" s="1"/>
  <c r="H19" i="52" s="1"/>
  <c r="H31" i="52" s="1"/>
  <c r="G118" i="42"/>
  <c r="S118" i="42" s="1"/>
  <c r="H121" i="42"/>
  <c r="H133" i="42" s="1"/>
  <c r="H13" i="52" s="1"/>
  <c r="H25" i="52" s="1"/>
  <c r="H37" i="52" s="1"/>
  <c r="H49" i="52" s="1"/>
  <c r="H61" i="52" s="1"/>
  <c r="H113" i="42"/>
  <c r="H125" i="42" s="1"/>
  <c r="H5" i="52" s="1"/>
  <c r="H17" i="52" s="1"/>
  <c r="H29" i="52" s="1"/>
  <c r="H41" i="52" s="1"/>
  <c r="H53" i="52" s="1"/>
  <c r="D326" i="27"/>
  <c r="Z21" i="32"/>
  <c r="E326" i="27"/>
  <c r="G116" i="42"/>
  <c r="H119" i="42"/>
  <c r="H131" i="42" s="1"/>
  <c r="H11" i="52" s="1"/>
  <c r="H23" i="52" s="1"/>
  <c r="H35" i="52" s="1"/>
  <c r="H47" i="52" s="1"/>
  <c r="H111" i="42"/>
  <c r="H123" i="42" s="1"/>
  <c r="G117" i="42"/>
  <c r="H120" i="42"/>
  <c r="H132" i="42" s="1"/>
  <c r="H12" i="52" s="1"/>
  <c r="H24" i="52" s="1"/>
  <c r="H36" i="52" s="1"/>
  <c r="H48" i="52" s="1"/>
  <c r="H60" i="52" s="1"/>
  <c r="H72" i="52" s="1"/>
  <c r="H84" i="52" s="1"/>
  <c r="H96" i="52" s="1"/>
  <c r="H108" i="52" s="1"/>
  <c r="H120" i="52" s="1"/>
  <c r="H132" i="52" s="1"/>
  <c r="H144" i="52" s="1"/>
  <c r="H112" i="42"/>
  <c r="H124" i="42" s="1"/>
  <c r="H4" i="52" s="1"/>
  <c r="H16" i="52" s="1"/>
  <c r="H28" i="52" s="1"/>
  <c r="H40" i="52" s="1"/>
  <c r="H52" i="52" s="1"/>
  <c r="H64" i="52" s="1"/>
  <c r="H76" i="52" s="1"/>
  <c r="H88" i="52" s="1"/>
  <c r="H100" i="52" s="1"/>
  <c r="H112" i="52" s="1"/>
  <c r="H124" i="52" s="1"/>
  <c r="H136" i="52" s="1"/>
  <c r="G111" i="42"/>
  <c r="G115" i="42"/>
  <c r="H118" i="42"/>
  <c r="H130" i="42" s="1"/>
  <c r="H10" i="52" s="1"/>
  <c r="H22" i="52" s="1"/>
  <c r="H34" i="52" s="1"/>
  <c r="H46" i="52" s="1"/>
  <c r="H58" i="52" s="1"/>
  <c r="H70" i="52" s="1"/>
  <c r="H82" i="52" s="1"/>
  <c r="H94" i="52" s="1"/>
  <c r="H106" i="52" s="1"/>
  <c r="H118" i="52" s="1"/>
  <c r="H130" i="52" s="1"/>
  <c r="H142" i="52" s="1"/>
  <c r="I35" i="11"/>
  <c r="D42" i="18"/>
  <c r="D414" i="49" s="1"/>
  <c r="I68" i="11"/>
  <c r="G42" i="18"/>
  <c r="I13" i="9"/>
  <c r="I17" i="51"/>
  <c r="C106" i="49" s="1"/>
  <c r="C161" i="49" s="1"/>
  <c r="K13" i="9"/>
  <c r="I26" i="51"/>
  <c r="E106" i="49" s="1"/>
  <c r="E161" i="49" s="1"/>
  <c r="I58" i="11"/>
  <c r="I73" i="11"/>
  <c r="H42" i="18"/>
  <c r="I414" i="49" s="1"/>
  <c r="J414" i="49" s="1"/>
  <c r="H13" i="9"/>
  <c r="I6" i="51"/>
  <c r="I13" i="51"/>
  <c r="B106" i="49" s="1"/>
  <c r="B161" i="49" s="1"/>
  <c r="M13" i="9"/>
  <c r="I40" i="51"/>
  <c r="G106" i="49" s="1"/>
  <c r="G161" i="49" s="1"/>
  <c r="I49" i="11"/>
  <c r="F42" i="18"/>
  <c r="J13" i="9"/>
  <c r="I21" i="51"/>
  <c r="D106" i="49" s="1"/>
  <c r="D161" i="49" s="1"/>
  <c r="O13" i="9"/>
  <c r="I45" i="51"/>
  <c r="H106" i="49" s="1"/>
  <c r="I161" i="49" s="1"/>
  <c r="I78" i="11"/>
  <c r="U13" i="9"/>
  <c r="I7" i="51"/>
  <c r="N42" i="18"/>
  <c r="S122" i="42" l="1"/>
  <c r="S113" i="42"/>
  <c r="S116" i="42"/>
  <c r="S117" i="42"/>
  <c r="S112" i="42"/>
  <c r="S120" i="42"/>
  <c r="S119" i="42"/>
  <c r="S115" i="42"/>
  <c r="S111" i="42"/>
  <c r="S114" i="42"/>
  <c r="S121" i="42"/>
  <c r="G128" i="42"/>
  <c r="S128" i="42" s="1"/>
  <c r="G127" i="42"/>
  <c r="S127" i="42" s="1"/>
  <c r="G123" i="42"/>
  <c r="S123" i="42" s="1"/>
  <c r="G129" i="42"/>
  <c r="S129" i="42" s="1"/>
  <c r="G132" i="42"/>
  <c r="S132" i="42" s="1"/>
  <c r="G125" i="42"/>
  <c r="S125" i="42" s="1"/>
  <c r="G126" i="42"/>
  <c r="S126" i="42" s="1"/>
  <c r="G130" i="42"/>
  <c r="S130" i="42" s="1"/>
  <c r="G124" i="42"/>
  <c r="S124" i="42" s="1"/>
  <c r="G131" i="42"/>
  <c r="S131" i="42" s="1"/>
  <c r="G134" i="42"/>
  <c r="S134" i="42" s="1"/>
  <c r="G133" i="42"/>
  <c r="S133" i="42" s="1"/>
  <c r="I43" i="50"/>
  <c r="I51" i="49" s="1"/>
  <c r="W492" i="49"/>
  <c r="I53" i="50"/>
  <c r="K51" i="49" s="1"/>
  <c r="W502" i="49"/>
  <c r="G44" i="18"/>
  <c r="H416" i="49" s="1"/>
  <c r="H414" i="49"/>
  <c r="F44" i="18"/>
  <c r="F416" i="49" s="1"/>
  <c r="F414" i="49"/>
  <c r="I48" i="50"/>
  <c r="J51" i="49" s="1"/>
  <c r="W497" i="49"/>
  <c r="I34" i="50"/>
  <c r="G51" i="49" s="1"/>
  <c r="W473" i="49"/>
  <c r="I49" i="51"/>
  <c r="W482" i="49"/>
  <c r="I31" i="51"/>
  <c r="F106" i="49" s="1"/>
  <c r="F161" i="49" s="1"/>
  <c r="W458" i="49"/>
  <c r="I8" i="51"/>
  <c r="H73" i="52"/>
  <c r="H85" i="52" s="1"/>
  <c r="H97" i="52" s="1"/>
  <c r="H109" i="52" s="1"/>
  <c r="H121" i="52" s="1"/>
  <c r="H133" i="52" s="1"/>
  <c r="H145" i="52" s="1"/>
  <c r="H44" i="18"/>
  <c r="I9" i="18"/>
  <c r="J402" i="49" s="1"/>
  <c r="H65" i="52"/>
  <c r="H77" i="52" s="1"/>
  <c r="H89" i="52" s="1"/>
  <c r="H101" i="52" s="1"/>
  <c r="H113" i="52" s="1"/>
  <c r="H125" i="52" s="1"/>
  <c r="H137" i="52" s="1"/>
  <c r="H43" i="52"/>
  <c r="H55" i="52" s="1"/>
  <c r="H67" i="52" s="1"/>
  <c r="H79" i="52" s="1"/>
  <c r="H91" i="52" s="1"/>
  <c r="H103" i="52" s="1"/>
  <c r="H115" i="52" s="1"/>
  <c r="H127" i="52" s="1"/>
  <c r="H139" i="52" s="1"/>
  <c r="G135" i="42"/>
  <c r="G3" i="52"/>
  <c r="H135" i="42"/>
  <c r="H3" i="52"/>
  <c r="H15" i="52" s="1"/>
  <c r="H27" i="52" s="1"/>
  <c r="H39" i="52" s="1"/>
  <c r="H51" i="52" s="1"/>
  <c r="H63" i="52" s="1"/>
  <c r="H75" i="52" s="1"/>
  <c r="H87" i="52" s="1"/>
  <c r="H99" i="52" s="1"/>
  <c r="H111" i="52" s="1"/>
  <c r="H123" i="52" s="1"/>
  <c r="H135" i="52" s="1"/>
  <c r="H59" i="52"/>
  <c r="H71" i="52" s="1"/>
  <c r="H83" i="52" s="1"/>
  <c r="H95" i="52" s="1"/>
  <c r="H107" i="52" s="1"/>
  <c r="H119" i="52" s="1"/>
  <c r="H131" i="52" s="1"/>
  <c r="H143" i="52" s="1"/>
  <c r="I44" i="11"/>
  <c r="W468" i="49" s="1"/>
  <c r="E42" i="18"/>
  <c r="I54" i="11"/>
  <c r="I25" i="11"/>
  <c r="W448" i="49" s="1"/>
  <c r="B42" i="18"/>
  <c r="B414" i="49" s="1"/>
  <c r="I17" i="11"/>
  <c r="I21" i="11"/>
  <c r="G13" i="9"/>
  <c r="I10" i="11" s="1"/>
  <c r="I30" i="11"/>
  <c r="W453" i="49" s="1"/>
  <c r="C42" i="18"/>
  <c r="C414" i="49" s="1"/>
  <c r="I63" i="11"/>
  <c r="W487" i="49" s="1"/>
  <c r="J42" i="18"/>
  <c r="G414" i="49" s="1"/>
  <c r="N44" i="18"/>
  <c r="E161" i="42"/>
  <c r="I4" i="50" s="1"/>
  <c r="R3" i="52" l="1"/>
  <c r="S135" i="42"/>
  <c r="G10" i="52"/>
  <c r="G6" i="52"/>
  <c r="G11" i="52"/>
  <c r="G5" i="52"/>
  <c r="G7" i="52"/>
  <c r="G13" i="52"/>
  <c r="G14" i="52"/>
  <c r="G9" i="52"/>
  <c r="G4" i="52"/>
  <c r="G12" i="52"/>
  <c r="G8" i="52"/>
  <c r="I58" i="50"/>
  <c r="E44" i="18"/>
  <c r="E416" i="49" s="1"/>
  <c r="E414" i="49"/>
  <c r="B37" i="49"/>
  <c r="W435" i="49"/>
  <c r="AL680" i="49"/>
  <c r="AK730" i="49"/>
  <c r="W444" i="49"/>
  <c r="AK729" i="49"/>
  <c r="AL679" i="49"/>
  <c r="W440" i="49"/>
  <c r="I44" i="18"/>
  <c r="I416" i="49"/>
  <c r="J416" i="49" s="1"/>
  <c r="H161" i="49"/>
  <c r="L51" i="49"/>
  <c r="M161" i="49"/>
  <c r="AK737" i="49"/>
  <c r="AL687" i="49"/>
  <c r="W478" i="49"/>
  <c r="L161" i="49"/>
  <c r="K161" i="49"/>
  <c r="G15" i="52"/>
  <c r="R15" i="52" s="1"/>
  <c r="I87" i="11"/>
  <c r="J44" i="18"/>
  <c r="G416" i="49" s="1"/>
  <c r="I54" i="51"/>
  <c r="I59" i="51" s="1"/>
  <c r="I83" i="11"/>
  <c r="I11" i="11"/>
  <c r="G25" i="52" l="1"/>
  <c r="R13" i="52"/>
  <c r="G20" i="52"/>
  <c r="R8" i="52"/>
  <c r="G24" i="52"/>
  <c r="R12" i="52"/>
  <c r="G16" i="52"/>
  <c r="R4" i="52"/>
  <c r="G22" i="52"/>
  <c r="R10" i="52"/>
  <c r="G19" i="52"/>
  <c r="R7" i="52"/>
  <c r="G18" i="52"/>
  <c r="R6" i="52"/>
  <c r="G21" i="52"/>
  <c r="R9" i="52"/>
  <c r="G17" i="52"/>
  <c r="R5" i="52"/>
  <c r="G23" i="52"/>
  <c r="R11" i="52"/>
  <c r="G26" i="52"/>
  <c r="R14" i="52"/>
  <c r="I110" i="11"/>
  <c r="I115" i="11" s="1"/>
  <c r="W507" i="49"/>
  <c r="G27" i="52"/>
  <c r="R27" i="52" s="1"/>
  <c r="I100" i="11"/>
  <c r="F112" i="42"/>
  <c r="F113" i="42"/>
  <c r="F114" i="42"/>
  <c r="F115" i="42"/>
  <c r="F116" i="42"/>
  <c r="F117" i="42"/>
  <c r="F118" i="42"/>
  <c r="F119" i="42"/>
  <c r="F120" i="42"/>
  <c r="F121" i="42"/>
  <c r="F122" i="42"/>
  <c r="I38" i="50"/>
  <c r="H75" i="49" s="1"/>
  <c r="I28" i="50"/>
  <c r="F75" i="49" s="1"/>
  <c r="I23" i="50"/>
  <c r="E75" i="49" s="1"/>
  <c r="I18" i="50"/>
  <c r="D75" i="49" s="1"/>
  <c r="I14" i="50"/>
  <c r="C75" i="49" s="1"/>
  <c r="I10" i="50"/>
  <c r="B75" i="49" s="1"/>
  <c r="N8" i="18"/>
  <c r="D371" i="49" s="1"/>
  <c r="N7" i="18"/>
  <c r="D370" i="49" s="1"/>
  <c r="N6" i="18"/>
  <c r="D369" i="49" s="1"/>
  <c r="N5" i="18"/>
  <c r="D368" i="49" s="1"/>
  <c r="I44" i="51"/>
  <c r="H130" i="49" s="1"/>
  <c r="I39" i="51"/>
  <c r="G130" i="49" s="1"/>
  <c r="I25" i="51"/>
  <c r="E130" i="49" s="1"/>
  <c r="I20" i="51"/>
  <c r="D130" i="49" s="1"/>
  <c r="I16" i="51"/>
  <c r="C130" i="49" s="1"/>
  <c r="I12" i="51"/>
  <c r="B130" i="49" s="1"/>
  <c r="G28" i="52" l="1"/>
  <c r="R16" i="52"/>
  <c r="R18" i="52"/>
  <c r="G30" i="52"/>
  <c r="G35" i="52"/>
  <c r="R23" i="52"/>
  <c r="R19" i="52"/>
  <c r="G31" i="52"/>
  <c r="G32" i="52"/>
  <c r="R20" i="52"/>
  <c r="G33" i="52"/>
  <c r="R21" i="52"/>
  <c r="G36" i="52"/>
  <c r="R24" i="52"/>
  <c r="R26" i="52"/>
  <c r="G38" i="52"/>
  <c r="G29" i="52"/>
  <c r="R17" i="52"/>
  <c r="R22" i="52"/>
  <c r="G34" i="52"/>
  <c r="G37" i="52"/>
  <c r="R25" i="52"/>
  <c r="B185" i="49"/>
  <c r="B84" i="49"/>
  <c r="C185" i="49"/>
  <c r="C84" i="49"/>
  <c r="D185" i="49"/>
  <c r="D84" i="49"/>
  <c r="I185" i="49"/>
  <c r="H84" i="49"/>
  <c r="E185" i="49"/>
  <c r="E84" i="49"/>
  <c r="G185" i="49"/>
  <c r="F84" i="49"/>
  <c r="G39" i="52"/>
  <c r="R39" i="52" s="1"/>
  <c r="F111" i="42"/>
  <c r="D161" i="42"/>
  <c r="I4" i="51" s="1"/>
  <c r="A53" i="50"/>
  <c r="A54" i="50"/>
  <c r="A52" i="50"/>
  <c r="A49" i="50"/>
  <c r="A48" i="50"/>
  <c r="A47" i="50"/>
  <c r="A46" i="50"/>
  <c r="J42" i="49" s="1"/>
  <c r="J65" i="49" s="1"/>
  <c r="A43" i="50"/>
  <c r="A44" i="50"/>
  <c r="A42" i="50"/>
  <c r="A41" i="50"/>
  <c r="A55" i="51"/>
  <c r="A54" i="51"/>
  <c r="A53" i="51"/>
  <c r="A52" i="51"/>
  <c r="A49" i="51"/>
  <c r="A50" i="51"/>
  <c r="A48" i="51"/>
  <c r="A47" i="51"/>
  <c r="R38" i="52" l="1"/>
  <c r="G50" i="52"/>
  <c r="G48" i="52"/>
  <c r="R36" i="52"/>
  <c r="R33" i="52"/>
  <c r="G45" i="52"/>
  <c r="R31" i="52"/>
  <c r="G43" i="52"/>
  <c r="G49" i="52"/>
  <c r="R37" i="52"/>
  <c r="R35" i="52"/>
  <c r="G47" i="52"/>
  <c r="R34" i="52"/>
  <c r="G46" i="52"/>
  <c r="R30" i="52"/>
  <c r="G42" i="52"/>
  <c r="G41" i="52"/>
  <c r="R29" i="52"/>
  <c r="G44" i="52"/>
  <c r="R32" i="52"/>
  <c r="G40" i="52"/>
  <c r="R28" i="52"/>
  <c r="G51" i="52"/>
  <c r="R51" i="52" s="1"/>
  <c r="F161" i="42"/>
  <c r="B256" i="49" s="1"/>
  <c r="D122" i="54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B100" i="54"/>
  <c r="B117" i="54" s="1"/>
  <c r="B98" i="54"/>
  <c r="B115" i="54" s="1"/>
  <c r="B97" i="54"/>
  <c r="B114" i="54" s="1"/>
  <c r="B96" i="54"/>
  <c r="B113" i="54" s="1"/>
  <c r="B95" i="54"/>
  <c r="B112" i="54" s="1"/>
  <c r="B94" i="54"/>
  <c r="B111" i="54" s="1"/>
  <c r="B93" i="54"/>
  <c r="B110" i="54" s="1"/>
  <c r="D88" i="54"/>
  <c r="D87" i="54"/>
  <c r="D86" i="54"/>
  <c r="D85" i="54"/>
  <c r="D84" i="54"/>
  <c r="D83" i="54"/>
  <c r="D82" i="54"/>
  <c r="D81" i="54"/>
  <c r="D80" i="54"/>
  <c r="D79" i="54"/>
  <c r="D78" i="54"/>
  <c r="D77" i="54"/>
  <c r="D76" i="54"/>
  <c r="D75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B30" i="54"/>
  <c r="B47" i="54" s="1"/>
  <c r="B65" i="54" s="1"/>
  <c r="B83" i="54" s="1"/>
  <c r="B28" i="54"/>
  <c r="B45" i="54" s="1"/>
  <c r="B63" i="54" s="1"/>
  <c r="B81" i="54" s="1"/>
  <c r="B27" i="54"/>
  <c r="B44" i="54" s="1"/>
  <c r="B62" i="54" s="1"/>
  <c r="B80" i="54" s="1"/>
  <c r="B26" i="54"/>
  <c r="B43" i="54" s="1"/>
  <c r="B60" i="54" s="1"/>
  <c r="B78" i="54" s="1"/>
  <c r="B25" i="54"/>
  <c r="B42" i="54" s="1"/>
  <c r="B59" i="54" s="1"/>
  <c r="B77" i="54" s="1"/>
  <c r="B24" i="54"/>
  <c r="B41" i="54" s="1"/>
  <c r="B58" i="54" s="1"/>
  <c r="B76" i="54" s="1"/>
  <c r="B23" i="54"/>
  <c r="B40" i="54" s="1"/>
  <c r="B57" i="54" s="1"/>
  <c r="B75" i="54" s="1"/>
  <c r="B17" i="54"/>
  <c r="B105" i="54" s="1"/>
  <c r="B122" i="54" s="1"/>
  <c r="B16" i="54"/>
  <c r="B104" i="54" s="1"/>
  <c r="B121" i="54" s="1"/>
  <c r="B15" i="54"/>
  <c r="B103" i="54" s="1"/>
  <c r="B120" i="54" s="1"/>
  <c r="B14" i="54"/>
  <c r="B102" i="54" s="1"/>
  <c r="B119" i="54" s="1"/>
  <c r="B13" i="54"/>
  <c r="B101" i="54" s="1"/>
  <c r="B118" i="54" s="1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B100" i="53"/>
  <c r="B117" i="53" s="1"/>
  <c r="B98" i="53"/>
  <c r="B115" i="53" s="1"/>
  <c r="B97" i="53"/>
  <c r="B114" i="53" s="1"/>
  <c r="B96" i="53"/>
  <c r="B113" i="53" s="1"/>
  <c r="B95" i="53"/>
  <c r="B112" i="53" s="1"/>
  <c r="B94" i="53"/>
  <c r="B111" i="53" s="1"/>
  <c r="B93" i="53"/>
  <c r="B110" i="53" s="1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D75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B30" i="53"/>
  <c r="B47" i="53" s="1"/>
  <c r="B65" i="53" s="1"/>
  <c r="B83" i="53" s="1"/>
  <c r="B28" i="53"/>
  <c r="B45" i="53" s="1"/>
  <c r="B63" i="53" s="1"/>
  <c r="B81" i="53" s="1"/>
  <c r="B27" i="53"/>
  <c r="B44" i="53" s="1"/>
  <c r="B62" i="53" s="1"/>
  <c r="B80" i="53" s="1"/>
  <c r="B26" i="53"/>
  <c r="B43" i="53" s="1"/>
  <c r="B60" i="53" s="1"/>
  <c r="B78" i="53" s="1"/>
  <c r="B25" i="53"/>
  <c r="B42" i="53" s="1"/>
  <c r="B59" i="53" s="1"/>
  <c r="B77" i="53" s="1"/>
  <c r="B24" i="53"/>
  <c r="B41" i="53" s="1"/>
  <c r="B58" i="53" s="1"/>
  <c r="B76" i="53" s="1"/>
  <c r="B23" i="53"/>
  <c r="B40" i="53" s="1"/>
  <c r="B57" i="53" s="1"/>
  <c r="B75" i="53" s="1"/>
  <c r="B17" i="53"/>
  <c r="B105" i="53" s="1"/>
  <c r="B122" i="53" s="1"/>
  <c r="B16" i="53"/>
  <c r="B104" i="53" s="1"/>
  <c r="B121" i="53" s="1"/>
  <c r="B15" i="53"/>
  <c r="B103" i="53" s="1"/>
  <c r="B120" i="53" s="1"/>
  <c r="B14" i="53"/>
  <c r="B102" i="53" s="1"/>
  <c r="B119" i="53" s="1"/>
  <c r="B13" i="53"/>
  <c r="B101" i="53" s="1"/>
  <c r="B118" i="53" s="1"/>
  <c r="C64" i="11"/>
  <c r="D64" i="11"/>
  <c r="E64" i="11"/>
  <c r="F64" i="11"/>
  <c r="G64" i="11"/>
  <c r="H64" i="11"/>
  <c r="B64" i="11"/>
  <c r="C63" i="11"/>
  <c r="C54" i="51" s="1"/>
  <c r="D63" i="11"/>
  <c r="D54" i="51" s="1"/>
  <c r="B63" i="11"/>
  <c r="B54" i="51" s="1"/>
  <c r="C40" i="11"/>
  <c r="D40" i="11"/>
  <c r="N2" i="18"/>
  <c r="R42" i="52" l="1"/>
  <c r="G54" i="52"/>
  <c r="R43" i="52"/>
  <c r="G55" i="52"/>
  <c r="G56" i="52"/>
  <c r="R44" i="52"/>
  <c r="G60" i="52"/>
  <c r="R48" i="52"/>
  <c r="G58" i="52"/>
  <c r="R46" i="52"/>
  <c r="G62" i="52"/>
  <c r="R50" i="52"/>
  <c r="R45" i="52"/>
  <c r="G57" i="52"/>
  <c r="G52" i="52"/>
  <c r="R40" i="52"/>
  <c r="R47" i="52"/>
  <c r="G59" i="52"/>
  <c r="G53" i="52"/>
  <c r="R41" i="52"/>
  <c r="R49" i="52"/>
  <c r="G61" i="52"/>
  <c r="B40" i="11"/>
  <c r="B36" i="51" s="1"/>
  <c r="D365" i="49"/>
  <c r="G55" i="51"/>
  <c r="AK640" i="49"/>
  <c r="AL590" i="49"/>
  <c r="U488" i="49"/>
  <c r="D36" i="51"/>
  <c r="R463" i="49"/>
  <c r="F55" i="51"/>
  <c r="AL540" i="49"/>
  <c r="AK590" i="49"/>
  <c r="T488" i="49"/>
  <c r="B55" i="51"/>
  <c r="P488" i="49"/>
  <c r="D55" i="51"/>
  <c r="R488" i="49"/>
  <c r="H55" i="51"/>
  <c r="AK689" i="49"/>
  <c r="AL640" i="49"/>
  <c r="V488" i="49"/>
  <c r="C36" i="51"/>
  <c r="Q463" i="49"/>
  <c r="E55" i="51"/>
  <c r="S488" i="49"/>
  <c r="C55" i="51"/>
  <c r="Q488" i="49"/>
  <c r="G63" i="52"/>
  <c r="R63" i="52" s="1"/>
  <c r="B13" i="9"/>
  <c r="F13" i="9" s="1"/>
  <c r="I4" i="11"/>
  <c r="W428" i="49" s="1"/>
  <c r="C11" i="11"/>
  <c r="B11" i="11"/>
  <c r="D11" i="11"/>
  <c r="B32" i="53"/>
  <c r="B49" i="53" s="1"/>
  <c r="B67" i="53" s="1"/>
  <c r="B85" i="53" s="1"/>
  <c r="B32" i="54"/>
  <c r="B49" i="54" s="1"/>
  <c r="B67" i="54" s="1"/>
  <c r="B85" i="54" s="1"/>
  <c r="B33" i="53"/>
  <c r="B50" i="53" s="1"/>
  <c r="B68" i="53" s="1"/>
  <c r="B86" i="53" s="1"/>
  <c r="B33" i="54"/>
  <c r="B50" i="54" s="1"/>
  <c r="B68" i="54" s="1"/>
  <c r="B86" i="54" s="1"/>
  <c r="B34" i="53"/>
  <c r="B51" i="53" s="1"/>
  <c r="B69" i="53" s="1"/>
  <c r="B87" i="53" s="1"/>
  <c r="B34" i="54"/>
  <c r="B51" i="54" s="1"/>
  <c r="B69" i="54" s="1"/>
  <c r="B87" i="54" s="1"/>
  <c r="B31" i="54"/>
  <c r="B48" i="54" s="1"/>
  <c r="B66" i="54" s="1"/>
  <c r="B84" i="54" s="1"/>
  <c r="B35" i="54"/>
  <c r="B52" i="54" s="1"/>
  <c r="B70" i="54" s="1"/>
  <c r="B88" i="54" s="1"/>
  <c r="B31" i="53"/>
  <c r="B48" i="53" s="1"/>
  <c r="B66" i="53" s="1"/>
  <c r="B84" i="53" s="1"/>
  <c r="B35" i="53"/>
  <c r="B52" i="53" s="1"/>
  <c r="B70" i="53" s="1"/>
  <c r="B88" i="53" s="1"/>
  <c r="G64" i="52" l="1"/>
  <c r="R52" i="52"/>
  <c r="G72" i="52"/>
  <c r="R60" i="52"/>
  <c r="R57" i="52"/>
  <c r="G69" i="52"/>
  <c r="R53" i="52"/>
  <c r="G65" i="52"/>
  <c r="G74" i="52"/>
  <c r="R62" i="52"/>
  <c r="G68" i="52"/>
  <c r="R56" i="52"/>
  <c r="R59" i="52"/>
  <c r="G71" i="52"/>
  <c r="G66" i="52"/>
  <c r="R54" i="52"/>
  <c r="R61" i="52"/>
  <c r="G73" i="52"/>
  <c r="R55" i="52"/>
  <c r="G67" i="52"/>
  <c r="G70" i="52"/>
  <c r="R58" i="52"/>
  <c r="AK606" i="49"/>
  <c r="AK656" i="49"/>
  <c r="AK556" i="49"/>
  <c r="G75" i="52"/>
  <c r="R75" i="52" s="1"/>
  <c r="I79" i="11"/>
  <c r="H30" i="50"/>
  <c r="H25" i="50"/>
  <c r="H20" i="50"/>
  <c r="H39" i="50"/>
  <c r="H29" i="50"/>
  <c r="H24" i="50"/>
  <c r="H19" i="50"/>
  <c r="H15" i="50"/>
  <c r="H11" i="50"/>
  <c r="G19" i="50"/>
  <c r="F19" i="50"/>
  <c r="E19" i="50"/>
  <c r="D19" i="50"/>
  <c r="C19" i="50"/>
  <c r="B19" i="50"/>
  <c r="G40" i="11"/>
  <c r="F40" i="11"/>
  <c r="E40" i="11"/>
  <c r="H26" i="51"/>
  <c r="E105" i="49" s="1"/>
  <c r="H21" i="51"/>
  <c r="D105" i="49" s="1"/>
  <c r="H17" i="51"/>
  <c r="C105" i="49" s="1"/>
  <c r="H13" i="51"/>
  <c r="B105" i="49" s="1"/>
  <c r="H45" i="51"/>
  <c r="H105" i="49" s="1"/>
  <c r="H40" i="51"/>
  <c r="G105" i="49" s="1"/>
  <c r="R65" i="52" l="1"/>
  <c r="G77" i="52"/>
  <c r="R67" i="52"/>
  <c r="G79" i="52"/>
  <c r="G80" i="52"/>
  <c r="R68" i="52"/>
  <c r="G84" i="52"/>
  <c r="R72" i="52"/>
  <c r="G81" i="52"/>
  <c r="R69" i="52"/>
  <c r="G82" i="52"/>
  <c r="R70" i="52"/>
  <c r="R73" i="52"/>
  <c r="G85" i="52"/>
  <c r="G78" i="52"/>
  <c r="R66" i="52"/>
  <c r="G83" i="52"/>
  <c r="R71" i="52"/>
  <c r="G86" i="52"/>
  <c r="R74" i="52"/>
  <c r="G76" i="52"/>
  <c r="R64" i="52"/>
  <c r="F36" i="51"/>
  <c r="AK585" i="49"/>
  <c r="AL535" i="49"/>
  <c r="T463" i="49"/>
  <c r="E36" i="51"/>
  <c r="S463" i="49"/>
  <c r="G36" i="51"/>
  <c r="AL585" i="49"/>
  <c r="AK635" i="49"/>
  <c r="U463" i="49"/>
  <c r="I54" i="50"/>
  <c r="AK742" i="49"/>
  <c r="AL692" i="49"/>
  <c r="W503" i="49"/>
  <c r="G87" i="52"/>
  <c r="R87" i="52" s="1"/>
  <c r="H40" i="11"/>
  <c r="G92" i="52" l="1"/>
  <c r="R80" i="52"/>
  <c r="R86" i="52"/>
  <c r="G98" i="52"/>
  <c r="G94" i="52"/>
  <c r="R82" i="52"/>
  <c r="G96" i="52"/>
  <c r="R84" i="52"/>
  <c r="R85" i="52"/>
  <c r="G97" i="52"/>
  <c r="G88" i="52"/>
  <c r="R76" i="52"/>
  <c r="R79" i="52"/>
  <c r="G91" i="52"/>
  <c r="R77" i="52"/>
  <c r="G89" i="52"/>
  <c r="G90" i="52"/>
  <c r="R78" i="52"/>
  <c r="R83" i="52"/>
  <c r="G95" i="52"/>
  <c r="G93" i="52"/>
  <c r="R81" i="52"/>
  <c r="H36" i="51"/>
  <c r="AL635" i="49"/>
  <c r="AK684" i="49"/>
  <c r="V463" i="49"/>
  <c r="AK551" i="49"/>
  <c r="AK601" i="49"/>
  <c r="G99" i="52"/>
  <c r="R99" i="52" s="1"/>
  <c r="I40" i="11"/>
  <c r="N10" i="18"/>
  <c r="D373" i="49" s="1"/>
  <c r="C2" i="18"/>
  <c r="D2" i="18"/>
  <c r="E2" i="18"/>
  <c r="F2" i="18"/>
  <c r="F395" i="49" s="1"/>
  <c r="G2" i="18"/>
  <c r="H2" i="18"/>
  <c r="J2" i="18"/>
  <c r="C3" i="18"/>
  <c r="D3" i="18"/>
  <c r="D396" i="49" s="1"/>
  <c r="E3" i="18"/>
  <c r="F3" i="18"/>
  <c r="F396" i="49" s="1"/>
  <c r="G3" i="18"/>
  <c r="H3" i="18"/>
  <c r="J3" i="18"/>
  <c r="C4" i="18"/>
  <c r="D4" i="18"/>
  <c r="D397" i="49" s="1"/>
  <c r="E4" i="18"/>
  <c r="F4" i="18"/>
  <c r="F397" i="49" s="1"/>
  <c r="G4" i="18"/>
  <c r="H4" i="18"/>
  <c r="J4" i="18"/>
  <c r="C5" i="18"/>
  <c r="D5" i="18"/>
  <c r="D398" i="49" s="1"/>
  <c r="E5" i="18"/>
  <c r="F5" i="18"/>
  <c r="F398" i="49" s="1"/>
  <c r="G5" i="18"/>
  <c r="H5" i="18"/>
  <c r="J5" i="18"/>
  <c r="C6" i="18"/>
  <c r="D6" i="18"/>
  <c r="D399" i="49" s="1"/>
  <c r="E6" i="18"/>
  <c r="F6" i="18"/>
  <c r="F399" i="49" s="1"/>
  <c r="G6" i="18"/>
  <c r="H6" i="18"/>
  <c r="J6" i="18"/>
  <c r="C7" i="18"/>
  <c r="D7" i="18"/>
  <c r="D400" i="49" s="1"/>
  <c r="E7" i="18"/>
  <c r="F7" i="18"/>
  <c r="F400" i="49" s="1"/>
  <c r="G7" i="18"/>
  <c r="H7" i="18"/>
  <c r="J7" i="18"/>
  <c r="C8" i="18"/>
  <c r="D8" i="18"/>
  <c r="D401" i="49" s="1"/>
  <c r="E8" i="18"/>
  <c r="F8" i="18"/>
  <c r="F401" i="49" s="1"/>
  <c r="G8" i="18"/>
  <c r="H8" i="18"/>
  <c r="J8" i="18"/>
  <c r="R89" i="52" l="1"/>
  <c r="G101" i="52"/>
  <c r="R94" i="52"/>
  <c r="G106" i="52"/>
  <c r="R95" i="52"/>
  <c r="G107" i="52"/>
  <c r="G100" i="52"/>
  <c r="R88" i="52"/>
  <c r="R91" i="52"/>
  <c r="G103" i="52"/>
  <c r="R93" i="52"/>
  <c r="G105" i="52"/>
  <c r="R98" i="52"/>
  <c r="G110" i="52"/>
  <c r="R97" i="52"/>
  <c r="G109" i="52"/>
  <c r="G108" i="52"/>
  <c r="R96" i="52"/>
  <c r="G102" i="52"/>
  <c r="R90" i="52"/>
  <c r="G104" i="52"/>
  <c r="R92" i="52"/>
  <c r="E106" i="11"/>
  <c r="E105" i="11" s="1"/>
  <c r="E59" i="11" s="1"/>
  <c r="S483" i="49" s="1"/>
  <c r="G398" i="49"/>
  <c r="C69" i="11"/>
  <c r="H396" i="49"/>
  <c r="F106" i="11"/>
  <c r="F105" i="11" s="1"/>
  <c r="F59" i="11" s="1"/>
  <c r="F50" i="51" s="1"/>
  <c r="G399" i="49"/>
  <c r="B45" i="11"/>
  <c r="P469" i="49" s="1"/>
  <c r="E395" i="49"/>
  <c r="F74" i="11"/>
  <c r="I399" i="49"/>
  <c r="G74" i="11"/>
  <c r="I400" i="49"/>
  <c r="D45" i="11"/>
  <c r="R469" i="49" s="1"/>
  <c r="E397" i="49"/>
  <c r="B69" i="11"/>
  <c r="H395" i="49"/>
  <c r="D74" i="11"/>
  <c r="I397" i="49"/>
  <c r="E74" i="11"/>
  <c r="I398" i="49"/>
  <c r="E69" i="11"/>
  <c r="H398" i="49"/>
  <c r="H106" i="11"/>
  <c r="H105" i="11" s="1"/>
  <c r="H59" i="11" s="1"/>
  <c r="G401" i="49"/>
  <c r="F69" i="11"/>
  <c r="H399" i="49"/>
  <c r="H74" i="11"/>
  <c r="I401" i="49"/>
  <c r="G69" i="11"/>
  <c r="H400" i="49"/>
  <c r="E45" i="11"/>
  <c r="S469" i="49" s="1"/>
  <c r="E398" i="49"/>
  <c r="H45" i="11"/>
  <c r="E401" i="49"/>
  <c r="C74" i="11"/>
  <c r="I396" i="49"/>
  <c r="G106" i="11"/>
  <c r="G105" i="11" s="1"/>
  <c r="G59" i="11" s="1"/>
  <c r="G50" i="51" s="1"/>
  <c r="G400" i="49"/>
  <c r="C45" i="11"/>
  <c r="Q469" i="49" s="1"/>
  <c r="E396" i="49"/>
  <c r="H69" i="11"/>
  <c r="H401" i="49"/>
  <c r="AK651" i="49"/>
  <c r="D106" i="11"/>
  <c r="D105" i="11" s="1"/>
  <c r="D59" i="11" s="1"/>
  <c r="R483" i="49" s="1"/>
  <c r="G397" i="49"/>
  <c r="D69" i="11"/>
  <c r="H397" i="49"/>
  <c r="F45" i="11"/>
  <c r="E399" i="49"/>
  <c r="B106" i="11"/>
  <c r="B105" i="11" s="1"/>
  <c r="B59" i="11" s="1"/>
  <c r="B50" i="51" s="1"/>
  <c r="G395" i="49"/>
  <c r="I36" i="51"/>
  <c r="AK734" i="49"/>
  <c r="AL684" i="49"/>
  <c r="W463" i="49"/>
  <c r="G45" i="11"/>
  <c r="E400" i="49"/>
  <c r="C106" i="11"/>
  <c r="C105" i="11" s="1"/>
  <c r="C59" i="11" s="1"/>
  <c r="Q483" i="49" s="1"/>
  <c r="G396" i="49"/>
  <c r="B74" i="11"/>
  <c r="I395" i="49"/>
  <c r="G111" i="52"/>
  <c r="R111" i="52" s="1"/>
  <c r="C50" i="51"/>
  <c r="J40" i="11"/>
  <c r="N11" i="18"/>
  <c r="E61" i="54"/>
  <c r="E61" i="53"/>
  <c r="E50" i="51" l="1"/>
  <c r="G122" i="52"/>
  <c r="R110" i="52"/>
  <c r="R109" i="52"/>
  <c r="G121" i="52"/>
  <c r="R100" i="52"/>
  <c r="G112" i="52"/>
  <c r="G119" i="52"/>
  <c r="R107" i="52"/>
  <c r="G116" i="52"/>
  <c r="R104" i="52"/>
  <c r="R105" i="52"/>
  <c r="G117" i="52"/>
  <c r="R102" i="52"/>
  <c r="G114" i="52"/>
  <c r="R106" i="52"/>
  <c r="G118" i="52"/>
  <c r="G115" i="52"/>
  <c r="R103" i="52"/>
  <c r="R101" i="52"/>
  <c r="G113" i="52"/>
  <c r="G120" i="52"/>
  <c r="R108" i="52"/>
  <c r="G44" i="50"/>
  <c r="AK641" i="49"/>
  <c r="AL591" i="49"/>
  <c r="U493" i="49"/>
  <c r="C49" i="50"/>
  <c r="Q498" i="49"/>
  <c r="J36" i="51"/>
  <c r="AL734" i="49"/>
  <c r="AK784" i="49"/>
  <c r="X463" i="49"/>
  <c r="D44" i="50"/>
  <c r="R493" i="49"/>
  <c r="H49" i="50"/>
  <c r="AL642" i="49"/>
  <c r="AK691" i="49"/>
  <c r="V498" i="49"/>
  <c r="E49" i="50"/>
  <c r="S498" i="49"/>
  <c r="G49" i="50"/>
  <c r="AK642" i="49"/>
  <c r="AL592" i="49"/>
  <c r="U498" i="49"/>
  <c r="C44" i="50"/>
  <c r="Q493" i="49"/>
  <c r="AK700" i="49"/>
  <c r="AL639" i="49"/>
  <c r="AK688" i="49"/>
  <c r="V483" i="49"/>
  <c r="AL589" i="49"/>
  <c r="AK639" i="49"/>
  <c r="U483" i="49"/>
  <c r="D50" i="51"/>
  <c r="E44" i="50"/>
  <c r="S493" i="49"/>
  <c r="AL586" i="49"/>
  <c r="AK636" i="49"/>
  <c r="U469" i="49"/>
  <c r="H44" i="50"/>
  <c r="AK690" i="49"/>
  <c r="AL641" i="49"/>
  <c r="V493" i="49"/>
  <c r="AK685" i="49"/>
  <c r="AL636" i="49"/>
  <c r="V469" i="49"/>
  <c r="B44" i="50"/>
  <c r="P493" i="49"/>
  <c r="B49" i="50"/>
  <c r="P498" i="49"/>
  <c r="AL539" i="49"/>
  <c r="AK589" i="49"/>
  <c r="T483" i="49"/>
  <c r="H50" i="51"/>
  <c r="AK586" i="49"/>
  <c r="AL536" i="49"/>
  <c r="T469" i="49"/>
  <c r="K40" i="11"/>
  <c r="D374" i="49"/>
  <c r="F44" i="50"/>
  <c r="AL541" i="49"/>
  <c r="AK591" i="49"/>
  <c r="T493" i="49"/>
  <c r="D49" i="50"/>
  <c r="R498" i="49"/>
  <c r="F49" i="50"/>
  <c r="AK592" i="49"/>
  <c r="AL542" i="49"/>
  <c r="T498" i="49"/>
  <c r="G123" i="52"/>
  <c r="R123" i="52" s="1"/>
  <c r="G61" i="54"/>
  <c r="E79" i="54"/>
  <c r="G79" i="54" s="1"/>
  <c r="G61" i="53"/>
  <c r="E79" i="53"/>
  <c r="G79" i="53" s="1"/>
  <c r="Q44" i="17"/>
  <c r="Q11" i="17" s="1"/>
  <c r="Q45" i="17"/>
  <c r="Q12" i="17" s="1"/>
  <c r="Q46" i="17"/>
  <c r="Q13" i="17" s="1"/>
  <c r="Q47" i="17"/>
  <c r="Q14" i="17" s="1"/>
  <c r="Q48" i="17"/>
  <c r="Q15" i="17" s="1"/>
  <c r="Q49" i="17"/>
  <c r="Q16" i="17" s="1"/>
  <c r="Q50" i="17"/>
  <c r="Q17" i="17" s="1"/>
  <c r="Q51" i="17"/>
  <c r="Q18" i="17" s="1"/>
  <c r="Q52" i="17"/>
  <c r="Q19" i="17" s="1"/>
  <c r="Q53" i="17"/>
  <c r="Q20" i="17" s="1"/>
  <c r="V48" i="9" s="1"/>
  <c r="P53" i="17"/>
  <c r="P20" i="17" s="1"/>
  <c r="U48" i="9" s="1"/>
  <c r="P52" i="17"/>
  <c r="P19" i="17" s="1"/>
  <c r="H62" i="11" s="1"/>
  <c r="P51" i="17"/>
  <c r="P18" i="17" s="1"/>
  <c r="G62" i="11" s="1"/>
  <c r="P50" i="17"/>
  <c r="P17" i="17" s="1"/>
  <c r="F62" i="11" s="1"/>
  <c r="P49" i="17"/>
  <c r="P16" i="17" s="1"/>
  <c r="P30" i="17" s="1"/>
  <c r="P48" i="17"/>
  <c r="P15" i="17" s="1"/>
  <c r="P47" i="17"/>
  <c r="P14" i="17" s="1"/>
  <c r="P46" i="17"/>
  <c r="P13" i="17" s="1"/>
  <c r="P45" i="17"/>
  <c r="P12" i="17" s="1"/>
  <c r="P44" i="17"/>
  <c r="P11" i="17" s="1"/>
  <c r="C44" i="17"/>
  <c r="D44" i="17"/>
  <c r="E44" i="17"/>
  <c r="F44" i="17"/>
  <c r="G44" i="17"/>
  <c r="H44" i="17"/>
  <c r="I44" i="17"/>
  <c r="J44" i="17"/>
  <c r="K44" i="17"/>
  <c r="L44" i="17"/>
  <c r="M44" i="17"/>
  <c r="C45" i="17"/>
  <c r="D45" i="17"/>
  <c r="E45" i="17"/>
  <c r="F45" i="17"/>
  <c r="G45" i="17"/>
  <c r="H45" i="17"/>
  <c r="I45" i="17"/>
  <c r="J45" i="17"/>
  <c r="K45" i="17"/>
  <c r="L45" i="17"/>
  <c r="M45" i="17"/>
  <c r="E46" i="17"/>
  <c r="F46" i="17"/>
  <c r="G46" i="17"/>
  <c r="H46" i="17"/>
  <c r="I46" i="17"/>
  <c r="J46" i="17"/>
  <c r="K46" i="17"/>
  <c r="L46" i="17"/>
  <c r="M46" i="17"/>
  <c r="E47" i="17"/>
  <c r="F47" i="17"/>
  <c r="J47" i="17"/>
  <c r="K47" i="17"/>
  <c r="L47" i="17"/>
  <c r="M47" i="17"/>
  <c r="F48" i="17"/>
  <c r="L48" i="17"/>
  <c r="M48" i="17"/>
  <c r="F49" i="17"/>
  <c r="L49" i="17"/>
  <c r="M49" i="17"/>
  <c r="F50" i="17"/>
  <c r="L50" i="17"/>
  <c r="M50" i="17"/>
  <c r="F51" i="17"/>
  <c r="L51" i="17"/>
  <c r="M51" i="17"/>
  <c r="F52" i="17"/>
  <c r="L52" i="17"/>
  <c r="M52" i="17"/>
  <c r="F53" i="17"/>
  <c r="F20" i="17" s="1"/>
  <c r="L53" i="17"/>
  <c r="L20" i="17" s="1"/>
  <c r="M273" i="49" s="1"/>
  <c r="M53" i="17"/>
  <c r="M20" i="17" s="1"/>
  <c r="K48" i="17"/>
  <c r="K49" i="17"/>
  <c r="K50" i="17"/>
  <c r="K51" i="17"/>
  <c r="K52" i="17"/>
  <c r="K53" i="17"/>
  <c r="K20" i="17" s="1"/>
  <c r="L273" i="49" s="1"/>
  <c r="J48" i="17"/>
  <c r="J49" i="17"/>
  <c r="J50" i="17"/>
  <c r="J51" i="17"/>
  <c r="J52" i="17"/>
  <c r="J53" i="17"/>
  <c r="J20" i="17" s="1"/>
  <c r="I52" i="17"/>
  <c r="I51" i="17"/>
  <c r="I50" i="17"/>
  <c r="P2" i="17"/>
  <c r="Q2" i="17"/>
  <c r="N1" i="18" s="1"/>
  <c r="C2" i="17"/>
  <c r="D2" i="17"/>
  <c r="E2" i="17"/>
  <c r="F2" i="17"/>
  <c r="G2" i="17"/>
  <c r="H2" i="17"/>
  <c r="I2" i="17"/>
  <c r="J2" i="17"/>
  <c r="G1" i="18" s="1"/>
  <c r="H393" i="49" s="1"/>
  <c r="K2" i="17"/>
  <c r="L2" i="17"/>
  <c r="I1" i="18" s="1"/>
  <c r="M2" i="17"/>
  <c r="R12" i="9"/>
  <c r="H78" i="11" s="1"/>
  <c r="V502" i="49" s="1"/>
  <c r="Q12" i="9"/>
  <c r="S6" i="9"/>
  <c r="S7" i="9"/>
  <c r="S8" i="9"/>
  <c r="R112" i="52" l="1"/>
  <c r="G124" i="52"/>
  <c r="R119" i="52"/>
  <c r="G131" i="52"/>
  <c r="G132" i="52"/>
  <c r="R120" i="52"/>
  <c r="R117" i="52"/>
  <c r="G129" i="52"/>
  <c r="R114" i="52"/>
  <c r="G126" i="52"/>
  <c r="R121" i="52"/>
  <c r="G133" i="52"/>
  <c r="R115" i="52"/>
  <c r="G127" i="52"/>
  <c r="R116" i="52"/>
  <c r="G128" i="52"/>
  <c r="R122" i="52"/>
  <c r="G134" i="52"/>
  <c r="R113" i="52"/>
  <c r="G125" i="52"/>
  <c r="R118" i="52"/>
  <c r="G130" i="52"/>
  <c r="AK552" i="49"/>
  <c r="H419" i="49"/>
  <c r="H405" i="49"/>
  <c r="H53" i="51"/>
  <c r="AH689" i="49"/>
  <c r="AO689" i="49" s="1"/>
  <c r="AI640" i="49"/>
  <c r="V486" i="49"/>
  <c r="AK605" i="49"/>
  <c r="AK658" i="49"/>
  <c r="AK608" i="49"/>
  <c r="G53" i="51"/>
  <c r="AH640" i="49"/>
  <c r="AO640" i="49" s="1"/>
  <c r="AI590" i="49"/>
  <c r="U486" i="49"/>
  <c r="P28" i="17"/>
  <c r="AK558" i="49"/>
  <c r="AK655" i="49"/>
  <c r="AK607" i="49"/>
  <c r="P32" i="17"/>
  <c r="AK555" i="49"/>
  <c r="AK652" i="49"/>
  <c r="K36" i="51"/>
  <c r="AL784" i="49"/>
  <c r="Y463" i="49"/>
  <c r="AK657" i="49"/>
  <c r="AK557" i="49"/>
  <c r="AK602" i="49"/>
  <c r="F53" i="51"/>
  <c r="AH590" i="49"/>
  <c r="AO590" i="49" s="1"/>
  <c r="AI540" i="49"/>
  <c r="T486" i="49"/>
  <c r="AK750" i="49"/>
  <c r="G135" i="52"/>
  <c r="R135" i="52" s="1"/>
  <c r="P29" i="17"/>
  <c r="Q48" i="9"/>
  <c r="L300" i="49" s="1"/>
  <c r="L306" i="49" s="1"/>
  <c r="L48" i="9"/>
  <c r="R48" i="9"/>
  <c r="M300" i="49" s="1"/>
  <c r="M306" i="49" s="1"/>
  <c r="P48" i="9"/>
  <c r="S48" i="9"/>
  <c r="B62" i="11"/>
  <c r="U41" i="9"/>
  <c r="P33" i="17"/>
  <c r="C62" i="11"/>
  <c r="U42" i="9"/>
  <c r="E62" i="11"/>
  <c r="D62" i="11"/>
  <c r="U43" i="9"/>
  <c r="P27" i="17"/>
  <c r="P31" i="17"/>
  <c r="M11" i="17"/>
  <c r="J264" i="49" s="1"/>
  <c r="I11" i="17"/>
  <c r="I264" i="49" s="1"/>
  <c r="M13" i="17"/>
  <c r="B57" i="11" s="1"/>
  <c r="B48" i="51" s="1"/>
  <c r="E11" i="17"/>
  <c r="K12" i="17"/>
  <c r="L265" i="49" s="1"/>
  <c r="G12" i="17"/>
  <c r="G265" i="49" s="1"/>
  <c r="J11" i="17"/>
  <c r="F11" i="17"/>
  <c r="E13" i="17"/>
  <c r="F12" i="17"/>
  <c r="L13" i="17"/>
  <c r="G39" i="11"/>
  <c r="C39" i="11"/>
  <c r="J12" i="17"/>
  <c r="L12" i="17"/>
  <c r="M265" i="49" s="1"/>
  <c r="H12" i="17"/>
  <c r="H265" i="49" s="1"/>
  <c r="K11" i="17"/>
  <c r="L264" i="49" s="1"/>
  <c r="G11" i="17"/>
  <c r="G264" i="49" s="1"/>
  <c r="C11" i="17"/>
  <c r="K13" i="17"/>
  <c r="J13" i="17"/>
  <c r="B67" i="11" s="1"/>
  <c r="F13" i="17"/>
  <c r="M12" i="17"/>
  <c r="J265" i="49" s="1"/>
  <c r="I12" i="17"/>
  <c r="I265" i="49" s="1"/>
  <c r="E12" i="17"/>
  <c r="L11" i="17"/>
  <c r="M264" i="49" s="1"/>
  <c r="H11" i="17"/>
  <c r="H264" i="49" s="1"/>
  <c r="D11" i="17"/>
  <c r="H53" i="50"/>
  <c r="K50" i="49" s="1"/>
  <c r="L19" i="17"/>
  <c r="M16" i="17"/>
  <c r="E57" i="11" s="1"/>
  <c r="H41" i="18"/>
  <c r="H73" i="11"/>
  <c r="I17" i="17"/>
  <c r="F19" i="17"/>
  <c r="F21" i="17" s="1"/>
  <c r="F22" i="17" s="1"/>
  <c r="M17" i="17"/>
  <c r="L16" i="17"/>
  <c r="M18" i="17"/>
  <c r="L17" i="17"/>
  <c r="L14" i="17"/>
  <c r="L15" i="17"/>
  <c r="J19" i="17"/>
  <c r="H67" i="11" s="1"/>
  <c r="K17" i="17"/>
  <c r="F15" i="17"/>
  <c r="F14" i="17"/>
  <c r="R47" i="9"/>
  <c r="J17" i="17"/>
  <c r="F67" i="11" s="1"/>
  <c r="K19" i="17"/>
  <c r="M19" i="17"/>
  <c r="M34" i="17" s="1"/>
  <c r="L18" i="17"/>
  <c r="M15" i="17"/>
  <c r="D57" i="11" s="1"/>
  <c r="M14" i="17"/>
  <c r="J15" i="17"/>
  <c r="D67" i="11" s="1"/>
  <c r="J14" i="17"/>
  <c r="C67" i="11" s="1"/>
  <c r="I18" i="17"/>
  <c r="J18" i="17"/>
  <c r="G67" i="11" s="1"/>
  <c r="K16" i="17"/>
  <c r="K14" i="17"/>
  <c r="K15" i="17"/>
  <c r="F17" i="17"/>
  <c r="F16" i="17"/>
  <c r="J16" i="17"/>
  <c r="E67" i="11" s="1"/>
  <c r="K18" i="17"/>
  <c r="F18" i="17"/>
  <c r="R128" i="52" l="1"/>
  <c r="G140" i="52"/>
  <c r="R140" i="52" s="1"/>
  <c r="R129" i="52"/>
  <c r="G141" i="52"/>
  <c r="R141" i="52" s="1"/>
  <c r="R130" i="52"/>
  <c r="G142" i="52"/>
  <c r="R142" i="52" s="1"/>
  <c r="R125" i="52"/>
  <c r="G137" i="52"/>
  <c r="R137" i="52" s="1"/>
  <c r="R127" i="52"/>
  <c r="G139" i="52"/>
  <c r="R139" i="52" s="1"/>
  <c r="R131" i="52"/>
  <c r="G143" i="52"/>
  <c r="R143" i="52" s="1"/>
  <c r="R134" i="52"/>
  <c r="G146" i="52"/>
  <c r="R146" i="52" s="1"/>
  <c r="R126" i="52"/>
  <c r="G138" i="52"/>
  <c r="R138" i="52" s="1"/>
  <c r="R124" i="52"/>
  <c r="G136" i="52"/>
  <c r="R136" i="52" s="1"/>
  <c r="R132" i="52"/>
  <c r="G144" i="52"/>
  <c r="R144" i="52" s="1"/>
  <c r="R133" i="52"/>
  <c r="G145" i="52"/>
  <c r="R145" i="52" s="1"/>
  <c r="M280" i="49"/>
  <c r="P38" i="17"/>
  <c r="P36" i="17" s="1"/>
  <c r="AH656" i="49"/>
  <c r="AP640" i="49"/>
  <c r="AO656" i="49" s="1"/>
  <c r="G72" i="11"/>
  <c r="L271" i="49"/>
  <c r="F42" i="50"/>
  <c r="AH591" i="49"/>
  <c r="AO591" i="49" s="1"/>
  <c r="AI541" i="49"/>
  <c r="T491" i="49"/>
  <c r="F77" i="11"/>
  <c r="M270" i="49"/>
  <c r="E48" i="51"/>
  <c r="S481" i="49"/>
  <c r="B53" i="51"/>
  <c r="P486" i="49"/>
  <c r="E72" i="11"/>
  <c r="L269" i="49"/>
  <c r="H48" i="50"/>
  <c r="J50" i="49" s="1"/>
  <c r="V497" i="49"/>
  <c r="G42" i="50"/>
  <c r="AH641" i="49"/>
  <c r="AO641" i="49" s="1"/>
  <c r="AI591" i="49"/>
  <c r="U491" i="49"/>
  <c r="C77" i="11"/>
  <c r="M267" i="49"/>
  <c r="E42" i="50"/>
  <c r="S491" i="49"/>
  <c r="AK800" i="49"/>
  <c r="M160" i="49"/>
  <c r="L280" i="49"/>
  <c r="AH606" i="49"/>
  <c r="AP590" i="49"/>
  <c r="AO606" i="49" s="1"/>
  <c r="G35" i="51"/>
  <c r="AI585" i="49"/>
  <c r="AH635" i="49"/>
  <c r="AO635" i="49" s="1"/>
  <c r="U462" i="49"/>
  <c r="E53" i="51"/>
  <c r="S486" i="49"/>
  <c r="I8" i="18"/>
  <c r="I413" i="49"/>
  <c r="J413" i="49" s="1"/>
  <c r="D42" i="50"/>
  <c r="R491" i="49"/>
  <c r="E77" i="11"/>
  <c r="M269" i="49"/>
  <c r="C35" i="51"/>
  <c r="Q462" i="49"/>
  <c r="D77" i="11"/>
  <c r="M268" i="49"/>
  <c r="H72" i="11"/>
  <c r="L272" i="49"/>
  <c r="C42" i="50"/>
  <c r="Q491" i="49"/>
  <c r="H77" i="11"/>
  <c r="M272" i="49"/>
  <c r="B42" i="50"/>
  <c r="P491" i="49"/>
  <c r="D53" i="51"/>
  <c r="R486" i="49"/>
  <c r="B72" i="11"/>
  <c r="L266" i="49"/>
  <c r="L281" i="49" s="1"/>
  <c r="M307" i="49"/>
  <c r="D72" i="11"/>
  <c r="L268" i="49"/>
  <c r="D48" i="51"/>
  <c r="R481" i="49"/>
  <c r="F72" i="11"/>
  <c r="L270" i="49"/>
  <c r="B77" i="11"/>
  <c r="M266" i="49"/>
  <c r="M281" i="49" s="1"/>
  <c r="AH556" i="49"/>
  <c r="AP540" i="49"/>
  <c r="AO556" i="49" s="1"/>
  <c r="C72" i="11"/>
  <c r="L267" i="49"/>
  <c r="G77" i="11"/>
  <c r="M271" i="49"/>
  <c r="M286" i="49" s="1"/>
  <c r="H42" i="50"/>
  <c r="AH690" i="49"/>
  <c r="AO690" i="49" s="1"/>
  <c r="AI641" i="49"/>
  <c r="V491" i="49"/>
  <c r="C53" i="51"/>
  <c r="Q486" i="49"/>
  <c r="L307" i="49"/>
  <c r="M27" i="17"/>
  <c r="R59" i="9"/>
  <c r="J34" i="17"/>
  <c r="F34" i="17"/>
  <c r="S41" i="9"/>
  <c r="L34" i="17"/>
  <c r="K34" i="17"/>
  <c r="P21" i="17"/>
  <c r="I62" i="11"/>
  <c r="B39" i="11"/>
  <c r="B35" i="51" s="1"/>
  <c r="Q27" i="17"/>
  <c r="D39" i="11"/>
  <c r="Q29" i="17"/>
  <c r="Q28" i="17"/>
  <c r="E39" i="11"/>
  <c r="Q30" i="17"/>
  <c r="F39" i="11"/>
  <c r="Q31" i="17"/>
  <c r="H39" i="11"/>
  <c r="Q33" i="17"/>
  <c r="Q32" i="17"/>
  <c r="M28" i="17"/>
  <c r="C57" i="11"/>
  <c r="Q481" i="49" s="1"/>
  <c r="M31" i="17"/>
  <c r="F57" i="11"/>
  <c r="M33" i="17"/>
  <c r="H57" i="11"/>
  <c r="S43" i="9"/>
  <c r="M32" i="17"/>
  <c r="G57" i="11"/>
  <c r="S42" i="9"/>
  <c r="M29" i="17"/>
  <c r="M30" i="17"/>
  <c r="R49" i="9"/>
  <c r="M283" i="49" l="1"/>
  <c r="L285" i="49"/>
  <c r="M284" i="49"/>
  <c r="M38" i="17"/>
  <c r="J289" i="49" s="1"/>
  <c r="H52" i="50"/>
  <c r="K74" i="49" s="1"/>
  <c r="AI643" i="49"/>
  <c r="AH692" i="49"/>
  <c r="V501" i="49"/>
  <c r="G52" i="50"/>
  <c r="K73" i="49" s="1"/>
  <c r="M184" i="49" s="1"/>
  <c r="M195" i="49" s="1"/>
  <c r="AI593" i="49"/>
  <c r="AH643" i="49"/>
  <c r="U501" i="49"/>
  <c r="F47" i="50"/>
  <c r="J71" i="49" s="1"/>
  <c r="L182" i="49" s="1"/>
  <c r="AI542" i="49"/>
  <c r="AH592" i="49"/>
  <c r="AO592" i="49" s="1"/>
  <c r="T496" i="49"/>
  <c r="B47" i="50"/>
  <c r="J67" i="49" s="1"/>
  <c r="L178" i="49" s="1"/>
  <c r="P496" i="49"/>
  <c r="E52" i="50"/>
  <c r="K71" i="49" s="1"/>
  <c r="M182" i="49" s="1"/>
  <c r="S501" i="49"/>
  <c r="L286" i="49"/>
  <c r="AH557" i="49"/>
  <c r="AP541" i="49"/>
  <c r="AO557" i="49" s="1"/>
  <c r="F35" i="51"/>
  <c r="AI535" i="49"/>
  <c r="AH585" i="49"/>
  <c r="AO585" i="49" s="1"/>
  <c r="T462" i="49"/>
  <c r="AH607" i="49"/>
  <c r="AP591" i="49"/>
  <c r="AO607" i="49" s="1"/>
  <c r="L287" i="49"/>
  <c r="L288" i="49"/>
  <c r="AP585" i="49"/>
  <c r="M285" i="49"/>
  <c r="C52" i="50"/>
  <c r="K68" i="49" s="1"/>
  <c r="M179" i="49" s="1"/>
  <c r="Q501" i="49"/>
  <c r="AI539" i="49"/>
  <c r="AH589" i="49"/>
  <c r="AO589" i="49" s="1"/>
  <c r="T481" i="49"/>
  <c r="L282" i="49"/>
  <c r="D35" i="51"/>
  <c r="R462" i="49"/>
  <c r="M287" i="49"/>
  <c r="M288" i="49"/>
  <c r="E47" i="50"/>
  <c r="J70" i="49" s="1"/>
  <c r="L181" i="49" s="1"/>
  <c r="S496" i="49"/>
  <c r="I53" i="51"/>
  <c r="AH739" i="49"/>
  <c r="AI689" i="49"/>
  <c r="AH705" i="49" s="1"/>
  <c r="W486" i="49"/>
  <c r="B52" i="50"/>
  <c r="K67" i="49" s="1"/>
  <c r="M178" i="49" s="1"/>
  <c r="P501" i="49"/>
  <c r="E35" i="51"/>
  <c r="S462" i="49"/>
  <c r="AI589" i="49"/>
  <c r="AH639" i="49"/>
  <c r="AO639" i="49" s="1"/>
  <c r="U481" i="49"/>
  <c r="G47" i="50"/>
  <c r="J72" i="49" s="1"/>
  <c r="L183" i="49" s="1"/>
  <c r="AH642" i="49"/>
  <c r="AO642" i="49" s="1"/>
  <c r="AI592" i="49"/>
  <c r="U496" i="49"/>
  <c r="C47" i="50"/>
  <c r="J68" i="49" s="1"/>
  <c r="L179" i="49" s="1"/>
  <c r="Q496" i="49"/>
  <c r="H47" i="50"/>
  <c r="J73" i="49" s="1"/>
  <c r="L184" i="49" s="1"/>
  <c r="AI642" i="49"/>
  <c r="AH691" i="49"/>
  <c r="AO691" i="49" s="1"/>
  <c r="V496" i="49"/>
  <c r="L283" i="49"/>
  <c r="L160" i="49"/>
  <c r="F52" i="50"/>
  <c r="K72" i="49" s="1"/>
  <c r="M183" i="49" s="1"/>
  <c r="AI543" i="49"/>
  <c r="AH559" i="49" s="1"/>
  <c r="AH593" i="49"/>
  <c r="T501" i="49"/>
  <c r="AH688" i="49"/>
  <c r="AO688" i="49" s="1"/>
  <c r="AI639" i="49"/>
  <c r="V481" i="49"/>
  <c r="H35" i="51"/>
  <c r="AH684" i="49"/>
  <c r="AO684" i="49" s="1"/>
  <c r="AI635" i="49"/>
  <c r="V462" i="49"/>
  <c r="AH657" i="49"/>
  <c r="AP641" i="49"/>
  <c r="AO657" i="49" s="1"/>
  <c r="D47" i="50"/>
  <c r="J69" i="49" s="1"/>
  <c r="L180" i="49" s="1"/>
  <c r="R496" i="49"/>
  <c r="D52" i="50"/>
  <c r="K69" i="49" s="1"/>
  <c r="M180" i="49" s="1"/>
  <c r="R501" i="49"/>
  <c r="H79" i="11"/>
  <c r="J401" i="49"/>
  <c r="M282" i="49"/>
  <c r="L284" i="49"/>
  <c r="G48" i="51"/>
  <c r="F48" i="51"/>
  <c r="H48" i="51"/>
  <c r="C48" i="51"/>
  <c r="Q38" i="17"/>
  <c r="Q36" i="17" s="1"/>
  <c r="P22" i="17"/>
  <c r="K62" i="11" s="1"/>
  <c r="J62" i="11"/>
  <c r="S53" i="9"/>
  <c r="S54" i="9"/>
  <c r="R50" i="9"/>
  <c r="M36" i="17" l="1"/>
  <c r="I57" i="11" s="1"/>
  <c r="AO601" i="49"/>
  <c r="AH609" i="49"/>
  <c r="AH659" i="49"/>
  <c r="H54" i="50"/>
  <c r="AL643" i="49"/>
  <c r="AK692" i="49"/>
  <c r="V503" i="49"/>
  <c r="AH605" i="49"/>
  <c r="AP589" i="49"/>
  <c r="AO605" i="49" s="1"/>
  <c r="AH651" i="49"/>
  <c r="AP635" i="49"/>
  <c r="AO651" i="49" s="1"/>
  <c r="AH601" i="49"/>
  <c r="AH551" i="49"/>
  <c r="AP535" i="49"/>
  <c r="L195" i="49"/>
  <c r="AH655" i="49"/>
  <c r="AP639" i="49"/>
  <c r="AO655" i="49" s="1"/>
  <c r="AH608" i="49"/>
  <c r="AP592" i="49"/>
  <c r="AO608" i="49" s="1"/>
  <c r="AH555" i="49"/>
  <c r="AP539" i="49"/>
  <c r="AO555" i="49" s="1"/>
  <c r="AH558" i="49"/>
  <c r="AP542" i="49"/>
  <c r="AO558" i="49" s="1"/>
  <c r="J53" i="51"/>
  <c r="AH789" i="49"/>
  <c r="AI739" i="49"/>
  <c r="AH755" i="49" s="1"/>
  <c r="X486" i="49"/>
  <c r="K53" i="51"/>
  <c r="AI789" i="49"/>
  <c r="Y486" i="49"/>
  <c r="M185" i="49"/>
  <c r="M196" i="49" s="1"/>
  <c r="K83" i="49"/>
  <c r="I48" i="51"/>
  <c r="AI688" i="49"/>
  <c r="AH704" i="49" s="1"/>
  <c r="AH738" i="49"/>
  <c r="W481" i="49"/>
  <c r="AH658" i="49"/>
  <c r="AP642" i="49"/>
  <c r="AO658" i="49" s="1"/>
  <c r="Q21" i="17"/>
  <c r="M21" i="17"/>
  <c r="M22" i="17" s="1"/>
  <c r="K57" i="11" s="1"/>
  <c r="AI788" i="49" s="1"/>
  <c r="AO692" i="49" l="1"/>
  <c r="AK708" i="49"/>
  <c r="AH805" i="49"/>
  <c r="AP643" i="49"/>
  <c r="K48" i="51"/>
  <c r="J187" i="49"/>
  <c r="Y481" i="49"/>
  <c r="I39" i="11"/>
  <c r="Q22" i="17"/>
  <c r="K39" i="11" s="1"/>
  <c r="J39" i="11"/>
  <c r="J57" i="11"/>
  <c r="S12" i="9"/>
  <c r="I105" i="49" s="1"/>
  <c r="S11" i="9"/>
  <c r="S10" i="9"/>
  <c r="S9" i="9"/>
  <c r="U12" i="9"/>
  <c r="I104" i="11" s="1"/>
  <c r="U11" i="9"/>
  <c r="U10" i="9"/>
  <c r="U9" i="9"/>
  <c r="AH788" i="49" l="1"/>
  <c r="AH804" i="49" s="1"/>
  <c r="AI738" i="49"/>
  <c r="AH754" i="49" s="1"/>
  <c r="J35" i="51"/>
  <c r="AI734" i="49"/>
  <c r="AH784" i="49"/>
  <c r="AO784" i="49" s="1"/>
  <c r="X462" i="49"/>
  <c r="K35" i="51"/>
  <c r="AI784" i="49"/>
  <c r="Y462" i="49"/>
  <c r="I35" i="51"/>
  <c r="AH734" i="49"/>
  <c r="AO734" i="49" s="1"/>
  <c r="AI684" i="49"/>
  <c r="W462" i="49"/>
  <c r="J48" i="51"/>
  <c r="X481" i="49"/>
  <c r="J186" i="49"/>
  <c r="U44" i="9"/>
  <c r="E63" i="11"/>
  <c r="U45" i="9"/>
  <c r="F63" i="11"/>
  <c r="U46" i="9"/>
  <c r="G63" i="11"/>
  <c r="U47" i="9"/>
  <c r="H63" i="11"/>
  <c r="V487" i="49" s="1"/>
  <c r="J38" i="18"/>
  <c r="G410" i="49" s="1"/>
  <c r="J39" i="18"/>
  <c r="G411" i="49" s="1"/>
  <c r="J40" i="18"/>
  <c r="G412" i="49" s="1"/>
  <c r="J41" i="18"/>
  <c r="G413" i="49" s="1"/>
  <c r="S45" i="9"/>
  <c r="S44" i="9"/>
  <c r="S55" i="9" s="1"/>
  <c r="S46" i="9"/>
  <c r="S47" i="9"/>
  <c r="S59" i="9" s="1"/>
  <c r="G54" i="51" l="1"/>
  <c r="U487" i="49"/>
  <c r="AH700" i="49"/>
  <c r="AP684" i="49"/>
  <c r="AO700" i="49" s="1"/>
  <c r="AH750" i="49"/>
  <c r="AP734" i="49"/>
  <c r="AO750" i="49" s="1"/>
  <c r="E54" i="51"/>
  <c r="S487" i="49"/>
  <c r="F54" i="51"/>
  <c r="T487" i="49"/>
  <c r="AH800" i="49"/>
  <c r="AP784" i="49"/>
  <c r="AO800" i="49" s="1"/>
  <c r="J46" i="18"/>
  <c r="G415" i="49" s="1"/>
  <c r="H54" i="51"/>
  <c r="H11" i="11"/>
  <c r="S58" i="9"/>
  <c r="U56" i="9"/>
  <c r="G11" i="11"/>
  <c r="E11" i="11"/>
  <c r="F11" i="11"/>
  <c r="U58" i="9"/>
  <c r="U57" i="9"/>
  <c r="S57" i="9"/>
  <c r="S56" i="9"/>
  <c r="S63" i="9" s="1"/>
  <c r="U49" i="9"/>
  <c r="U63" i="9" l="1"/>
  <c r="U50" i="9"/>
  <c r="U67" i="9" s="1"/>
  <c r="U66" i="9"/>
  <c r="J63" i="11" l="1"/>
  <c r="S93" i="9"/>
  <c r="K63" i="11"/>
  <c r="Q6" i="9"/>
  <c r="B73" i="11" s="1"/>
  <c r="Q7" i="9"/>
  <c r="Q8" i="9"/>
  <c r="B48" i="50" l="1"/>
  <c r="J44" i="49" s="1"/>
  <c r="P497" i="49"/>
  <c r="K54" i="51"/>
  <c r="Y487" i="49"/>
  <c r="J54" i="51"/>
  <c r="X487" i="49"/>
  <c r="C14" i="54"/>
  <c r="C32" i="54" s="1"/>
  <c r="E32" i="54" s="1"/>
  <c r="J11" i="11"/>
  <c r="K11" i="11"/>
  <c r="C14" i="53"/>
  <c r="H36" i="18"/>
  <c r="C73" i="11"/>
  <c r="C32" i="53"/>
  <c r="E32" i="53" s="1"/>
  <c r="H37" i="18"/>
  <c r="D73" i="11"/>
  <c r="Q41" i="9"/>
  <c r="H35" i="18"/>
  <c r="Q9" i="9"/>
  <c r="Q10" i="9"/>
  <c r="Q11" i="9"/>
  <c r="D48" i="50" l="1"/>
  <c r="J46" i="49" s="1"/>
  <c r="R497" i="49"/>
  <c r="I4" i="18"/>
  <c r="I409" i="49"/>
  <c r="J409" i="49" s="1"/>
  <c r="I3" i="18"/>
  <c r="I408" i="49"/>
  <c r="J408" i="49" s="1"/>
  <c r="C48" i="50"/>
  <c r="J45" i="49" s="1"/>
  <c r="Q497" i="49"/>
  <c r="I407" i="49"/>
  <c r="J407" i="49" s="1"/>
  <c r="I2" i="18"/>
  <c r="J395" i="49" s="1"/>
  <c r="L154" i="49"/>
  <c r="L189" i="49" s="1"/>
  <c r="J77" i="49"/>
  <c r="C49" i="54"/>
  <c r="E49" i="54" s="1"/>
  <c r="G49" i="54" s="1"/>
  <c r="H40" i="18"/>
  <c r="G73" i="11"/>
  <c r="G32" i="54"/>
  <c r="H39" i="18"/>
  <c r="F73" i="11"/>
  <c r="G32" i="53"/>
  <c r="H38" i="18"/>
  <c r="E73" i="11"/>
  <c r="C49" i="53"/>
  <c r="E49" i="53" s="1"/>
  <c r="G49" i="53" s="1"/>
  <c r="H52" i="17"/>
  <c r="G52" i="17"/>
  <c r="I7" i="18" l="1"/>
  <c r="I412" i="49"/>
  <c r="J412" i="49" s="1"/>
  <c r="E48" i="50"/>
  <c r="J47" i="49" s="1"/>
  <c r="S497" i="49"/>
  <c r="C79" i="11"/>
  <c r="J396" i="49"/>
  <c r="G48" i="50"/>
  <c r="J49" i="49" s="1"/>
  <c r="U497" i="49"/>
  <c r="L155" i="49"/>
  <c r="L190" i="49" s="1"/>
  <c r="J78" i="49"/>
  <c r="I5" i="18"/>
  <c r="I410" i="49"/>
  <c r="J410" i="49" s="1"/>
  <c r="F48" i="50"/>
  <c r="J48" i="49" s="1"/>
  <c r="T497" i="49"/>
  <c r="D79" i="11"/>
  <c r="J397" i="49"/>
  <c r="I6" i="18"/>
  <c r="I411" i="49"/>
  <c r="J411" i="49" s="1"/>
  <c r="B79" i="11"/>
  <c r="J79" i="49"/>
  <c r="L156" i="49"/>
  <c r="L191" i="49" s="1"/>
  <c r="H46" i="18"/>
  <c r="I415" i="49" s="1"/>
  <c r="J415" i="49" s="1"/>
  <c r="E102" i="54"/>
  <c r="E119" i="54" s="1"/>
  <c r="G119" i="54" s="1"/>
  <c r="E102" i="53"/>
  <c r="I49" i="17"/>
  <c r="I16" i="17" s="1"/>
  <c r="C54" i="50" l="1"/>
  <c r="Q503" i="49"/>
  <c r="L158" i="49"/>
  <c r="L193" i="49" s="1"/>
  <c r="J81" i="49"/>
  <c r="B54" i="50"/>
  <c r="P503" i="49"/>
  <c r="E79" i="11"/>
  <c r="J398" i="49"/>
  <c r="L157" i="49"/>
  <c r="L192" i="49" s="1"/>
  <c r="J80" i="49"/>
  <c r="D54" i="50"/>
  <c r="R503" i="49"/>
  <c r="L159" i="49"/>
  <c r="L194" i="49" s="1"/>
  <c r="J82" i="49"/>
  <c r="F79" i="11"/>
  <c r="J399" i="49"/>
  <c r="G79" i="11"/>
  <c r="J400" i="49"/>
  <c r="G102" i="54"/>
  <c r="E119" i="53"/>
  <c r="G119" i="53" s="1"/>
  <c r="G102" i="53"/>
  <c r="G53" i="17"/>
  <c r="E54" i="50" l="1"/>
  <c r="S503" i="49"/>
  <c r="F54" i="50"/>
  <c r="AK593" i="49"/>
  <c r="AO593" i="49" s="1"/>
  <c r="AL543" i="49"/>
  <c r="T503" i="49"/>
  <c r="G54" i="50"/>
  <c r="AL593" i="49"/>
  <c r="AK643" i="49"/>
  <c r="U503" i="49"/>
  <c r="G19" i="17"/>
  <c r="H43" i="11" s="1"/>
  <c r="G20" i="17"/>
  <c r="I53" i="17"/>
  <c r="H53" i="17"/>
  <c r="AI636" i="49" l="1"/>
  <c r="AH685" i="49"/>
  <c r="AO685" i="49" s="1"/>
  <c r="V467" i="49"/>
  <c r="AK609" i="49"/>
  <c r="AP593" i="49"/>
  <c r="AO609" i="49" s="1"/>
  <c r="AK559" i="49"/>
  <c r="AP543" i="49"/>
  <c r="AO559" i="49" s="1"/>
  <c r="AO643" i="49"/>
  <c r="AO659" i="49" s="1"/>
  <c r="AK659" i="49"/>
  <c r="G34" i="17"/>
  <c r="M48" i="9"/>
  <c r="H19" i="17"/>
  <c r="H20" i="17"/>
  <c r="I19" i="17"/>
  <c r="I20" i="17"/>
  <c r="R11" i="9"/>
  <c r="AP636" i="49" l="1"/>
  <c r="H34" i="17"/>
  <c r="N48" i="9"/>
  <c r="I34" i="17"/>
  <c r="O48" i="9"/>
  <c r="R46" i="9"/>
  <c r="R58" i="9" s="1"/>
  <c r="G78" i="11"/>
  <c r="U502" i="49" s="1"/>
  <c r="R10" i="9"/>
  <c r="G53" i="50" l="1"/>
  <c r="K49" i="49" s="1"/>
  <c r="R45" i="9"/>
  <c r="R57" i="9" s="1"/>
  <c r="F78" i="11"/>
  <c r="T502" i="49" s="1"/>
  <c r="M159" i="49" l="1"/>
  <c r="M194" i="49" s="1"/>
  <c r="K82" i="49"/>
  <c r="F53" i="50"/>
  <c r="K48" i="49" s="1"/>
  <c r="R9" i="9"/>
  <c r="M158" i="49" l="1"/>
  <c r="M193" i="49" s="1"/>
  <c r="K81" i="49"/>
  <c r="R44" i="9"/>
  <c r="R56" i="9" s="1"/>
  <c r="E78" i="11"/>
  <c r="S502" i="49" s="1"/>
  <c r="R8" i="9"/>
  <c r="E53" i="50" l="1"/>
  <c r="K47" i="49" s="1"/>
  <c r="R43" i="9"/>
  <c r="R55" i="9" s="1"/>
  <c r="D78" i="11"/>
  <c r="R502" i="49" s="1"/>
  <c r="R7" i="9"/>
  <c r="M157" i="49" l="1"/>
  <c r="M192" i="49" s="1"/>
  <c r="K80" i="49"/>
  <c r="D53" i="50"/>
  <c r="K46" i="49" s="1"/>
  <c r="R42" i="9"/>
  <c r="R54" i="9" s="1"/>
  <c r="C78" i="11"/>
  <c r="Q502" i="49" s="1"/>
  <c r="R6" i="9"/>
  <c r="K79" i="49" l="1"/>
  <c r="M156" i="49"/>
  <c r="M191" i="49" s="1"/>
  <c r="C53" i="50"/>
  <c r="K45" i="49" s="1"/>
  <c r="R41" i="9"/>
  <c r="R53" i="9" s="1"/>
  <c r="R63" i="9" s="1"/>
  <c r="B78" i="11"/>
  <c r="P502" i="49" s="1"/>
  <c r="H48" i="17"/>
  <c r="H50" i="17"/>
  <c r="H51" i="17"/>
  <c r="H18" i="17" s="1"/>
  <c r="H49" i="17"/>
  <c r="G49" i="17"/>
  <c r="M155" i="49" l="1"/>
  <c r="M190" i="49" s="1"/>
  <c r="K78" i="49"/>
  <c r="H16" i="17"/>
  <c r="B53" i="50"/>
  <c r="K44" i="49" s="1"/>
  <c r="H17" i="17"/>
  <c r="H15" i="17"/>
  <c r="I48" i="17"/>
  <c r="I15" i="17" s="1"/>
  <c r="I47" i="17"/>
  <c r="H47" i="17"/>
  <c r="G51" i="17"/>
  <c r="G18" i="17" s="1"/>
  <c r="G43" i="11" s="1"/>
  <c r="G50" i="17"/>
  <c r="G48" i="17"/>
  <c r="G15" i="17" s="1"/>
  <c r="D43" i="11" s="1"/>
  <c r="R467" i="49" s="1"/>
  <c r="G47" i="17"/>
  <c r="AI586" i="49" l="1"/>
  <c r="AH636" i="49"/>
  <c r="U467" i="49"/>
  <c r="M154" i="49"/>
  <c r="M189" i="49" s="1"/>
  <c r="K77" i="49"/>
  <c r="G17" i="17"/>
  <c r="F43" i="11" s="1"/>
  <c r="G14" i="17"/>
  <c r="C43" i="11" s="1"/>
  <c r="Q467" i="49" s="1"/>
  <c r="G13" i="17"/>
  <c r="B43" i="11" s="1"/>
  <c r="P467" i="49" s="1"/>
  <c r="H14" i="17"/>
  <c r="H13" i="17"/>
  <c r="G16" i="17"/>
  <c r="E43" i="11" s="1"/>
  <c r="S467" i="49" s="1"/>
  <c r="I14" i="17"/>
  <c r="I13" i="17"/>
  <c r="E152" i="42"/>
  <c r="E153" i="42"/>
  <c r="E154" i="42"/>
  <c r="E155" i="42"/>
  <c r="E156" i="42"/>
  <c r="E157" i="42"/>
  <c r="E158" i="42"/>
  <c r="E159" i="42"/>
  <c r="E160" i="42"/>
  <c r="E53" i="17"/>
  <c r="E20" i="17" s="1"/>
  <c r="D53" i="17"/>
  <c r="D20" i="17" s="1"/>
  <c r="C53" i="17"/>
  <c r="C20" i="17" s="1"/>
  <c r="E52" i="17"/>
  <c r="D52" i="17"/>
  <c r="C52" i="17"/>
  <c r="E51" i="17"/>
  <c r="D51" i="17"/>
  <c r="C51" i="17"/>
  <c r="E50" i="17"/>
  <c r="D50" i="17"/>
  <c r="C50" i="17"/>
  <c r="E49" i="17"/>
  <c r="D49" i="17"/>
  <c r="C49" i="17"/>
  <c r="E48" i="17"/>
  <c r="D48" i="17"/>
  <c r="C48" i="17"/>
  <c r="D47" i="17"/>
  <c r="C47" i="17"/>
  <c r="AI536" i="49" l="1"/>
  <c r="AH586" i="49"/>
  <c r="AO586" i="49" s="1"/>
  <c r="T467" i="49"/>
  <c r="AO636" i="49"/>
  <c r="AO652" i="49" s="1"/>
  <c r="AH652" i="49"/>
  <c r="AP586" i="49"/>
  <c r="I48" i="9"/>
  <c r="J48" i="9"/>
  <c r="K48" i="9"/>
  <c r="C15" i="17"/>
  <c r="D16" i="17"/>
  <c r="E17" i="17"/>
  <c r="C19" i="17"/>
  <c r="C34" i="17" s="1"/>
  <c r="E165" i="42"/>
  <c r="C17" i="17"/>
  <c r="D18" i="17"/>
  <c r="E19" i="17"/>
  <c r="E34" i="17" s="1"/>
  <c r="D15" i="17"/>
  <c r="E16" i="17"/>
  <c r="C18" i="17"/>
  <c r="D19" i="17"/>
  <c r="D34" i="17" s="1"/>
  <c r="C14" i="17"/>
  <c r="E15" i="17"/>
  <c r="E14" i="17"/>
  <c r="D14" i="17"/>
  <c r="C16" i="17"/>
  <c r="C30" i="17" s="1"/>
  <c r="D17" i="17"/>
  <c r="E18" i="17"/>
  <c r="AO602" i="49" l="1"/>
  <c r="AH602" i="49"/>
  <c r="AH552" i="49"/>
  <c r="AP536" i="49"/>
  <c r="C31" i="17"/>
  <c r="C32" i="17"/>
  <c r="C29" i="17"/>
  <c r="C33" i="17"/>
  <c r="I64" i="11"/>
  <c r="J104" i="11"/>
  <c r="J64" i="11" s="1"/>
  <c r="V23" i="49"/>
  <c r="J55" i="51" l="1"/>
  <c r="AK789" i="49"/>
  <c r="AO789" i="49" s="1"/>
  <c r="AL739" i="49"/>
  <c r="X488" i="49"/>
  <c r="I55" i="51"/>
  <c r="AL689" i="49"/>
  <c r="AK739" i="49"/>
  <c r="AO739" i="49" s="1"/>
  <c r="W488" i="49"/>
  <c r="D14" i="53"/>
  <c r="E67" i="53" s="1"/>
  <c r="E85" i="53" s="1"/>
  <c r="G85" i="53" s="1"/>
  <c r="K104" i="11"/>
  <c r="AK755" i="49" l="1"/>
  <c r="AP739" i="49"/>
  <c r="AO755" i="49" s="1"/>
  <c r="AP689" i="49"/>
  <c r="AO705" i="49" s="1"/>
  <c r="AK705" i="49"/>
  <c r="G67" i="53"/>
  <c r="K64" i="11"/>
  <c r="D386" i="49"/>
  <c r="K55" i="51" l="1"/>
  <c r="AL789" i="49"/>
  <c r="Y488" i="49"/>
  <c r="D14" i="54"/>
  <c r="E67" i="54" s="1"/>
  <c r="G67" i="54" s="1"/>
  <c r="D387" i="49"/>
  <c r="AK805" i="49" l="1"/>
  <c r="AP789" i="49"/>
  <c r="AO805" i="49" s="1"/>
  <c r="E85" i="54"/>
  <c r="G85" i="54" s="1"/>
  <c r="AE515" i="49" l="1"/>
  <c r="AF515" i="49" s="1"/>
  <c r="AE516" i="49"/>
  <c r="AF516" i="49" s="1"/>
  <c r="AE517" i="49"/>
  <c r="AF517" i="49" s="1"/>
  <c r="AE518" i="49"/>
  <c r="AF518" i="49" s="1"/>
  <c r="AE519" i="49"/>
  <c r="AF519" i="49" s="1"/>
  <c r="AE520" i="49"/>
  <c r="AF520" i="49" s="1"/>
  <c r="AE521" i="49"/>
  <c r="AF521" i="49" s="1"/>
  <c r="AE522" i="49"/>
  <c r="AF522" i="49" s="1"/>
  <c r="O480" i="49"/>
  <c r="O481" i="49"/>
  <c r="O482" i="49"/>
  <c r="O483" i="49"/>
  <c r="O462" i="49"/>
  <c r="O463" i="49"/>
  <c r="O467" i="49"/>
  <c r="O468" i="49"/>
  <c r="O469" i="49"/>
  <c r="O472" i="49"/>
  <c r="O473" i="49"/>
  <c r="O474" i="49"/>
  <c r="O477" i="49"/>
  <c r="O478" i="49"/>
  <c r="Q426" i="49"/>
  <c r="R426" i="49"/>
  <c r="S426" i="49"/>
  <c r="T426" i="49"/>
  <c r="U426" i="49"/>
  <c r="V426" i="49"/>
  <c r="X426" i="49"/>
  <c r="Y426" i="49"/>
  <c r="P426" i="49"/>
  <c r="J393" i="49"/>
  <c r="K393" i="49"/>
  <c r="D379" i="49"/>
  <c r="D380" i="49"/>
  <c r="D381" i="49"/>
  <c r="D382" i="49"/>
  <c r="D383" i="49"/>
  <c r="D384" i="49"/>
  <c r="D378" i="49"/>
  <c r="H353" i="49"/>
  <c r="H352" i="49"/>
  <c r="C332" i="49"/>
  <c r="D332" i="49"/>
  <c r="E332" i="49"/>
  <c r="F332" i="49"/>
  <c r="G332" i="49"/>
  <c r="H332" i="49"/>
  <c r="I332" i="49"/>
  <c r="K332" i="49"/>
  <c r="J332" i="49"/>
  <c r="B332" i="49"/>
  <c r="H318" i="49"/>
  <c r="I318" i="49"/>
  <c r="J318" i="49"/>
  <c r="K318" i="49"/>
  <c r="F318" i="49"/>
  <c r="G318" i="49"/>
  <c r="D318" i="49"/>
  <c r="E318" i="49"/>
  <c r="I106" i="49"/>
  <c r="J161" i="49" s="1"/>
  <c r="N161" i="49" s="1"/>
  <c r="A304" i="49"/>
  <c r="A292" i="49"/>
  <c r="A310" i="49" s="1"/>
  <c r="A336" i="49" s="1"/>
  <c r="A279" i="49"/>
  <c r="A280" i="49"/>
  <c r="G228" i="49"/>
  <c r="H228" i="49"/>
  <c r="G229" i="49"/>
  <c r="H229" i="49"/>
  <c r="G230" i="49"/>
  <c r="H230" i="49"/>
  <c r="G231" i="49"/>
  <c r="H231" i="49"/>
  <c r="G232" i="49"/>
  <c r="H232" i="49"/>
  <c r="G233" i="49"/>
  <c r="H233" i="49"/>
  <c r="G234" i="49"/>
  <c r="H234" i="49"/>
  <c r="G235" i="49"/>
  <c r="H235" i="49"/>
  <c r="G236" i="49"/>
  <c r="H236" i="49"/>
  <c r="G237" i="49"/>
  <c r="H237" i="49"/>
  <c r="H238" i="49"/>
  <c r="C241" i="49"/>
  <c r="C229" i="49"/>
  <c r="C230" i="49"/>
  <c r="C231" i="49"/>
  <c r="C232" i="49"/>
  <c r="C233" i="49"/>
  <c r="C234" i="49"/>
  <c r="C235" i="49"/>
  <c r="C236" i="49"/>
  <c r="C237" i="49"/>
  <c r="C238" i="49"/>
  <c r="C239" i="49"/>
  <c r="C240" i="49"/>
  <c r="C228" i="49"/>
  <c r="J405" i="49" l="1"/>
  <c r="J419" i="49"/>
  <c r="P224" i="49" l="1"/>
  <c r="P217" i="49"/>
  <c r="P218" i="49"/>
  <c r="P219" i="49"/>
  <c r="P220" i="49"/>
  <c r="P221" i="49"/>
  <c r="P222" i="49"/>
  <c r="P223" i="49"/>
  <c r="P216" i="49"/>
  <c r="O217" i="49"/>
  <c r="O218" i="49"/>
  <c r="O219" i="49"/>
  <c r="O220" i="49"/>
  <c r="O221" i="49"/>
  <c r="O222" i="49"/>
  <c r="O223" i="49"/>
  <c r="O216" i="49"/>
  <c r="P213" i="49"/>
  <c r="P212" i="49"/>
  <c r="P211" i="49"/>
  <c r="J273" i="49"/>
  <c r="J182" i="49"/>
  <c r="J270" i="49" s="1"/>
  <c r="A187" i="49"/>
  <c r="A207" i="49" s="1"/>
  <c r="A186" i="49"/>
  <c r="A206" i="49" s="1"/>
  <c r="N176" i="49"/>
  <c r="N262" i="49" s="1"/>
  <c r="N292" i="49" s="1"/>
  <c r="N310" i="49" s="1"/>
  <c r="N336" i="49" s="1"/>
  <c r="K176" i="49"/>
  <c r="K262" i="49" s="1"/>
  <c r="A176" i="49"/>
  <c r="C146" i="49"/>
  <c r="D146" i="49"/>
  <c r="E146" i="49"/>
  <c r="F146" i="49"/>
  <c r="G146" i="49"/>
  <c r="H146" i="49"/>
  <c r="I146" i="49"/>
  <c r="B146" i="49"/>
  <c r="A146" i="49"/>
  <c r="J184" i="49"/>
  <c r="J272" i="49" s="1"/>
  <c r="J183" i="49"/>
  <c r="J271" i="49" s="1"/>
  <c r="H128" i="49"/>
  <c r="G128" i="49"/>
  <c r="E128" i="49"/>
  <c r="D128" i="49"/>
  <c r="C128" i="49"/>
  <c r="B128" i="49"/>
  <c r="H126" i="49"/>
  <c r="G126" i="49"/>
  <c r="E126" i="49"/>
  <c r="D126" i="49"/>
  <c r="C126" i="49"/>
  <c r="B126" i="49"/>
  <c r="J181" i="49"/>
  <c r="J269" i="49" s="1"/>
  <c r="H125" i="49"/>
  <c r="G125" i="49"/>
  <c r="E125" i="49"/>
  <c r="D125" i="49"/>
  <c r="C125" i="49"/>
  <c r="B125" i="49"/>
  <c r="J180" i="49"/>
  <c r="J268" i="49" s="1"/>
  <c r="H124" i="49"/>
  <c r="G124" i="49"/>
  <c r="E124" i="49"/>
  <c r="D124" i="49"/>
  <c r="C124" i="49"/>
  <c r="B124" i="49"/>
  <c r="J179" i="49"/>
  <c r="J267" i="49" s="1"/>
  <c r="H123" i="49"/>
  <c r="G123" i="49"/>
  <c r="E123" i="49"/>
  <c r="D123" i="49"/>
  <c r="C123" i="49"/>
  <c r="B123" i="49"/>
  <c r="J178" i="49"/>
  <c r="J266" i="49" s="1"/>
  <c r="J281" i="49" s="1"/>
  <c r="H122" i="49"/>
  <c r="G122" i="49"/>
  <c r="E122" i="49"/>
  <c r="D122" i="49"/>
  <c r="C122" i="49"/>
  <c r="B122" i="49"/>
  <c r="J127" i="49"/>
  <c r="J114" i="49"/>
  <c r="N347" i="49" l="1"/>
  <c r="N341" i="49"/>
  <c r="J285" i="49"/>
  <c r="J288" i="49"/>
  <c r="J283" i="49"/>
  <c r="J287" i="49"/>
  <c r="K277" i="49"/>
  <c r="K292" i="49"/>
  <c r="J282" i="49"/>
  <c r="J286" i="49"/>
  <c r="J284" i="49"/>
  <c r="K298" i="49" l="1"/>
  <c r="K304" i="49" s="1"/>
  <c r="K310" i="49"/>
  <c r="I139" i="49"/>
  <c r="H138" i="49"/>
  <c r="G138" i="49"/>
  <c r="E138" i="49"/>
  <c r="D138" i="49"/>
  <c r="C138" i="49"/>
  <c r="B138" i="49"/>
  <c r="H104" i="49"/>
  <c r="H137" i="49" s="1"/>
  <c r="G104" i="49"/>
  <c r="G137" i="49" s="1"/>
  <c r="E104" i="49"/>
  <c r="E137" i="49" s="1"/>
  <c r="D104" i="49"/>
  <c r="D137" i="49" s="1"/>
  <c r="C104" i="49"/>
  <c r="C137" i="49" s="1"/>
  <c r="B104" i="49"/>
  <c r="B137" i="49" s="1"/>
  <c r="H103" i="49"/>
  <c r="H136" i="49" s="1"/>
  <c r="G103" i="49"/>
  <c r="G136" i="49" s="1"/>
  <c r="E103" i="49"/>
  <c r="E136" i="49" s="1"/>
  <c r="D103" i="49"/>
  <c r="D136" i="49" s="1"/>
  <c r="C103" i="49"/>
  <c r="C136" i="49" s="1"/>
  <c r="B103" i="49"/>
  <c r="B136" i="49" s="1"/>
  <c r="H102" i="49"/>
  <c r="H135" i="49" s="1"/>
  <c r="G102" i="49"/>
  <c r="G135" i="49" s="1"/>
  <c r="E102" i="49"/>
  <c r="E135" i="49" s="1"/>
  <c r="D102" i="49"/>
  <c r="D135" i="49" s="1"/>
  <c r="C102" i="49"/>
  <c r="C135" i="49" s="1"/>
  <c r="B102" i="49"/>
  <c r="B135" i="49" s="1"/>
  <c r="H101" i="49"/>
  <c r="H134" i="49" s="1"/>
  <c r="G101" i="49"/>
  <c r="G134" i="49" s="1"/>
  <c r="E101" i="49"/>
  <c r="E134" i="49" s="1"/>
  <c r="D101" i="49"/>
  <c r="D134" i="49" s="1"/>
  <c r="C101" i="49"/>
  <c r="C134" i="49" s="1"/>
  <c r="B101" i="49"/>
  <c r="B134" i="49" s="1"/>
  <c r="H100" i="49"/>
  <c r="H133" i="49" s="1"/>
  <c r="G100" i="49"/>
  <c r="G133" i="49" s="1"/>
  <c r="E100" i="49"/>
  <c r="E133" i="49" s="1"/>
  <c r="D100" i="49"/>
  <c r="D133" i="49" s="1"/>
  <c r="C100" i="49"/>
  <c r="C133" i="49" s="1"/>
  <c r="B100" i="49"/>
  <c r="B133" i="49" s="1"/>
  <c r="H99" i="49"/>
  <c r="H132" i="49" s="1"/>
  <c r="G99" i="49"/>
  <c r="G132" i="49" s="1"/>
  <c r="E99" i="49"/>
  <c r="E132" i="49" s="1"/>
  <c r="D99" i="49"/>
  <c r="D132" i="49" s="1"/>
  <c r="C99" i="49"/>
  <c r="C132" i="49" s="1"/>
  <c r="B99" i="49"/>
  <c r="I74" i="49"/>
  <c r="H74" i="49"/>
  <c r="I184" i="49" s="1"/>
  <c r="I272" i="49" s="1"/>
  <c r="F74" i="49"/>
  <c r="G184" i="49" s="1"/>
  <c r="G272" i="49" s="1"/>
  <c r="E74" i="49"/>
  <c r="E184" i="49" s="1"/>
  <c r="E272" i="49" s="1"/>
  <c r="D74" i="49"/>
  <c r="D184" i="49" s="1"/>
  <c r="D272" i="49" s="1"/>
  <c r="C74" i="49"/>
  <c r="C184" i="49" s="1"/>
  <c r="C272" i="49" s="1"/>
  <c r="B74" i="49"/>
  <c r="I73" i="49"/>
  <c r="H73" i="49"/>
  <c r="I183" i="49" s="1"/>
  <c r="I271" i="49" s="1"/>
  <c r="F73" i="49"/>
  <c r="G183" i="49" s="1"/>
  <c r="G271" i="49" s="1"/>
  <c r="E73" i="49"/>
  <c r="E183" i="49" s="1"/>
  <c r="E271" i="49" s="1"/>
  <c r="D73" i="49"/>
  <c r="D183" i="49" s="1"/>
  <c r="D271" i="49" s="1"/>
  <c r="C73" i="49"/>
  <c r="C183" i="49" s="1"/>
  <c r="C271" i="49" s="1"/>
  <c r="B73" i="49"/>
  <c r="I72" i="49"/>
  <c r="H72" i="49"/>
  <c r="I182" i="49" s="1"/>
  <c r="I270" i="49" s="1"/>
  <c r="F72" i="49"/>
  <c r="G182" i="49" s="1"/>
  <c r="G270" i="49" s="1"/>
  <c r="E72" i="49"/>
  <c r="E182" i="49" s="1"/>
  <c r="E270" i="49" s="1"/>
  <c r="D72" i="49"/>
  <c r="D182" i="49" s="1"/>
  <c r="D270" i="49" s="1"/>
  <c r="C72" i="49"/>
  <c r="C182" i="49" s="1"/>
  <c r="C270" i="49" s="1"/>
  <c r="B72" i="49"/>
  <c r="I71" i="49"/>
  <c r="H71" i="49"/>
  <c r="I181" i="49" s="1"/>
  <c r="I269" i="49" s="1"/>
  <c r="F71" i="49"/>
  <c r="G181" i="49" s="1"/>
  <c r="G269" i="49" s="1"/>
  <c r="E71" i="49"/>
  <c r="E181" i="49" s="1"/>
  <c r="E269" i="49" s="1"/>
  <c r="D71" i="49"/>
  <c r="D181" i="49" s="1"/>
  <c r="D269" i="49" s="1"/>
  <c r="C71" i="49"/>
  <c r="C181" i="49" s="1"/>
  <c r="C269" i="49" s="1"/>
  <c r="B71" i="49"/>
  <c r="I70" i="49"/>
  <c r="H70" i="49"/>
  <c r="I180" i="49" s="1"/>
  <c r="I268" i="49" s="1"/>
  <c r="F70" i="49"/>
  <c r="G180" i="49" s="1"/>
  <c r="G268" i="49" s="1"/>
  <c r="E70" i="49"/>
  <c r="E180" i="49" s="1"/>
  <c r="E268" i="49" s="1"/>
  <c r="D70" i="49"/>
  <c r="D180" i="49" s="1"/>
  <c r="D268" i="49" s="1"/>
  <c r="C70" i="49"/>
  <c r="C180" i="49" s="1"/>
  <c r="C268" i="49" s="1"/>
  <c r="B70" i="49"/>
  <c r="I68" i="49"/>
  <c r="K179" i="49" s="1"/>
  <c r="H68" i="49"/>
  <c r="F68" i="49"/>
  <c r="E68" i="49"/>
  <c r="D68" i="49"/>
  <c r="C68" i="49"/>
  <c r="B68" i="49"/>
  <c r="I67" i="49"/>
  <c r="K178" i="49" s="1"/>
  <c r="K266" i="49" s="1"/>
  <c r="H67" i="49"/>
  <c r="I178" i="49" s="1"/>
  <c r="I266" i="49" s="1"/>
  <c r="F67" i="49"/>
  <c r="G178" i="49" s="1"/>
  <c r="G266" i="49" s="1"/>
  <c r="E67" i="49"/>
  <c r="E178" i="49" s="1"/>
  <c r="E266" i="49" s="1"/>
  <c r="D67" i="49"/>
  <c r="D178" i="49" s="1"/>
  <c r="D266" i="49" s="1"/>
  <c r="C67" i="49"/>
  <c r="C178" i="49" s="1"/>
  <c r="C266" i="49" s="1"/>
  <c r="B67" i="49"/>
  <c r="I120" i="49"/>
  <c r="J152" i="49" s="1"/>
  <c r="J176" i="49" s="1"/>
  <c r="J262" i="49" s="1"/>
  <c r="J120" i="49"/>
  <c r="A120" i="49"/>
  <c r="B178" i="49" l="1"/>
  <c r="B266" i="49" s="1"/>
  <c r="K185" i="49"/>
  <c r="K184" i="49"/>
  <c r="K272" i="49" s="1"/>
  <c r="K182" i="49"/>
  <c r="K270" i="49" s="1"/>
  <c r="K183" i="49"/>
  <c r="K271" i="49" s="1"/>
  <c r="B183" i="49"/>
  <c r="K181" i="49"/>
  <c r="K269" i="49" s="1"/>
  <c r="B182" i="49"/>
  <c r="B180" i="49"/>
  <c r="B179" i="49"/>
  <c r="B184" i="49"/>
  <c r="B181" i="49"/>
  <c r="E179" i="49"/>
  <c r="E267" i="49" s="1"/>
  <c r="E282" i="49" s="1"/>
  <c r="C179" i="49"/>
  <c r="C267" i="49" s="1"/>
  <c r="C282" i="49" s="1"/>
  <c r="K267" i="49"/>
  <c r="K282" i="49" s="1"/>
  <c r="G179" i="49"/>
  <c r="G267" i="49" s="1"/>
  <c r="G282" i="49" s="1"/>
  <c r="D179" i="49"/>
  <c r="D267" i="49" s="1"/>
  <c r="D282" i="49" s="1"/>
  <c r="I179" i="49"/>
  <c r="I267" i="49" s="1"/>
  <c r="I283" i="49" s="1"/>
  <c r="K316" i="49"/>
  <c r="K331" i="49" s="1"/>
  <c r="K336" i="49"/>
  <c r="J292" i="49"/>
  <c r="J277" i="49"/>
  <c r="G285" i="49"/>
  <c r="G286" i="49"/>
  <c r="C285" i="49"/>
  <c r="C286" i="49"/>
  <c r="C287" i="49"/>
  <c r="D284" i="49"/>
  <c r="I284" i="49"/>
  <c r="D285" i="49"/>
  <c r="I285" i="49"/>
  <c r="D286" i="49"/>
  <c r="I286" i="49"/>
  <c r="D287" i="49"/>
  <c r="I287" i="49"/>
  <c r="G284" i="49"/>
  <c r="G287" i="49"/>
  <c r="C284" i="49"/>
  <c r="E284" i="49"/>
  <c r="E285" i="49"/>
  <c r="E286" i="49"/>
  <c r="E287" i="49"/>
  <c r="B132" i="49"/>
  <c r="C88" i="49"/>
  <c r="F88" i="49"/>
  <c r="G88" i="49"/>
  <c r="H88" i="49"/>
  <c r="B88" i="49"/>
  <c r="A69" i="49"/>
  <c r="A88" i="49"/>
  <c r="A83" i="49"/>
  <c r="A84" i="49"/>
  <c r="I69" i="49"/>
  <c r="E69" i="49"/>
  <c r="K287" i="49" l="1"/>
  <c r="B272" i="49"/>
  <c r="B267" i="49"/>
  <c r="B282" i="49" s="1"/>
  <c r="B271" i="49"/>
  <c r="B268" i="49"/>
  <c r="K286" i="49"/>
  <c r="B269" i="49"/>
  <c r="B270" i="49"/>
  <c r="K285" i="49"/>
  <c r="L69" i="49"/>
  <c r="K180" i="49"/>
  <c r="K268" i="49" s="1"/>
  <c r="K283" i="49" s="1"/>
  <c r="D283" i="49"/>
  <c r="C283" i="49"/>
  <c r="E283" i="49"/>
  <c r="G283" i="49"/>
  <c r="I282" i="49"/>
  <c r="K347" i="49"/>
  <c r="K341" i="49"/>
  <c r="J298" i="49"/>
  <c r="J304" i="49" s="1"/>
  <c r="J310" i="49"/>
  <c r="C50" i="49"/>
  <c r="C49" i="49"/>
  <c r="C48" i="49"/>
  <c r="C47" i="49"/>
  <c r="C46" i="49"/>
  <c r="C45" i="49"/>
  <c r="C44" i="49"/>
  <c r="H49" i="49"/>
  <c r="H50" i="49"/>
  <c r="H47" i="49"/>
  <c r="H48" i="49"/>
  <c r="H45" i="49"/>
  <c r="H46" i="49"/>
  <c r="H44" i="49"/>
  <c r="F48" i="49"/>
  <c r="F49" i="49"/>
  <c r="F50" i="49"/>
  <c r="F45" i="49"/>
  <c r="F46" i="49"/>
  <c r="F47" i="49"/>
  <c r="F44" i="49"/>
  <c r="E49" i="49"/>
  <c r="E50" i="49"/>
  <c r="E45" i="49"/>
  <c r="E46" i="49"/>
  <c r="E47" i="49"/>
  <c r="E48" i="49"/>
  <c r="E44" i="49"/>
  <c r="D50" i="49"/>
  <c r="D45" i="49"/>
  <c r="D46" i="49"/>
  <c r="D47" i="49"/>
  <c r="D48" i="49"/>
  <c r="D49" i="49"/>
  <c r="D44" i="49"/>
  <c r="A50" i="49"/>
  <c r="A51" i="49"/>
  <c r="B49" i="49"/>
  <c r="B50" i="49"/>
  <c r="B45" i="49"/>
  <c r="B46" i="49"/>
  <c r="B47" i="49"/>
  <c r="B48" i="49"/>
  <c r="I42" i="49"/>
  <c r="I65" i="49" s="1"/>
  <c r="B44" i="49"/>
  <c r="A250" i="49"/>
  <c r="A251" i="49"/>
  <c r="A252" i="49"/>
  <c r="A253" i="49"/>
  <c r="A254" i="49"/>
  <c r="A255" i="49"/>
  <c r="A256" i="49"/>
  <c r="A257" i="49"/>
  <c r="A294" i="49" s="1"/>
  <c r="A258" i="49"/>
  <c r="A295" i="49" s="1"/>
  <c r="A249" i="49"/>
  <c r="B285" i="49" l="1"/>
  <c r="B283" i="49"/>
  <c r="B284" i="49"/>
  <c r="B286" i="49"/>
  <c r="B287" i="49"/>
  <c r="K284" i="49"/>
  <c r="B154" i="49"/>
  <c r="B158" i="49"/>
  <c r="B156" i="49"/>
  <c r="B159" i="49"/>
  <c r="J316" i="49"/>
  <c r="J331" i="49" s="1"/>
  <c r="J336" i="49"/>
  <c r="D82" i="49"/>
  <c r="D159" i="49"/>
  <c r="D194" i="49" s="1"/>
  <c r="D78" i="49"/>
  <c r="D155" i="49"/>
  <c r="D190" i="49" s="1"/>
  <c r="E81" i="49"/>
  <c r="E158" i="49"/>
  <c r="E193" i="49" s="1"/>
  <c r="F80" i="49"/>
  <c r="G157" i="49"/>
  <c r="G192" i="49" s="1"/>
  <c r="F82" i="49"/>
  <c r="G159" i="49"/>
  <c r="G194" i="49" s="1"/>
  <c r="H79" i="49"/>
  <c r="I156" i="49"/>
  <c r="I191" i="49" s="1"/>
  <c r="H83" i="49"/>
  <c r="I160" i="49"/>
  <c r="I195" i="49" s="1"/>
  <c r="C78" i="49"/>
  <c r="C155" i="49"/>
  <c r="C190" i="49" s="1"/>
  <c r="C82" i="49"/>
  <c r="C159" i="49"/>
  <c r="C194" i="49" s="1"/>
  <c r="B78" i="49"/>
  <c r="B155" i="49"/>
  <c r="D81" i="49"/>
  <c r="D158" i="49"/>
  <c r="D193" i="49" s="1"/>
  <c r="E80" i="49"/>
  <c r="E157" i="49"/>
  <c r="E192" i="49" s="1"/>
  <c r="E83" i="49"/>
  <c r="E160" i="49"/>
  <c r="E195" i="49" s="1"/>
  <c r="F79" i="49"/>
  <c r="G156" i="49"/>
  <c r="G191" i="49" s="1"/>
  <c r="F81" i="49"/>
  <c r="G158" i="49"/>
  <c r="G193" i="49" s="1"/>
  <c r="H78" i="49"/>
  <c r="I155" i="49"/>
  <c r="I190" i="49" s="1"/>
  <c r="H82" i="49"/>
  <c r="I159" i="49"/>
  <c r="I194" i="49" s="1"/>
  <c r="C79" i="49"/>
  <c r="C156" i="49"/>
  <c r="C191" i="49" s="1"/>
  <c r="C83" i="49"/>
  <c r="C160" i="49"/>
  <c r="C195" i="49" s="1"/>
  <c r="B83" i="49"/>
  <c r="B160" i="49"/>
  <c r="D80" i="49"/>
  <c r="D157" i="49"/>
  <c r="D192" i="49" s="1"/>
  <c r="D83" i="49"/>
  <c r="D160" i="49"/>
  <c r="D195" i="49" s="1"/>
  <c r="E79" i="49"/>
  <c r="E156" i="49"/>
  <c r="E191" i="49" s="1"/>
  <c r="E82" i="49"/>
  <c r="E159" i="49"/>
  <c r="E194" i="49" s="1"/>
  <c r="F78" i="49"/>
  <c r="G155" i="49"/>
  <c r="G190" i="49" s="1"/>
  <c r="H81" i="49"/>
  <c r="I158" i="49"/>
  <c r="I193" i="49" s="1"/>
  <c r="C80" i="49"/>
  <c r="C157" i="49"/>
  <c r="C192" i="49" s="1"/>
  <c r="B80" i="49"/>
  <c r="B157" i="49"/>
  <c r="D77" i="49"/>
  <c r="D154" i="49"/>
  <c r="D189" i="49" s="1"/>
  <c r="D79" i="49"/>
  <c r="D156" i="49"/>
  <c r="D191" i="49" s="1"/>
  <c r="E77" i="49"/>
  <c r="E154" i="49"/>
  <c r="E189" i="49" s="1"/>
  <c r="E78" i="49"/>
  <c r="E155" i="49"/>
  <c r="E190" i="49" s="1"/>
  <c r="F77" i="49"/>
  <c r="G154" i="49"/>
  <c r="G189" i="49" s="1"/>
  <c r="F83" i="49"/>
  <c r="G160" i="49"/>
  <c r="G195" i="49" s="1"/>
  <c r="H77" i="49"/>
  <c r="I154" i="49"/>
  <c r="I189" i="49" s="1"/>
  <c r="H80" i="49"/>
  <c r="I157" i="49"/>
  <c r="I192" i="49" s="1"/>
  <c r="C77" i="49"/>
  <c r="C154" i="49"/>
  <c r="C189" i="49" s="1"/>
  <c r="C81" i="49"/>
  <c r="C158" i="49"/>
  <c r="C193" i="49" s="1"/>
  <c r="A62" i="49"/>
  <c r="A94" i="49" s="1"/>
  <c r="A106" i="49"/>
  <c r="A161" i="49" s="1"/>
  <c r="A171" i="49" s="1"/>
  <c r="A185" i="49" s="1"/>
  <c r="A273" i="49" s="1"/>
  <c r="A288" i="49" s="1"/>
  <c r="B385" i="49" s="1"/>
  <c r="A61" i="49"/>
  <c r="A93" i="49" s="1"/>
  <c r="A105" i="49"/>
  <c r="A160" i="49" s="1"/>
  <c r="B79" i="49"/>
  <c r="B82" i="49"/>
  <c r="B77" i="49"/>
  <c r="B81" i="49"/>
  <c r="A74" i="49"/>
  <c r="A75" i="49"/>
  <c r="B194" i="49" l="1"/>
  <c r="B193" i="49"/>
  <c r="B189" i="49"/>
  <c r="B192" i="49"/>
  <c r="B195" i="49"/>
  <c r="B190" i="49"/>
  <c r="B191" i="49"/>
  <c r="F97" i="49"/>
  <c r="F120" i="49" s="1"/>
  <c r="C97" i="49"/>
  <c r="C120" i="49" s="1"/>
  <c r="E97" i="49"/>
  <c r="E120" i="49" s="1"/>
  <c r="H97" i="49"/>
  <c r="H120" i="49" s="1"/>
  <c r="B97" i="49"/>
  <c r="B120" i="49" s="1"/>
  <c r="D97" i="49"/>
  <c r="D120" i="49" s="1"/>
  <c r="G97" i="49"/>
  <c r="G120" i="49" s="1"/>
  <c r="J347" i="49"/>
  <c r="J341" i="49"/>
  <c r="A402" i="49"/>
  <c r="B372" i="49"/>
  <c r="A196" i="49"/>
  <c r="A205" i="49"/>
  <c r="A170" i="49"/>
  <c r="A184" i="49" s="1"/>
  <c r="A272" i="49" s="1"/>
  <c r="A287" i="49" s="1"/>
  <c r="B384" i="49" s="1"/>
  <c r="A116" i="49"/>
  <c r="A117" i="49"/>
  <c r="B8" i="51"/>
  <c r="F8" i="51"/>
  <c r="C8" i="51"/>
  <c r="G8" i="51"/>
  <c r="D8" i="51"/>
  <c r="E8" i="51"/>
  <c r="H8" i="51"/>
  <c r="A401" i="49" l="1"/>
  <c r="B371" i="49"/>
  <c r="A195" i="49"/>
  <c r="A204" i="49"/>
  <c r="A130" i="49"/>
  <c r="A129" i="49"/>
  <c r="B42" i="49" l="1"/>
  <c r="F42" i="49"/>
  <c r="E42" i="49"/>
  <c r="C42" i="49"/>
  <c r="G42" i="49"/>
  <c r="D42" i="49"/>
  <c r="H42" i="49"/>
  <c r="A138" i="49"/>
  <c r="A148" i="49"/>
  <c r="A139" i="49"/>
  <c r="A149" i="49"/>
  <c r="A414" i="49" l="1"/>
  <c r="A413" i="49"/>
  <c r="A82" i="49"/>
  <c r="A81" i="49"/>
  <c r="A80" i="49"/>
  <c r="A79" i="49"/>
  <c r="A78" i="49"/>
  <c r="A77" i="49"/>
  <c r="L65" i="49"/>
  <c r="H65" i="49"/>
  <c r="E65" i="49"/>
  <c r="A65" i="49"/>
  <c r="A306" i="49"/>
  <c r="A49" i="49"/>
  <c r="A48" i="49"/>
  <c r="A47" i="49"/>
  <c r="A46" i="49"/>
  <c r="A45" i="49"/>
  <c r="A44" i="49"/>
  <c r="G65" i="49"/>
  <c r="F65" i="49"/>
  <c r="D65" i="49"/>
  <c r="C65" i="49"/>
  <c r="B65" i="49"/>
  <c r="A70" i="49" l="1"/>
  <c r="A101" i="49"/>
  <c r="A156" i="49" s="1"/>
  <c r="A71" i="49"/>
  <c r="A102" i="49"/>
  <c r="A157" i="49" s="1"/>
  <c r="A167" i="49" s="1"/>
  <c r="A181" i="49" s="1"/>
  <c r="A269" i="49" s="1"/>
  <c r="A68" i="49"/>
  <c r="A100" i="49"/>
  <c r="A155" i="49" s="1"/>
  <c r="A72" i="49"/>
  <c r="A103" i="49"/>
  <c r="A158" i="49" s="1"/>
  <c r="A168" i="49" s="1"/>
  <c r="A182" i="49" s="1"/>
  <c r="A270" i="49" s="1"/>
  <c r="A73" i="49"/>
  <c r="A104" i="49"/>
  <c r="A159" i="49" s="1"/>
  <c r="A169" i="49" s="1"/>
  <c r="A183" i="49" s="1"/>
  <c r="A54" i="49"/>
  <c r="A86" i="49" s="1"/>
  <c r="A99" i="49"/>
  <c r="A154" i="49" s="1"/>
  <c r="A57" i="49"/>
  <c r="A89" i="49" s="1"/>
  <c r="A55" i="49"/>
  <c r="A87" i="49" s="1"/>
  <c r="A59" i="49"/>
  <c r="A91" i="49" s="1"/>
  <c r="A60" i="49"/>
  <c r="A92" i="49" s="1"/>
  <c r="A58" i="49"/>
  <c r="A90" i="49" s="1"/>
  <c r="A352" i="49"/>
  <c r="A355" i="49" s="1"/>
  <c r="A358" i="49" s="1"/>
  <c r="A421" i="49" s="1"/>
  <c r="A312" i="49"/>
  <c r="A67" i="49"/>
  <c r="A307" i="49"/>
  <c r="A337" i="49" l="1"/>
  <c r="B373" i="49" s="1"/>
  <c r="B386" i="49" s="1"/>
  <c r="A349" i="49"/>
  <c r="A284" i="49"/>
  <c r="B381" i="49" s="1"/>
  <c r="A285" i="49"/>
  <c r="B382" i="49" s="1"/>
  <c r="A203" i="49"/>
  <c r="A271" i="49"/>
  <c r="A193" i="49"/>
  <c r="A202" i="49"/>
  <c r="A192" i="49"/>
  <c r="A201" i="49"/>
  <c r="A194" i="49"/>
  <c r="A164" i="49"/>
  <c r="A178" i="49" s="1"/>
  <c r="A266" i="49" s="1"/>
  <c r="A166" i="49"/>
  <c r="A180" i="49" s="1"/>
  <c r="A268" i="49" s="1"/>
  <c r="A165" i="49"/>
  <c r="A179" i="49" s="1"/>
  <c r="A267" i="49" s="1"/>
  <c r="A109" i="49"/>
  <c r="A111" i="49"/>
  <c r="A124" i="49" s="1"/>
  <c r="A113" i="49"/>
  <c r="A112" i="49"/>
  <c r="A115" i="49"/>
  <c r="A110" i="49"/>
  <c r="AO552" i="49"/>
  <c r="AO551" i="49"/>
  <c r="A353" i="49"/>
  <c r="A356" i="49" s="1"/>
  <c r="A359" i="49" s="1"/>
  <c r="A422" i="49" s="1"/>
  <c r="A313" i="49"/>
  <c r="AE514" i="49"/>
  <c r="AF514" i="49" l="1"/>
  <c r="AE524" i="49"/>
  <c r="AF524" i="49" s="1"/>
  <c r="A398" i="49"/>
  <c r="A410" i="49" s="1"/>
  <c r="B368" i="49"/>
  <c r="A399" i="49"/>
  <c r="A411" i="49" s="1"/>
  <c r="B369" i="49"/>
  <c r="A338" i="49"/>
  <c r="B374" i="49" s="1"/>
  <c r="B387" i="49" s="1"/>
  <c r="A350" i="49"/>
  <c r="A282" i="49"/>
  <c r="B379" i="49" s="1"/>
  <c r="A283" i="49"/>
  <c r="B380" i="49" s="1"/>
  <c r="A286" i="49"/>
  <c r="B383" i="49" s="1"/>
  <c r="A281" i="49"/>
  <c r="B378" i="49" s="1"/>
  <c r="A191" i="49"/>
  <c r="A200" i="49"/>
  <c r="A190" i="49"/>
  <c r="A199" i="49"/>
  <c r="A134" i="49"/>
  <c r="A143" i="49"/>
  <c r="A198" i="49"/>
  <c r="A189" i="49"/>
  <c r="A122" i="49"/>
  <c r="A126" i="49"/>
  <c r="A123" i="49"/>
  <c r="A125" i="49"/>
  <c r="A128" i="49"/>
  <c r="AG546" i="49"/>
  <c r="A397" i="49" l="1"/>
  <c r="A409" i="49" s="1"/>
  <c r="B367" i="49"/>
  <c r="A396" i="49"/>
  <c r="A408" i="49" s="1"/>
  <c r="B366" i="49"/>
  <c r="A395" i="49"/>
  <c r="A407" i="49" s="1"/>
  <c r="B365" i="49"/>
  <c r="A400" i="49"/>
  <c r="A412" i="49" s="1"/>
  <c r="B370" i="49"/>
  <c r="A136" i="49"/>
  <c r="A145" i="49"/>
  <c r="A137" i="49"/>
  <c r="A147" i="49"/>
  <c r="A135" i="49"/>
  <c r="A144" i="49"/>
  <c r="A133" i="49"/>
  <c r="A142" i="49"/>
  <c r="A132" i="49"/>
  <c r="A141" i="49"/>
  <c r="U39" i="32" l="1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U28" i="32"/>
  <c r="U41" i="32" s="1"/>
  <c r="T28" i="32"/>
  <c r="T41" i="32" s="1"/>
  <c r="S28" i="32"/>
  <c r="R28" i="32"/>
  <c r="R41" i="32" s="1"/>
  <c r="Q28" i="32"/>
  <c r="P28" i="32"/>
  <c r="O28" i="32"/>
  <c r="N28" i="32"/>
  <c r="M28" i="32"/>
  <c r="M41" i="32" s="1"/>
  <c r="L28" i="32"/>
  <c r="L41" i="32" s="1"/>
  <c r="K28" i="32"/>
  <c r="J28" i="32"/>
  <c r="J41" i="32" s="1"/>
  <c r="I28" i="32"/>
  <c r="H28" i="32"/>
  <c r="G28" i="32"/>
  <c r="F28" i="32"/>
  <c r="E28" i="32"/>
  <c r="E41" i="32" s="1"/>
  <c r="D28" i="32"/>
  <c r="D41" i="32" s="1"/>
  <c r="C28" i="32"/>
  <c r="B28" i="32"/>
  <c r="B41" i="32" s="1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U8" i="32"/>
  <c r="U21" i="32" s="1"/>
  <c r="T8" i="32"/>
  <c r="T21" i="32" s="1"/>
  <c r="S8" i="32"/>
  <c r="R8" i="32"/>
  <c r="R21" i="32" s="1"/>
  <c r="Q8" i="32"/>
  <c r="P8" i="32"/>
  <c r="O8" i="32"/>
  <c r="N8" i="32"/>
  <c r="M8" i="32"/>
  <c r="M21" i="32" s="1"/>
  <c r="L8" i="32"/>
  <c r="L21" i="32" s="1"/>
  <c r="K8" i="32"/>
  <c r="J8" i="32"/>
  <c r="J21" i="32" s="1"/>
  <c r="I8" i="32"/>
  <c r="H8" i="32"/>
  <c r="G8" i="32"/>
  <c r="F8" i="32"/>
  <c r="E8" i="32"/>
  <c r="E21" i="32" s="1"/>
  <c r="D8" i="32"/>
  <c r="D21" i="32" s="1"/>
  <c r="C8" i="32"/>
  <c r="B8" i="32"/>
  <c r="B21" i="32" s="1"/>
  <c r="U5" i="32"/>
  <c r="P5" i="32"/>
  <c r="O5" i="32"/>
  <c r="N5" i="32"/>
  <c r="M5" i="32"/>
  <c r="L5" i="32"/>
  <c r="K5" i="32"/>
  <c r="J5" i="32"/>
  <c r="Y39" i="32"/>
  <c r="Y19" i="32"/>
  <c r="Y38" i="32"/>
  <c r="Y18" i="32"/>
  <c r="Y37" i="32"/>
  <c r="Y17" i="32"/>
  <c r="Y36" i="32"/>
  <c r="Y16" i="32"/>
  <c r="Y35" i="32"/>
  <c r="Y15" i="32"/>
  <c r="Y34" i="32"/>
  <c r="Y14" i="32"/>
  <c r="Y33" i="32"/>
  <c r="Y13" i="32"/>
  <c r="Y32" i="32"/>
  <c r="Y12" i="32"/>
  <c r="Y31" i="32"/>
  <c r="Y11" i="32"/>
  <c r="Y30" i="32"/>
  <c r="Y10" i="32"/>
  <c r="Y29" i="32"/>
  <c r="Y9" i="32"/>
  <c r="Y28" i="32"/>
  <c r="Y8" i="32"/>
  <c r="X39" i="32"/>
  <c r="X19" i="32"/>
  <c r="X38" i="32"/>
  <c r="X18" i="32"/>
  <c r="X37" i="32"/>
  <c r="X17" i="32"/>
  <c r="X36" i="32"/>
  <c r="X16" i="32"/>
  <c r="X35" i="32"/>
  <c r="X15" i="32"/>
  <c r="X34" i="32"/>
  <c r="X14" i="32"/>
  <c r="X33" i="32"/>
  <c r="X13" i="32"/>
  <c r="X32" i="32"/>
  <c r="X12" i="32"/>
  <c r="X31" i="32"/>
  <c r="X11" i="32"/>
  <c r="X30" i="32"/>
  <c r="X10" i="32"/>
  <c r="X29" i="32"/>
  <c r="X9" i="32"/>
  <c r="X28" i="32"/>
  <c r="X8" i="32"/>
  <c r="W39" i="32"/>
  <c r="W19" i="32"/>
  <c r="W38" i="32"/>
  <c r="W18" i="32"/>
  <c r="W37" i="32"/>
  <c r="W17" i="32"/>
  <c r="W36" i="32"/>
  <c r="W16" i="32"/>
  <c r="W35" i="32"/>
  <c r="W15" i="32"/>
  <c r="W34" i="32"/>
  <c r="W14" i="32"/>
  <c r="W33" i="32"/>
  <c r="W13" i="32"/>
  <c r="W32" i="32"/>
  <c r="W12" i="32"/>
  <c r="W31" i="32"/>
  <c r="W11" i="32"/>
  <c r="W30" i="32"/>
  <c r="W10" i="32"/>
  <c r="W29" i="32"/>
  <c r="W9" i="32"/>
  <c r="W28" i="32"/>
  <c r="W8" i="32"/>
  <c r="V39" i="32"/>
  <c r="V19" i="32"/>
  <c r="V38" i="32"/>
  <c r="V18" i="32"/>
  <c r="V37" i="32"/>
  <c r="V17" i="32"/>
  <c r="V36" i="32"/>
  <c r="V16" i="32"/>
  <c r="V35" i="32"/>
  <c r="V15" i="32"/>
  <c r="V34" i="32"/>
  <c r="V14" i="32"/>
  <c r="V33" i="32"/>
  <c r="V13" i="32"/>
  <c r="V32" i="32"/>
  <c r="V12" i="32"/>
  <c r="V31" i="32"/>
  <c r="V11" i="32"/>
  <c r="V30" i="32"/>
  <c r="V10" i="32"/>
  <c r="V29" i="32"/>
  <c r="V9" i="32"/>
  <c r="V28" i="32"/>
  <c r="V8" i="32"/>
  <c r="E266" i="27"/>
  <c r="D266" i="27"/>
  <c r="E254" i="27"/>
  <c r="D254" i="27"/>
  <c r="E242" i="27"/>
  <c r="D242" i="27"/>
  <c r="E230" i="27"/>
  <c r="D230" i="27"/>
  <c r="E218" i="27"/>
  <c r="D218" i="27"/>
  <c r="E206" i="27"/>
  <c r="D206" i="27"/>
  <c r="E194" i="27"/>
  <c r="D194" i="27"/>
  <c r="E182" i="27"/>
  <c r="D182" i="27"/>
  <c r="E170" i="27"/>
  <c r="D170" i="27"/>
  <c r="E158" i="27"/>
  <c r="D158" i="27"/>
  <c r="E146" i="27"/>
  <c r="D146" i="27"/>
  <c r="E134" i="27"/>
  <c r="D134" i="27"/>
  <c r="E122" i="27"/>
  <c r="D122" i="27"/>
  <c r="E110" i="27"/>
  <c r="D110" i="27"/>
  <c r="E98" i="27"/>
  <c r="D98" i="27"/>
  <c r="E86" i="27"/>
  <c r="D86" i="27"/>
  <c r="E74" i="27"/>
  <c r="D74" i="27"/>
  <c r="E62" i="27"/>
  <c r="D62" i="27"/>
  <c r="E50" i="27"/>
  <c r="D50" i="27"/>
  <c r="E38" i="27"/>
  <c r="D38" i="27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F237" i="49"/>
  <c r="G238" i="49"/>
  <c r="O15" i="41"/>
  <c r="D12" i="41"/>
  <c r="F236" i="49" s="1"/>
  <c r="D11" i="41"/>
  <c r="F235" i="49" s="1"/>
  <c r="D10" i="41"/>
  <c r="F234" i="49" s="1"/>
  <c r="D9" i="41"/>
  <c r="F233" i="49" s="1"/>
  <c r="C323" i="49"/>
  <c r="D8" i="41"/>
  <c r="F232" i="49" s="1"/>
  <c r="C8" i="41"/>
  <c r="E232" i="49" s="1"/>
  <c r="D7" i="41"/>
  <c r="F231" i="49" s="1"/>
  <c r="C7" i="41"/>
  <c r="E231" i="49" s="1"/>
  <c r="D6" i="41"/>
  <c r="F230" i="49" s="1"/>
  <c r="C6" i="41"/>
  <c r="E230" i="49" s="1"/>
  <c r="D5" i="41"/>
  <c r="F229" i="49" s="1"/>
  <c r="C5" i="41"/>
  <c r="E229" i="49" s="1"/>
  <c r="D4" i="41"/>
  <c r="F228" i="49" s="1"/>
  <c r="C4" i="41"/>
  <c r="E228" i="49" s="1"/>
  <c r="B4" i="18"/>
  <c r="B3" i="18"/>
  <c r="B2" i="18"/>
  <c r="B8" i="18"/>
  <c r="D395" i="49"/>
  <c r="B49" i="17"/>
  <c r="N49" i="17" s="1"/>
  <c r="U49" i="17" s="1"/>
  <c r="B48" i="17"/>
  <c r="N48" i="17" s="1"/>
  <c r="U48" i="17" s="1"/>
  <c r="B47" i="17"/>
  <c r="N47" i="17" s="1"/>
  <c r="U47" i="17" s="1"/>
  <c r="B51" i="17"/>
  <c r="N51" i="17" s="1"/>
  <c r="U51" i="17" s="1"/>
  <c r="D59" i="17"/>
  <c r="D46" i="17" s="1"/>
  <c r="C59" i="17"/>
  <c r="C46" i="17" s="1"/>
  <c r="B46" i="17"/>
  <c r="B45" i="17"/>
  <c r="B44" i="17"/>
  <c r="J10" i="17"/>
  <c r="E10" i="17"/>
  <c r="C10" i="17"/>
  <c r="L33" i="17"/>
  <c r="G33" i="17"/>
  <c r="L32" i="17"/>
  <c r="G32" i="17"/>
  <c r="L31" i="17"/>
  <c r="G31" i="17"/>
  <c r="L30" i="17"/>
  <c r="G30" i="17"/>
  <c r="L29" i="17"/>
  <c r="G29" i="17"/>
  <c r="L28" i="17"/>
  <c r="G28" i="17"/>
  <c r="L27" i="17"/>
  <c r="G27" i="17"/>
  <c r="G26" i="17"/>
  <c r="F264" i="49"/>
  <c r="M10" i="17"/>
  <c r="L10" i="17"/>
  <c r="D10" i="17"/>
  <c r="B10" i="17"/>
  <c r="M9" i="17"/>
  <c r="L9" i="17"/>
  <c r="J9" i="17"/>
  <c r="H9" i="17"/>
  <c r="G9" i="17"/>
  <c r="F9" i="17"/>
  <c r="E9" i="17"/>
  <c r="D9" i="17"/>
  <c r="C9" i="17"/>
  <c r="B9" i="17"/>
  <c r="M8" i="17"/>
  <c r="L8" i="17"/>
  <c r="J8" i="17"/>
  <c r="H8" i="17"/>
  <c r="G8" i="17"/>
  <c r="F8" i="17"/>
  <c r="E8" i="17"/>
  <c r="D8" i="17"/>
  <c r="C8" i="17"/>
  <c r="B8" i="17"/>
  <c r="M7" i="17"/>
  <c r="L7" i="17"/>
  <c r="J7" i="17"/>
  <c r="H7" i="17"/>
  <c r="G7" i="17"/>
  <c r="F7" i="17"/>
  <c r="E7" i="17"/>
  <c r="D7" i="17"/>
  <c r="C7" i="17"/>
  <c r="B7" i="17"/>
  <c r="M6" i="17"/>
  <c r="L6" i="17"/>
  <c r="J6" i="17"/>
  <c r="G6" i="17"/>
  <c r="F6" i="17"/>
  <c r="E6" i="17"/>
  <c r="D6" i="17"/>
  <c r="C6" i="17"/>
  <c r="B6" i="17"/>
  <c r="M5" i="17"/>
  <c r="L5" i="17"/>
  <c r="J5" i="17"/>
  <c r="H5" i="17"/>
  <c r="G5" i="17"/>
  <c r="F5" i="17"/>
  <c r="E5" i="17"/>
  <c r="D5" i="17"/>
  <c r="C5" i="17"/>
  <c r="B5" i="17"/>
  <c r="N5" i="17" s="1"/>
  <c r="N4" i="17"/>
  <c r="H1" i="18"/>
  <c r="I393" i="49" s="1"/>
  <c r="F1" i="18"/>
  <c r="F393" i="49" s="1"/>
  <c r="F419" i="49" s="1"/>
  <c r="E1" i="18"/>
  <c r="E393" i="49" s="1"/>
  <c r="E419" i="49" s="1"/>
  <c r="D1" i="18"/>
  <c r="D393" i="49" s="1"/>
  <c r="D419" i="49" s="1"/>
  <c r="C1" i="18"/>
  <c r="C393" i="49" s="1"/>
  <c r="C419" i="49" s="1"/>
  <c r="B1" i="18"/>
  <c r="B393" i="49" s="1"/>
  <c r="B2" i="17"/>
  <c r="H73" i="9"/>
  <c r="B318" i="49" s="1"/>
  <c r="P12" i="9"/>
  <c r="N12" i="9"/>
  <c r="P11" i="9"/>
  <c r="N11" i="9"/>
  <c r="P10" i="9"/>
  <c r="N10" i="9"/>
  <c r="P9" i="9"/>
  <c r="N9" i="9"/>
  <c r="P8" i="9"/>
  <c r="O8" i="9"/>
  <c r="D54" i="11" s="1"/>
  <c r="R478" i="49" s="1"/>
  <c r="N8" i="9"/>
  <c r="M8" i="9"/>
  <c r="D44" i="11" s="1"/>
  <c r="R468" i="49" s="1"/>
  <c r="K8" i="9"/>
  <c r="C37" i="18" s="1"/>
  <c r="C409" i="49" s="1"/>
  <c r="J8" i="9"/>
  <c r="I8" i="9"/>
  <c r="H8" i="9"/>
  <c r="P7" i="9"/>
  <c r="O7" i="9"/>
  <c r="C54" i="11" s="1"/>
  <c r="Q478" i="49" s="1"/>
  <c r="N7" i="9"/>
  <c r="M7" i="9"/>
  <c r="C44" i="11" s="1"/>
  <c r="Q468" i="49" s="1"/>
  <c r="J7" i="9"/>
  <c r="I7" i="9"/>
  <c r="H7" i="9"/>
  <c r="P6" i="9"/>
  <c r="O6" i="9"/>
  <c r="B54" i="11" s="1"/>
  <c r="P478" i="49" s="1"/>
  <c r="N6" i="9"/>
  <c r="M6" i="9"/>
  <c r="B44" i="11" s="1"/>
  <c r="P468" i="49" s="1"/>
  <c r="K6" i="9"/>
  <c r="K41" i="9" s="1"/>
  <c r="J6" i="9"/>
  <c r="I6" i="9"/>
  <c r="H6" i="9"/>
  <c r="B17" i="11" s="1"/>
  <c r="O12" i="9"/>
  <c r="H54" i="11" s="1"/>
  <c r="L12" i="9"/>
  <c r="K12" i="9"/>
  <c r="C41" i="18" s="1"/>
  <c r="C413" i="49" s="1"/>
  <c r="J12" i="9"/>
  <c r="I12" i="9"/>
  <c r="H12" i="9"/>
  <c r="O11" i="9"/>
  <c r="G54" i="11" s="1"/>
  <c r="L11" i="9"/>
  <c r="K11" i="9"/>
  <c r="C40" i="18" s="1"/>
  <c r="C412" i="49" s="1"/>
  <c r="J11" i="9"/>
  <c r="I11" i="9"/>
  <c r="H11" i="9"/>
  <c r="O10" i="9"/>
  <c r="F54" i="11" s="1"/>
  <c r="L10" i="9"/>
  <c r="K10" i="9"/>
  <c r="C39" i="18" s="1"/>
  <c r="C411" i="49" s="1"/>
  <c r="J10" i="9"/>
  <c r="I10" i="9"/>
  <c r="H10" i="9"/>
  <c r="O9" i="9"/>
  <c r="E54" i="11" s="1"/>
  <c r="S478" i="49" s="1"/>
  <c r="L9" i="9"/>
  <c r="K9" i="9"/>
  <c r="C38" i="18" s="1"/>
  <c r="C410" i="49" s="1"/>
  <c r="J9" i="9"/>
  <c r="I9" i="9"/>
  <c r="H9" i="9"/>
  <c r="A15" i="9"/>
  <c r="A50" i="9" s="1"/>
  <c r="A14" i="9"/>
  <c r="A49" i="9" s="1"/>
  <c r="A13" i="9"/>
  <c r="A48" i="9" s="1"/>
  <c r="V12" i="9"/>
  <c r="A12" i="9"/>
  <c r="A47" i="9" s="1"/>
  <c r="V11" i="9"/>
  <c r="A11" i="9"/>
  <c r="A46" i="9" s="1"/>
  <c r="V10" i="9"/>
  <c r="A10" i="9"/>
  <c r="V9" i="9"/>
  <c r="A9" i="9"/>
  <c r="V8" i="9"/>
  <c r="L8" i="9"/>
  <c r="D37" i="18" s="1"/>
  <c r="D409" i="49" s="1"/>
  <c r="A8" i="9"/>
  <c r="V7" i="9"/>
  <c r="L7" i="9"/>
  <c r="K7" i="9"/>
  <c r="C36" i="18" s="1"/>
  <c r="C408" i="49" s="1"/>
  <c r="A7" i="9"/>
  <c r="V6" i="9"/>
  <c r="L6" i="9"/>
  <c r="A6" i="9"/>
  <c r="A41" i="9" s="1"/>
  <c r="I15" i="38"/>
  <c r="H15" i="38"/>
  <c r="J15" i="38" s="1"/>
  <c r="L14" i="38"/>
  <c r="K14" i="38"/>
  <c r="E14" i="38"/>
  <c r="D14" i="38"/>
  <c r="L13" i="38"/>
  <c r="K13" i="38"/>
  <c r="E13" i="38"/>
  <c r="D13" i="38"/>
  <c r="L12" i="38"/>
  <c r="M12" i="38" s="1"/>
  <c r="K12" i="38"/>
  <c r="E12" i="38"/>
  <c r="D12" i="38"/>
  <c r="L11" i="38"/>
  <c r="K11" i="38"/>
  <c r="E11" i="38"/>
  <c r="D11" i="38"/>
  <c r="L10" i="38"/>
  <c r="K10" i="38"/>
  <c r="E10" i="38"/>
  <c r="D10" i="38"/>
  <c r="L9" i="38"/>
  <c r="K9" i="38"/>
  <c r="E9" i="38"/>
  <c r="D9" i="38"/>
  <c r="L8" i="38"/>
  <c r="M8" i="38" s="1"/>
  <c r="K8" i="38"/>
  <c r="E8" i="38"/>
  <c r="D8" i="38"/>
  <c r="L7" i="38"/>
  <c r="K7" i="38"/>
  <c r="E7" i="38"/>
  <c r="F7" i="38" s="1"/>
  <c r="D7" i="38"/>
  <c r="L6" i="38"/>
  <c r="K6" i="38"/>
  <c r="E6" i="38"/>
  <c r="D6" i="38"/>
  <c r="F6" i="38" s="1"/>
  <c r="E5" i="38"/>
  <c r="D5" i="38"/>
  <c r="E4" i="38"/>
  <c r="D4" i="38"/>
  <c r="E3" i="38"/>
  <c r="D3" i="38"/>
  <c r="F110" i="42"/>
  <c r="F109" i="42"/>
  <c r="F108" i="42"/>
  <c r="F107" i="42"/>
  <c r="F106" i="42"/>
  <c r="F105" i="42"/>
  <c r="F104" i="42"/>
  <c r="F103" i="42"/>
  <c r="F102" i="42"/>
  <c r="F101" i="42"/>
  <c r="F100" i="42"/>
  <c r="F98" i="42"/>
  <c r="F97" i="42"/>
  <c r="F96" i="42"/>
  <c r="F95" i="42"/>
  <c r="F94" i="42"/>
  <c r="F93" i="42"/>
  <c r="F92" i="42"/>
  <c r="F91" i="42"/>
  <c r="F90" i="42"/>
  <c r="F89" i="42"/>
  <c r="F88" i="42"/>
  <c r="F86" i="42"/>
  <c r="F85" i="42"/>
  <c r="F84" i="42"/>
  <c r="F83" i="42"/>
  <c r="F82" i="42"/>
  <c r="F81" i="42"/>
  <c r="F80" i="42"/>
  <c r="F79" i="42"/>
  <c r="F78" i="42"/>
  <c r="F77" i="42"/>
  <c r="F76" i="42"/>
  <c r="F74" i="42"/>
  <c r="F73" i="42"/>
  <c r="F72" i="42"/>
  <c r="F71" i="42"/>
  <c r="F70" i="42"/>
  <c r="F69" i="42"/>
  <c r="F68" i="42"/>
  <c r="F67" i="42"/>
  <c r="F66" i="42"/>
  <c r="F65" i="42"/>
  <c r="F64" i="42"/>
  <c r="C62" i="42"/>
  <c r="B62" i="42"/>
  <c r="C61" i="42"/>
  <c r="B61" i="42"/>
  <c r="C60" i="42"/>
  <c r="B60" i="42"/>
  <c r="C59" i="42"/>
  <c r="B59" i="42"/>
  <c r="C58" i="42"/>
  <c r="B58" i="42"/>
  <c r="C57" i="42"/>
  <c r="B57" i="42"/>
  <c r="C56" i="42"/>
  <c r="B56" i="42"/>
  <c r="C55" i="42"/>
  <c r="B55" i="42"/>
  <c r="C54" i="42"/>
  <c r="B54" i="42"/>
  <c r="C53" i="42"/>
  <c r="B53" i="42"/>
  <c r="C52" i="42"/>
  <c r="B52" i="42"/>
  <c r="C51" i="42"/>
  <c r="B51" i="42"/>
  <c r="C50" i="42"/>
  <c r="B50" i="42"/>
  <c r="C49" i="42"/>
  <c r="B49" i="42"/>
  <c r="C48" i="42"/>
  <c r="B48" i="42"/>
  <c r="C47" i="42"/>
  <c r="B47" i="42"/>
  <c r="C46" i="42"/>
  <c r="B46" i="42"/>
  <c r="C45" i="42"/>
  <c r="B45" i="42"/>
  <c r="C44" i="42"/>
  <c r="B44" i="42"/>
  <c r="C43" i="42"/>
  <c r="B43" i="42"/>
  <c r="C42" i="42"/>
  <c r="B42" i="42"/>
  <c r="C41" i="42"/>
  <c r="B41" i="42"/>
  <c r="C40" i="42"/>
  <c r="B40" i="42"/>
  <c r="C39" i="42"/>
  <c r="B39" i="42"/>
  <c r="C38" i="42"/>
  <c r="D38" i="42" s="1"/>
  <c r="F38" i="42" s="1"/>
  <c r="C37" i="42"/>
  <c r="D37" i="42" s="1"/>
  <c r="F37" i="42" s="1"/>
  <c r="C36" i="42"/>
  <c r="D36" i="42" s="1"/>
  <c r="F36" i="42" s="1"/>
  <c r="C35" i="42"/>
  <c r="D35" i="42" s="1"/>
  <c r="F35" i="42" s="1"/>
  <c r="C34" i="42"/>
  <c r="D34" i="42" s="1"/>
  <c r="F34" i="42" s="1"/>
  <c r="C33" i="42"/>
  <c r="D33" i="42" s="1"/>
  <c r="F33" i="42" s="1"/>
  <c r="C32" i="42"/>
  <c r="D32" i="42" s="1"/>
  <c r="F32" i="42" s="1"/>
  <c r="C31" i="42"/>
  <c r="D31" i="42" s="1"/>
  <c r="F31" i="42" s="1"/>
  <c r="C30" i="42"/>
  <c r="D30" i="42" s="1"/>
  <c r="F30" i="42" s="1"/>
  <c r="C29" i="42"/>
  <c r="D29" i="42" s="1"/>
  <c r="F29" i="42" s="1"/>
  <c r="C28" i="42"/>
  <c r="D28" i="42" s="1"/>
  <c r="F28" i="42" s="1"/>
  <c r="C27" i="42"/>
  <c r="D27" i="42" s="1"/>
  <c r="C26" i="42"/>
  <c r="D26" i="42" s="1"/>
  <c r="F26" i="42" s="1"/>
  <c r="C25" i="42"/>
  <c r="D25" i="42" s="1"/>
  <c r="F25" i="42" s="1"/>
  <c r="C24" i="42"/>
  <c r="D24" i="42" s="1"/>
  <c r="F24" i="42" s="1"/>
  <c r="C23" i="42"/>
  <c r="D23" i="42" s="1"/>
  <c r="F23" i="42" s="1"/>
  <c r="C22" i="42"/>
  <c r="D22" i="42" s="1"/>
  <c r="F22" i="42" s="1"/>
  <c r="C21" i="42"/>
  <c r="D21" i="42" s="1"/>
  <c r="F21" i="42" s="1"/>
  <c r="C20" i="42"/>
  <c r="D20" i="42" s="1"/>
  <c r="F20" i="42" s="1"/>
  <c r="C19" i="42"/>
  <c r="D19" i="42" s="1"/>
  <c r="F19" i="42" s="1"/>
  <c r="C18" i="42"/>
  <c r="D18" i="42" s="1"/>
  <c r="F18" i="42" s="1"/>
  <c r="C17" i="42"/>
  <c r="D17" i="42" s="1"/>
  <c r="F17" i="42" s="1"/>
  <c r="C16" i="42"/>
  <c r="D16" i="42" s="1"/>
  <c r="F16" i="42" s="1"/>
  <c r="C15" i="42"/>
  <c r="D15" i="42" s="1"/>
  <c r="F15" i="42" s="1"/>
  <c r="C14" i="42"/>
  <c r="D14" i="42" s="1"/>
  <c r="F14" i="42" s="1"/>
  <c r="C13" i="42"/>
  <c r="D13" i="42" s="1"/>
  <c r="F13" i="42" s="1"/>
  <c r="C12" i="42"/>
  <c r="D12" i="42" s="1"/>
  <c r="F12" i="42" s="1"/>
  <c r="C11" i="42"/>
  <c r="D11" i="42" s="1"/>
  <c r="F11" i="42" s="1"/>
  <c r="C10" i="42"/>
  <c r="D10" i="42" s="1"/>
  <c r="F10" i="42" s="1"/>
  <c r="C9" i="42"/>
  <c r="D9" i="42" s="1"/>
  <c r="F9" i="42" s="1"/>
  <c r="C8" i="42"/>
  <c r="D8" i="42" s="1"/>
  <c r="F8" i="42" s="1"/>
  <c r="C7" i="42"/>
  <c r="D7" i="42" s="1"/>
  <c r="F7" i="42" s="1"/>
  <c r="C6" i="42"/>
  <c r="D6" i="42" s="1"/>
  <c r="F6" i="42" s="1"/>
  <c r="C5" i="42"/>
  <c r="D5" i="42" s="1"/>
  <c r="F5" i="42" s="1"/>
  <c r="C4" i="42"/>
  <c r="D4" i="42" s="1"/>
  <c r="F4" i="42" s="1"/>
  <c r="C3" i="42"/>
  <c r="D3" i="42" s="1"/>
  <c r="A52" i="11"/>
  <c r="A47" i="11"/>
  <c r="A42" i="11"/>
  <c r="A38" i="11"/>
  <c r="K34" i="11"/>
  <c r="J34" i="11"/>
  <c r="I34" i="11"/>
  <c r="A33" i="11"/>
  <c r="A28" i="11"/>
  <c r="A23" i="11"/>
  <c r="A19" i="11"/>
  <c r="A15" i="11"/>
  <c r="B11" i="41" l="1"/>
  <c r="D235" i="49" s="1"/>
  <c r="C14" i="41"/>
  <c r="E238" i="49" s="1"/>
  <c r="B17" i="41"/>
  <c r="D241" i="49" s="1"/>
  <c r="B14" i="41"/>
  <c r="D238" i="49" s="1"/>
  <c r="I238" i="49" s="1"/>
  <c r="F8" i="38"/>
  <c r="F10" i="38"/>
  <c r="F14" i="38"/>
  <c r="B6" i="41"/>
  <c r="G6" i="41" s="1"/>
  <c r="C11" i="41"/>
  <c r="E235" i="49" s="1"/>
  <c r="I235" i="49" s="1"/>
  <c r="C17" i="41"/>
  <c r="E241" i="49" s="1"/>
  <c r="C21" i="32"/>
  <c r="K21" i="32"/>
  <c r="S21" i="32"/>
  <c r="C41" i="32"/>
  <c r="K41" i="32"/>
  <c r="S41" i="32"/>
  <c r="B12" i="41"/>
  <c r="D236" i="49" s="1"/>
  <c r="B15" i="41"/>
  <c r="D239" i="49" s="1"/>
  <c r="AL538" i="49"/>
  <c r="AK588" i="49"/>
  <c r="T478" i="49"/>
  <c r="I30" i="51"/>
  <c r="F130" i="49" s="1"/>
  <c r="F185" i="49" s="1"/>
  <c r="F273" i="49" s="1"/>
  <c r="AH733" i="49"/>
  <c r="AI683" i="49"/>
  <c r="I405" i="49"/>
  <c r="I419" i="49"/>
  <c r="G38" i="17"/>
  <c r="G289" i="49" s="1"/>
  <c r="J30" i="51"/>
  <c r="AI733" i="49"/>
  <c r="AH783" i="49"/>
  <c r="AK687" i="49"/>
  <c r="AL638" i="49"/>
  <c r="V478" i="49"/>
  <c r="L38" i="17"/>
  <c r="M289" i="49" s="1"/>
  <c r="M294" i="49" s="1"/>
  <c r="K30" i="51"/>
  <c r="AI783" i="49"/>
  <c r="F4" i="38"/>
  <c r="AK638" i="49"/>
  <c r="AL588" i="49"/>
  <c r="U478" i="49"/>
  <c r="F9" i="38"/>
  <c r="F11" i="38"/>
  <c r="F13" i="38"/>
  <c r="V21" i="32"/>
  <c r="W21" i="32"/>
  <c r="X21" i="32"/>
  <c r="Y21" i="32"/>
  <c r="V41" i="32"/>
  <c r="W41" i="32"/>
  <c r="X41" i="32"/>
  <c r="Y41" i="32"/>
  <c r="M14" i="38"/>
  <c r="AA31" i="32"/>
  <c r="H175" i="42" s="1"/>
  <c r="AA39" i="32"/>
  <c r="H183" i="42" s="1"/>
  <c r="AA15" i="32"/>
  <c r="G179" i="42" s="1"/>
  <c r="AA16" i="32"/>
  <c r="G180" i="42" s="1"/>
  <c r="AA17" i="32"/>
  <c r="G181" i="42" s="1"/>
  <c r="AA11" i="32"/>
  <c r="G175" i="42" s="1"/>
  <c r="AA8" i="32"/>
  <c r="G172" i="42" s="1"/>
  <c r="AA32" i="32"/>
  <c r="H176" i="42" s="1"/>
  <c r="AA28" i="32"/>
  <c r="H172" i="42" s="1"/>
  <c r="AA10" i="32"/>
  <c r="G174" i="42" s="1"/>
  <c r="AA19" i="32"/>
  <c r="G183" i="42" s="1"/>
  <c r="AA13" i="32"/>
  <c r="G177" i="42" s="1"/>
  <c r="AA33" i="32"/>
  <c r="H177" i="42" s="1"/>
  <c r="AA34" i="32"/>
  <c r="H178" i="42" s="1"/>
  <c r="AA35" i="32"/>
  <c r="H179" i="42" s="1"/>
  <c r="AA36" i="32"/>
  <c r="H180" i="42" s="1"/>
  <c r="AA29" i="32"/>
  <c r="H173" i="42" s="1"/>
  <c r="AA30" i="32"/>
  <c r="H174" i="42" s="1"/>
  <c r="AA38" i="32"/>
  <c r="H182" i="42" s="1"/>
  <c r="AA14" i="32"/>
  <c r="G178" i="42" s="1"/>
  <c r="AA9" i="32"/>
  <c r="G173" i="42" s="1"/>
  <c r="AA18" i="32"/>
  <c r="G182" i="42" s="1"/>
  <c r="AA12" i="32"/>
  <c r="G176" i="42" s="1"/>
  <c r="AA37" i="32"/>
  <c r="H181" i="42" s="1"/>
  <c r="M9" i="38"/>
  <c r="F3" i="38"/>
  <c r="M6" i="38"/>
  <c r="F12" i="38"/>
  <c r="M13" i="38"/>
  <c r="B9" i="41"/>
  <c r="D233" i="49" s="1"/>
  <c r="B13" i="41"/>
  <c r="D237" i="49" s="1"/>
  <c r="F21" i="32"/>
  <c r="N21" i="32"/>
  <c r="F41" i="32"/>
  <c r="N41" i="32"/>
  <c r="M11" i="38"/>
  <c r="B8" i="41"/>
  <c r="G8" i="41" s="1"/>
  <c r="G21" i="32"/>
  <c r="O21" i="32"/>
  <c r="G41" i="32"/>
  <c r="O41" i="32"/>
  <c r="F5" i="38"/>
  <c r="M7" i="38"/>
  <c r="M10" i="38"/>
  <c r="C16" i="41"/>
  <c r="E240" i="49" s="1"/>
  <c r="H21" i="32"/>
  <c r="P21" i="32"/>
  <c r="H41" i="32"/>
  <c r="P41" i="32"/>
  <c r="I21" i="32"/>
  <c r="I41" i="32"/>
  <c r="L36" i="17"/>
  <c r="Q21" i="32"/>
  <c r="Q41" i="32"/>
  <c r="S7" i="17"/>
  <c r="S9" i="17"/>
  <c r="H239" i="49"/>
  <c r="D40" i="42"/>
  <c r="F40" i="42" s="1"/>
  <c r="D42" i="42"/>
  <c r="F42" i="42" s="1"/>
  <c r="D44" i="42"/>
  <c r="F44" i="42" s="1"/>
  <c r="D46" i="42"/>
  <c r="F46" i="42" s="1"/>
  <c r="D48" i="42"/>
  <c r="F48" i="42" s="1"/>
  <c r="D50" i="42"/>
  <c r="F50" i="42" s="1"/>
  <c r="D52" i="42"/>
  <c r="F52" i="42" s="1"/>
  <c r="D54" i="42"/>
  <c r="F54" i="42" s="1"/>
  <c r="D39" i="42"/>
  <c r="F39" i="42" s="1"/>
  <c r="D41" i="42"/>
  <c r="F41" i="42" s="1"/>
  <c r="D43" i="42"/>
  <c r="F43" i="42" s="1"/>
  <c r="D45" i="42"/>
  <c r="F45" i="42" s="1"/>
  <c r="D47" i="42"/>
  <c r="F47" i="42" s="1"/>
  <c r="D49" i="42"/>
  <c r="F49" i="42" s="1"/>
  <c r="D51" i="42"/>
  <c r="F51" i="42" s="1"/>
  <c r="D53" i="42"/>
  <c r="F53" i="42" s="1"/>
  <c r="D55" i="42"/>
  <c r="F55" i="42" s="1"/>
  <c r="D57" i="42"/>
  <c r="F57" i="42" s="1"/>
  <c r="D59" i="42"/>
  <c r="F59" i="42" s="1"/>
  <c r="D61" i="42"/>
  <c r="F61" i="42" s="1"/>
  <c r="G139" i="42"/>
  <c r="D56" i="42"/>
  <c r="F56" i="42" s="1"/>
  <c r="D58" i="42"/>
  <c r="F58" i="42" s="1"/>
  <c r="D60" i="42"/>
  <c r="F60" i="42" s="1"/>
  <c r="D62" i="42"/>
  <c r="F62" i="42" s="1"/>
  <c r="F153" i="42"/>
  <c r="B248" i="49" s="1"/>
  <c r="D154" i="42"/>
  <c r="F27" i="42"/>
  <c r="F154" i="42" s="1"/>
  <c r="B249" i="49" s="1"/>
  <c r="G141" i="42"/>
  <c r="C12" i="17"/>
  <c r="C13" i="17"/>
  <c r="G143" i="42"/>
  <c r="D152" i="42"/>
  <c r="F3" i="42"/>
  <c r="F152" i="42" s="1"/>
  <c r="G137" i="42"/>
  <c r="G145" i="42"/>
  <c r="D153" i="42"/>
  <c r="D15" i="38"/>
  <c r="E15" i="38" s="1"/>
  <c r="H137" i="42"/>
  <c r="H139" i="42"/>
  <c r="H141" i="42"/>
  <c r="H143" i="42"/>
  <c r="H145" i="42"/>
  <c r="D12" i="17"/>
  <c r="D265" i="49" s="1"/>
  <c r="D281" i="49" s="1"/>
  <c r="D13" i="17"/>
  <c r="G136" i="42"/>
  <c r="G138" i="42"/>
  <c r="G140" i="42"/>
  <c r="G142" i="42"/>
  <c r="G144" i="42"/>
  <c r="G146" i="42"/>
  <c r="S6" i="17"/>
  <c r="S8" i="17"/>
  <c r="H136" i="42"/>
  <c r="H138" i="42"/>
  <c r="H140" i="42"/>
  <c r="H142" i="42"/>
  <c r="H144" i="42"/>
  <c r="H146" i="42"/>
  <c r="S5" i="17"/>
  <c r="N6" i="17"/>
  <c r="B11" i="54"/>
  <c r="B11" i="53"/>
  <c r="B61" i="53"/>
  <c r="B79" i="53" s="1"/>
  <c r="B61" i="54"/>
  <c r="B79" i="54" s="1"/>
  <c r="V42" i="9"/>
  <c r="N36" i="18"/>
  <c r="F35" i="18"/>
  <c r="F407" i="49" s="1"/>
  <c r="B49" i="11"/>
  <c r="P473" i="49" s="1"/>
  <c r="F39" i="18"/>
  <c r="F411" i="49" s="1"/>
  <c r="F49" i="11"/>
  <c r="F41" i="18"/>
  <c r="F413" i="49" s="1"/>
  <c r="H49" i="11"/>
  <c r="G36" i="18"/>
  <c r="H408" i="49" s="1"/>
  <c r="C68" i="11"/>
  <c r="Q492" i="49" s="1"/>
  <c r="G37" i="18"/>
  <c r="H409" i="49" s="1"/>
  <c r="D68" i="11"/>
  <c r="R492" i="49" s="1"/>
  <c r="G39" i="18"/>
  <c r="H411" i="49" s="1"/>
  <c r="F68" i="11"/>
  <c r="T492" i="49" s="1"/>
  <c r="G41" i="18"/>
  <c r="H413" i="49" s="1"/>
  <c r="H68" i="11"/>
  <c r="V492" i="49" s="1"/>
  <c r="G35" i="18"/>
  <c r="H407" i="49" s="1"/>
  <c r="B68" i="11"/>
  <c r="P492" i="49" s="1"/>
  <c r="F38" i="18"/>
  <c r="F410" i="49" s="1"/>
  <c r="E49" i="11"/>
  <c r="F40" i="18"/>
  <c r="F412" i="49" s="1"/>
  <c r="G49" i="11"/>
  <c r="V41" i="9"/>
  <c r="N35" i="18"/>
  <c r="V43" i="9"/>
  <c r="N37" i="18"/>
  <c r="F36" i="18"/>
  <c r="F408" i="49" s="1"/>
  <c r="C49" i="11"/>
  <c r="Q473" i="49" s="1"/>
  <c r="F37" i="18"/>
  <c r="F409" i="49" s="1"/>
  <c r="D49" i="11"/>
  <c r="R473" i="49" s="1"/>
  <c r="G38" i="18"/>
  <c r="H410" i="49" s="1"/>
  <c r="E68" i="11"/>
  <c r="S492" i="49" s="1"/>
  <c r="G40" i="18"/>
  <c r="H412" i="49" s="1"/>
  <c r="G68" i="11"/>
  <c r="U492" i="49" s="1"/>
  <c r="B12" i="17"/>
  <c r="L42" i="9"/>
  <c r="D36" i="18"/>
  <c r="D408" i="49" s="1"/>
  <c r="B13" i="17"/>
  <c r="V44" i="9"/>
  <c r="N38" i="18"/>
  <c r="V46" i="9"/>
  <c r="N40" i="18"/>
  <c r="L45" i="9"/>
  <c r="D39" i="18"/>
  <c r="D411" i="49" s="1"/>
  <c r="L47" i="9"/>
  <c r="L59" i="9" s="1"/>
  <c r="D41" i="18"/>
  <c r="D413" i="49" s="1"/>
  <c r="M42" i="9"/>
  <c r="E36" i="18"/>
  <c r="E408" i="49" s="1"/>
  <c r="M43" i="9"/>
  <c r="E37" i="18"/>
  <c r="E409" i="49" s="1"/>
  <c r="B395" i="49"/>
  <c r="K2" i="18"/>
  <c r="B88" i="11" s="1"/>
  <c r="B37" i="18"/>
  <c r="B409" i="49" s="1"/>
  <c r="K4" i="18"/>
  <c r="D88" i="11" s="1"/>
  <c r="V45" i="9"/>
  <c r="N39" i="18"/>
  <c r="V47" i="9"/>
  <c r="N41" i="18"/>
  <c r="L44" i="9"/>
  <c r="D38" i="18"/>
  <c r="D410" i="49" s="1"/>
  <c r="L46" i="9"/>
  <c r="D40" i="18"/>
  <c r="D412" i="49" s="1"/>
  <c r="M41" i="9"/>
  <c r="E35" i="18"/>
  <c r="E407" i="49" s="1"/>
  <c r="B41" i="18"/>
  <c r="B413" i="49" s="1"/>
  <c r="K8" i="18"/>
  <c r="H88" i="11" s="1"/>
  <c r="K3" i="18"/>
  <c r="C88" i="11" s="1"/>
  <c r="B36" i="18"/>
  <c r="B408" i="49" s="1"/>
  <c r="G36" i="17"/>
  <c r="H30" i="11"/>
  <c r="E25" i="11"/>
  <c r="S448" i="49" s="1"/>
  <c r="G25" i="11"/>
  <c r="U448" i="49" s="1"/>
  <c r="C25" i="11"/>
  <c r="Q448" i="49" s="1"/>
  <c r="B35" i="11"/>
  <c r="L41" i="9"/>
  <c r="C30" i="11"/>
  <c r="Q453" i="49" s="1"/>
  <c r="D35" i="11"/>
  <c r="L43" i="9"/>
  <c r="E30" i="11"/>
  <c r="S453" i="49" s="1"/>
  <c r="F21" i="11"/>
  <c r="G30" i="11"/>
  <c r="U453" i="49" s="1"/>
  <c r="H21" i="11"/>
  <c r="P41" i="9"/>
  <c r="F30" i="11"/>
  <c r="T453" i="49" s="1"/>
  <c r="B21" i="11"/>
  <c r="F17" i="11"/>
  <c r="H25" i="11"/>
  <c r="V448" i="49" s="1"/>
  <c r="D21" i="11"/>
  <c r="R444" i="49" s="1"/>
  <c r="B36" i="11"/>
  <c r="D36" i="11"/>
  <c r="B401" i="49"/>
  <c r="F10" i="17"/>
  <c r="S10" i="17" s="1"/>
  <c r="D34" i="11"/>
  <c r="H26" i="17"/>
  <c r="K265" i="49"/>
  <c r="E27" i="17"/>
  <c r="B11" i="17"/>
  <c r="N11" i="17" s="1"/>
  <c r="U11" i="17" s="1"/>
  <c r="B34" i="11"/>
  <c r="E264" i="49"/>
  <c r="B53" i="11"/>
  <c r="P477" i="49" s="1"/>
  <c r="N10" i="17"/>
  <c r="N7" i="17"/>
  <c r="N8" i="17"/>
  <c r="N9" i="17"/>
  <c r="F29" i="17"/>
  <c r="I73" i="9"/>
  <c r="C318" i="49" s="1"/>
  <c r="D264" i="49"/>
  <c r="K264" i="49"/>
  <c r="E265" i="49"/>
  <c r="K26" i="17"/>
  <c r="F265" i="49"/>
  <c r="F26" i="17"/>
  <c r="I280" i="49"/>
  <c r="I281" i="49"/>
  <c r="C36" i="11"/>
  <c r="E34" i="11"/>
  <c r="E30" i="51" s="1"/>
  <c r="K42" i="9"/>
  <c r="P463" i="49"/>
  <c r="J26" i="17"/>
  <c r="F53" i="11"/>
  <c r="C35" i="11"/>
  <c r="B58" i="11"/>
  <c r="B49" i="51" s="1"/>
  <c r="I99" i="49"/>
  <c r="D58" i="11"/>
  <c r="R482" i="49" s="1"/>
  <c r="I101" i="49"/>
  <c r="D35" i="18"/>
  <c r="D407" i="49" s="1"/>
  <c r="C58" i="11"/>
  <c r="Q482" i="49" s="1"/>
  <c r="I100" i="49"/>
  <c r="B31" i="11"/>
  <c r="C395" i="49"/>
  <c r="C26" i="11"/>
  <c r="B396" i="49"/>
  <c r="E36" i="11"/>
  <c r="F50" i="11"/>
  <c r="G36" i="11"/>
  <c r="B50" i="11"/>
  <c r="P474" i="49" s="1"/>
  <c r="C31" i="11"/>
  <c r="C396" i="49"/>
  <c r="D26" i="11"/>
  <c r="B397" i="49"/>
  <c r="H31" i="11"/>
  <c r="C401" i="49"/>
  <c r="C50" i="11"/>
  <c r="Q474" i="49" s="1"/>
  <c r="D31" i="11"/>
  <c r="C397" i="49"/>
  <c r="E58" i="11"/>
  <c r="S482" i="49" s="1"/>
  <c r="I102" i="49"/>
  <c r="F58" i="11"/>
  <c r="T482" i="49" s="1"/>
  <c r="I103" i="49"/>
  <c r="G58" i="11"/>
  <c r="U482" i="49" s="1"/>
  <c r="I104" i="49"/>
  <c r="H58" i="11"/>
  <c r="V482" i="49" s="1"/>
  <c r="D50" i="11"/>
  <c r="R474" i="49" s="1"/>
  <c r="F405" i="49"/>
  <c r="E405" i="49"/>
  <c r="D405" i="49"/>
  <c r="B405" i="49"/>
  <c r="B419" i="49"/>
  <c r="C405" i="49"/>
  <c r="O442" i="49"/>
  <c r="C152" i="49"/>
  <c r="C176" i="49" s="1"/>
  <c r="C262" i="49" s="1"/>
  <c r="O456" i="49"/>
  <c r="F152" i="49"/>
  <c r="F176" i="49" s="1"/>
  <c r="F262" i="49" s="1"/>
  <c r="W457" i="49"/>
  <c r="O471" i="49"/>
  <c r="H152" i="49"/>
  <c r="H176" i="49" s="1"/>
  <c r="H262" i="49" s="1"/>
  <c r="P483" i="49"/>
  <c r="P440" i="49"/>
  <c r="O446" i="49"/>
  <c r="D152" i="49"/>
  <c r="D176" i="49" s="1"/>
  <c r="D262" i="49" s="1"/>
  <c r="X457" i="49"/>
  <c r="F186" i="49"/>
  <c r="O461" i="49"/>
  <c r="O476" i="49"/>
  <c r="I152" i="49"/>
  <c r="I176" i="49" s="1"/>
  <c r="I262" i="49" s="1"/>
  <c r="O451" i="49"/>
  <c r="E152" i="49"/>
  <c r="E176" i="49" s="1"/>
  <c r="E262" i="49" s="1"/>
  <c r="Y457" i="49"/>
  <c r="F187" i="49"/>
  <c r="P462" i="49"/>
  <c r="P481" i="49"/>
  <c r="O438" i="49"/>
  <c r="B152" i="49"/>
  <c r="B176" i="49" s="1"/>
  <c r="B262" i="49" s="1"/>
  <c r="O466" i="49"/>
  <c r="G152" i="49"/>
  <c r="G176" i="49" s="1"/>
  <c r="G262" i="49" s="1"/>
  <c r="B322" i="49"/>
  <c r="B5" i="41"/>
  <c r="K45" i="9"/>
  <c r="G29" i="11"/>
  <c r="G24" i="11"/>
  <c r="B10" i="41"/>
  <c r="D234" i="49" s="1"/>
  <c r="C35" i="18"/>
  <c r="C407" i="49" s="1"/>
  <c r="E48" i="11"/>
  <c r="B53" i="17"/>
  <c r="P45" i="9"/>
  <c r="B7" i="41"/>
  <c r="B4" i="41"/>
  <c r="D228" i="49" s="1"/>
  <c r="I228" i="49" s="1"/>
  <c r="C10" i="41"/>
  <c r="E234" i="49" s="1"/>
  <c r="C12" i="41"/>
  <c r="C15" i="41"/>
  <c r="E239" i="49" s="1"/>
  <c r="M9" i="9"/>
  <c r="M10" i="9"/>
  <c r="M11" i="9"/>
  <c r="M12" i="9"/>
  <c r="H44" i="11" s="1"/>
  <c r="V468" i="49" s="1"/>
  <c r="B52" i="17"/>
  <c r="N52" i="17" s="1"/>
  <c r="U52" i="17" s="1"/>
  <c r="B7" i="18"/>
  <c r="C9" i="41"/>
  <c r="C13" i="41"/>
  <c r="B16" i="41"/>
  <c r="D240" i="49" s="1"/>
  <c r="D29" i="11"/>
  <c r="J45" i="9"/>
  <c r="B57" i="41"/>
  <c r="D30" i="11"/>
  <c r="R453" i="49" s="1"/>
  <c r="D48" i="11"/>
  <c r="C57" i="41"/>
  <c r="E278" i="27"/>
  <c r="E314" i="27"/>
  <c r="B5" i="18"/>
  <c r="C24" i="11"/>
  <c r="J43" i="9"/>
  <c r="G34" i="11"/>
  <c r="N41" i="9"/>
  <c r="C48" i="11"/>
  <c r="G7" i="9"/>
  <c r="C87" i="11" s="1"/>
  <c r="B6" i="18"/>
  <c r="B30" i="11"/>
  <c r="P453" i="49" s="1"/>
  <c r="I42" i="9"/>
  <c r="B14" i="17"/>
  <c r="B50" i="17"/>
  <c r="G48" i="11"/>
  <c r="P46" i="9"/>
  <c r="G20" i="11"/>
  <c r="C399" i="49"/>
  <c r="B40" i="41"/>
  <c r="C40" i="41"/>
  <c r="H34" i="11"/>
  <c r="D290" i="27"/>
  <c r="D302" i="27"/>
  <c r="D314" i="27"/>
  <c r="Q44" i="9"/>
  <c r="D40" i="41"/>
  <c r="G8" i="9"/>
  <c r="D87" i="11" s="1"/>
  <c r="D17" i="11"/>
  <c r="H35" i="11"/>
  <c r="C17" i="11"/>
  <c r="D157" i="42"/>
  <c r="F63" i="42"/>
  <c r="F157" i="42" s="1"/>
  <c r="B252" i="49" s="1"/>
  <c r="D158" i="42"/>
  <c r="F75" i="42"/>
  <c r="F158" i="42" s="1"/>
  <c r="B253" i="49" s="1"/>
  <c r="D159" i="42"/>
  <c r="F87" i="42"/>
  <c r="F159" i="42" s="1"/>
  <c r="B254" i="49" s="1"/>
  <c r="E17" i="11"/>
  <c r="G35" i="11"/>
  <c r="D25" i="11"/>
  <c r="R448" i="49" s="1"/>
  <c r="E21" i="11"/>
  <c r="F36" i="11"/>
  <c r="H36" i="11"/>
  <c r="B35" i="18"/>
  <c r="B26" i="11"/>
  <c r="F35" i="11"/>
  <c r="G6" i="9"/>
  <c r="B87" i="11" s="1"/>
  <c r="H26" i="11"/>
  <c r="G17" i="11"/>
  <c r="G21" i="11"/>
  <c r="H17" i="11"/>
  <c r="E35" i="11"/>
  <c r="C21" i="11"/>
  <c r="F25" i="11"/>
  <c r="T448" i="49" s="1"/>
  <c r="B25" i="11"/>
  <c r="P448" i="49" s="1"/>
  <c r="Q42" i="9"/>
  <c r="Q53" i="9" s="1"/>
  <c r="B15" i="17"/>
  <c r="O43" i="9"/>
  <c r="O42" i="9"/>
  <c r="I21" i="17"/>
  <c r="I22" i="17" s="1"/>
  <c r="O46" i="9"/>
  <c r="D160" i="42"/>
  <c r="F99" i="42"/>
  <c r="F160" i="42" s="1"/>
  <c r="B255" i="49" s="1"/>
  <c r="D57" i="41"/>
  <c r="Q46" i="9"/>
  <c r="Q45" i="9"/>
  <c r="P42" i="9"/>
  <c r="I45" i="9"/>
  <c r="I43" i="9"/>
  <c r="O44" i="9"/>
  <c r="C398" i="49"/>
  <c r="D278" i="27"/>
  <c r="E302" i="27"/>
  <c r="E290" i="27"/>
  <c r="S146" i="42" l="1"/>
  <c r="S137" i="42"/>
  <c r="S140" i="42"/>
  <c r="S143" i="42"/>
  <c r="S138" i="42"/>
  <c r="S136" i="42"/>
  <c r="S141" i="42"/>
  <c r="S139" i="42"/>
  <c r="S144" i="42"/>
  <c r="S142" i="42"/>
  <c r="S145" i="42"/>
  <c r="B17" i="17"/>
  <c r="F16" i="11" s="1"/>
  <c r="N50" i="17"/>
  <c r="U50" i="17" s="1"/>
  <c r="AH799" i="49"/>
  <c r="B20" i="17"/>
  <c r="H48" i="9" s="1"/>
  <c r="N53" i="17"/>
  <c r="U53" i="17" s="1"/>
  <c r="G14" i="41"/>
  <c r="D230" i="49"/>
  <c r="I230" i="49" s="1"/>
  <c r="G11" i="41"/>
  <c r="AK604" i="49"/>
  <c r="AH631" i="49"/>
  <c r="AI581" i="49"/>
  <c r="C33" i="50"/>
  <c r="G68" i="49" s="1"/>
  <c r="L68" i="49" s="1"/>
  <c r="Q472" i="49"/>
  <c r="H85" i="9"/>
  <c r="V454" i="49"/>
  <c r="AK682" i="49"/>
  <c r="AL633" i="49"/>
  <c r="AL537" i="49"/>
  <c r="AK587" i="49"/>
  <c r="T474" i="49"/>
  <c r="AI538" i="49"/>
  <c r="AH554" i="49" s="1"/>
  <c r="AH588" i="49"/>
  <c r="AO588" i="49" s="1"/>
  <c r="T477" i="49"/>
  <c r="AL531" i="49"/>
  <c r="AK581" i="49"/>
  <c r="H34" i="50"/>
  <c r="G50" i="49" s="1"/>
  <c r="V473" i="49"/>
  <c r="M15" i="38"/>
  <c r="AK679" i="49"/>
  <c r="AL630" i="49"/>
  <c r="AL581" i="49"/>
  <c r="AK631" i="49"/>
  <c r="F32" i="51"/>
  <c r="F60" i="51" s="1"/>
  <c r="AK584" i="49"/>
  <c r="AL534" i="49"/>
  <c r="AI583" i="49"/>
  <c r="AH633" i="49"/>
  <c r="H32" i="51"/>
  <c r="H60" i="51" s="1"/>
  <c r="AL634" i="49"/>
  <c r="AK683" i="49"/>
  <c r="AH632" i="49"/>
  <c r="AI582" i="49"/>
  <c r="AL530" i="49"/>
  <c r="AK580" i="49"/>
  <c r="B27" i="17"/>
  <c r="G34" i="50"/>
  <c r="G49" i="49" s="1"/>
  <c r="H159" i="49" s="1"/>
  <c r="U473" i="49"/>
  <c r="F34" i="50"/>
  <c r="G48" i="49" s="1"/>
  <c r="H158" i="49" s="1"/>
  <c r="T473" i="49"/>
  <c r="AK630" i="49"/>
  <c r="AL580" i="49"/>
  <c r="E34" i="50"/>
  <c r="G47" i="49" s="1"/>
  <c r="H157" i="49" s="1"/>
  <c r="S473" i="49"/>
  <c r="AK554" i="49"/>
  <c r="M295" i="49"/>
  <c r="M313" i="49" s="1"/>
  <c r="M350" i="49" s="1"/>
  <c r="M312" i="49"/>
  <c r="M349" i="49" s="1"/>
  <c r="V444" i="49"/>
  <c r="AL631" i="49"/>
  <c r="AK680" i="49"/>
  <c r="AK654" i="49"/>
  <c r="AK681" i="49"/>
  <c r="AL632" i="49"/>
  <c r="G33" i="50"/>
  <c r="G57" i="50" s="1"/>
  <c r="AI587" i="49"/>
  <c r="AH637" i="49"/>
  <c r="U472" i="49"/>
  <c r="E33" i="50"/>
  <c r="E57" i="50" s="1"/>
  <c r="S472" i="49"/>
  <c r="AK634" i="49"/>
  <c r="AL584" i="49"/>
  <c r="AK703" i="49"/>
  <c r="H30" i="51"/>
  <c r="F129" i="49" s="1"/>
  <c r="AI634" i="49"/>
  <c r="AH683" i="49"/>
  <c r="AH699" i="49" s="1"/>
  <c r="G30" i="51"/>
  <c r="F128" i="49" s="1"/>
  <c r="AH634" i="49"/>
  <c r="AI584" i="49"/>
  <c r="D33" i="50"/>
  <c r="G70" i="49" s="1"/>
  <c r="L70" i="49" s="1"/>
  <c r="R472" i="49"/>
  <c r="AH749" i="49"/>
  <c r="K395" i="49"/>
  <c r="K397" i="49"/>
  <c r="K396" i="49"/>
  <c r="K280" i="49"/>
  <c r="K281" i="49"/>
  <c r="K401" i="49"/>
  <c r="D232" i="49"/>
  <c r="I232" i="49" s="1"/>
  <c r="C265" i="49"/>
  <c r="C281" i="49" s="1"/>
  <c r="C26" i="17"/>
  <c r="B265" i="49"/>
  <c r="B26" i="17"/>
  <c r="B28" i="17"/>
  <c r="G46" i="18"/>
  <c r="H415" i="49" s="1"/>
  <c r="B20" i="11"/>
  <c r="C27" i="17"/>
  <c r="C28" i="17"/>
  <c r="N46" i="18"/>
  <c r="N15" i="17"/>
  <c r="U15" i="17" s="1"/>
  <c r="B29" i="17"/>
  <c r="B407" i="49"/>
  <c r="C46" i="18"/>
  <c r="D46" i="18"/>
  <c r="F46" i="18"/>
  <c r="F415" i="49" s="1"/>
  <c r="S458" i="49"/>
  <c r="E31" i="51"/>
  <c r="F102" i="49" s="1"/>
  <c r="J102" i="49" s="1"/>
  <c r="U458" i="49"/>
  <c r="G31" i="51"/>
  <c r="F104" i="49" s="1"/>
  <c r="G49" i="51"/>
  <c r="Q458" i="49"/>
  <c r="C31" i="51"/>
  <c r="F100" i="49" s="1"/>
  <c r="C32" i="51"/>
  <c r="C60" i="51" s="1"/>
  <c r="P459" i="49"/>
  <c r="B32" i="51"/>
  <c r="B60" i="51" s="1"/>
  <c r="V458" i="49"/>
  <c r="H31" i="51"/>
  <c r="B35" i="50"/>
  <c r="B59" i="50" s="1"/>
  <c r="D34" i="50"/>
  <c r="G46" i="49" s="1"/>
  <c r="T458" i="49"/>
  <c r="F31" i="51"/>
  <c r="F103" i="49" s="1"/>
  <c r="J103" i="49" s="1"/>
  <c r="H49" i="51"/>
  <c r="F49" i="51"/>
  <c r="C49" i="51"/>
  <c r="D49" i="51"/>
  <c r="E58" i="51"/>
  <c r="F125" i="49"/>
  <c r="P458" i="49"/>
  <c r="B31" i="51"/>
  <c r="F99" i="49" s="1"/>
  <c r="J99" i="49" s="1"/>
  <c r="D35" i="50"/>
  <c r="D59" i="50" s="1"/>
  <c r="E49" i="51"/>
  <c r="C35" i="50"/>
  <c r="D30" i="51"/>
  <c r="F35" i="50"/>
  <c r="F59" i="50" s="1"/>
  <c r="G32" i="51"/>
  <c r="G60" i="51" s="1"/>
  <c r="E32" i="51"/>
  <c r="E60" i="51" s="1"/>
  <c r="P457" i="49"/>
  <c r="B30" i="51"/>
  <c r="R459" i="49"/>
  <c r="D32" i="51"/>
  <c r="D60" i="51" s="1"/>
  <c r="R458" i="49"/>
  <c r="D31" i="51"/>
  <c r="F101" i="49" s="1"/>
  <c r="C34" i="50"/>
  <c r="G45" i="49" s="1"/>
  <c r="B34" i="50"/>
  <c r="G44" i="49" s="1"/>
  <c r="V56" i="9"/>
  <c r="V54" i="9"/>
  <c r="D280" i="49"/>
  <c r="D27" i="17"/>
  <c r="D26" i="17"/>
  <c r="F155" i="42"/>
  <c r="F156" i="42"/>
  <c r="B251" i="49" s="1"/>
  <c r="D155" i="42"/>
  <c r="B247" i="49"/>
  <c r="V57" i="9"/>
  <c r="V53" i="9"/>
  <c r="D156" i="42"/>
  <c r="Q56" i="9"/>
  <c r="V55" i="9"/>
  <c r="B6" i="9"/>
  <c r="F6" i="9" s="1"/>
  <c r="B4" i="11"/>
  <c r="P428" i="49" s="1"/>
  <c r="H43" i="50"/>
  <c r="H83" i="11"/>
  <c r="D43" i="50"/>
  <c r="D83" i="11"/>
  <c r="D100" i="11" s="1"/>
  <c r="G43" i="50"/>
  <c r="B43" i="50"/>
  <c r="B83" i="11"/>
  <c r="F43" i="50"/>
  <c r="C43" i="50"/>
  <c r="C83" i="11"/>
  <c r="C100" i="11" s="1"/>
  <c r="E43" i="50"/>
  <c r="V453" i="49"/>
  <c r="M53" i="9"/>
  <c r="L54" i="9"/>
  <c r="M54" i="9"/>
  <c r="B99" i="53"/>
  <c r="B116" i="53" s="1"/>
  <c r="B29" i="53"/>
  <c r="B46" i="53" s="1"/>
  <c r="B64" i="53" s="1"/>
  <c r="B82" i="53" s="1"/>
  <c r="B99" i="54"/>
  <c r="B116" i="54" s="1"/>
  <c r="B29" i="54"/>
  <c r="B46" i="54" s="1"/>
  <c r="B64" i="54" s="1"/>
  <c r="B82" i="54" s="1"/>
  <c r="I77" i="11"/>
  <c r="N17" i="17"/>
  <c r="U17" i="17" s="1"/>
  <c r="E38" i="18"/>
  <c r="E410" i="49" s="1"/>
  <c r="E44" i="11"/>
  <c r="P53" i="9"/>
  <c r="H42" i="9"/>
  <c r="N14" i="17"/>
  <c r="U14" i="17" s="1"/>
  <c r="I43" i="11"/>
  <c r="L57" i="9"/>
  <c r="S12" i="17"/>
  <c r="Q20" i="52" s="1"/>
  <c r="N12" i="17"/>
  <c r="T12" i="17" s="1"/>
  <c r="E40" i="18"/>
  <c r="E412" i="49" s="1"/>
  <c r="G44" i="11"/>
  <c r="H41" i="9"/>
  <c r="N13" i="17"/>
  <c r="U13" i="17" s="1"/>
  <c r="E39" i="18"/>
  <c r="E411" i="49" s="1"/>
  <c r="F44" i="11"/>
  <c r="L53" i="9"/>
  <c r="R449" i="49"/>
  <c r="D84" i="11"/>
  <c r="D101" i="11" s="1"/>
  <c r="C84" i="11"/>
  <c r="C101" i="11" s="1"/>
  <c r="B84" i="11"/>
  <c r="P482" i="49"/>
  <c r="X434" i="49"/>
  <c r="Q85" i="9"/>
  <c r="R85" i="9"/>
  <c r="B264" i="49"/>
  <c r="S11" i="17"/>
  <c r="Q8" i="52" s="1"/>
  <c r="B16" i="11"/>
  <c r="V58" i="9"/>
  <c r="L56" i="9"/>
  <c r="M47" i="9"/>
  <c r="M59" i="9" s="1"/>
  <c r="E41" i="18"/>
  <c r="E413" i="49" s="1"/>
  <c r="B38" i="18"/>
  <c r="B410" i="49" s="1"/>
  <c r="K5" i="18"/>
  <c r="E88" i="11" s="1"/>
  <c r="K7" i="18"/>
  <c r="G88" i="11" s="1"/>
  <c r="B40" i="18"/>
  <c r="B412" i="49" s="1"/>
  <c r="B39" i="18"/>
  <c r="B411" i="49" s="1"/>
  <c r="K6" i="18"/>
  <c r="F88" i="11" s="1"/>
  <c r="L58" i="9"/>
  <c r="G21" i="17"/>
  <c r="J43" i="11" s="1"/>
  <c r="P444" i="49"/>
  <c r="T444" i="49"/>
  <c r="O47" i="9"/>
  <c r="O54" i="9"/>
  <c r="S13" i="17"/>
  <c r="S15" i="17"/>
  <c r="Q56" i="52" s="1"/>
  <c r="N44" i="9"/>
  <c r="J46" i="9"/>
  <c r="J57" i="9" s="1"/>
  <c r="O55" i="9"/>
  <c r="K46" i="9"/>
  <c r="K57" i="9" s="1"/>
  <c r="N42" i="9"/>
  <c r="N53" i="9" s="1"/>
  <c r="K43" i="9"/>
  <c r="K54" i="9" s="1"/>
  <c r="K53" i="9"/>
  <c r="I54" i="9"/>
  <c r="Q47" i="9"/>
  <c r="Q59" i="9" s="1"/>
  <c r="T440" i="49"/>
  <c r="H48" i="11"/>
  <c r="N47" i="9"/>
  <c r="N59" i="9" s="1"/>
  <c r="O41" i="9"/>
  <c r="O53" i="9" s="1"/>
  <c r="H43" i="9"/>
  <c r="Q57" i="9"/>
  <c r="C16" i="11"/>
  <c r="S14" i="17"/>
  <c r="Q44" i="52" s="1"/>
  <c r="Q43" i="9"/>
  <c r="Q54" i="9" s="1"/>
  <c r="N43" i="9"/>
  <c r="I41" i="9"/>
  <c r="I53" i="9" s="1"/>
  <c r="N46" i="9"/>
  <c r="O45" i="9"/>
  <c r="O57" i="9" s="1"/>
  <c r="P43" i="9"/>
  <c r="P54" i="9" s="1"/>
  <c r="J42" i="9"/>
  <c r="J54" i="9" s="1"/>
  <c r="V49" i="9"/>
  <c r="V66" i="9" s="1"/>
  <c r="I46" i="9"/>
  <c r="I57" i="9" s="1"/>
  <c r="J41" i="9"/>
  <c r="P57" i="9"/>
  <c r="L55" i="9"/>
  <c r="M46" i="9"/>
  <c r="M45" i="9"/>
  <c r="M44" i="9"/>
  <c r="M55" i="9" s="1"/>
  <c r="L21" i="17"/>
  <c r="C264" i="49"/>
  <c r="C29" i="11"/>
  <c r="E28" i="17"/>
  <c r="F27" i="17"/>
  <c r="B29" i="11"/>
  <c r="F28" i="17"/>
  <c r="I26" i="17"/>
  <c r="E26" i="17"/>
  <c r="T11" i="17"/>
  <c r="F30" i="17"/>
  <c r="R457" i="49"/>
  <c r="F31" i="17"/>
  <c r="I27" i="17"/>
  <c r="B24" i="11"/>
  <c r="P447" i="49" s="1"/>
  <c r="C34" i="11"/>
  <c r="H280" i="49"/>
  <c r="I234" i="49"/>
  <c r="Q459" i="49"/>
  <c r="F280" i="49"/>
  <c r="G280" i="49"/>
  <c r="G281" i="49"/>
  <c r="S459" i="49"/>
  <c r="E280" i="49"/>
  <c r="E281" i="49"/>
  <c r="U459" i="49"/>
  <c r="P454" i="49"/>
  <c r="R454" i="49"/>
  <c r="Q454" i="49"/>
  <c r="I132" i="49"/>
  <c r="J154" i="49"/>
  <c r="J155" i="49"/>
  <c r="I133" i="49"/>
  <c r="I134" i="49"/>
  <c r="J156" i="49"/>
  <c r="Q449" i="49"/>
  <c r="H50" i="11"/>
  <c r="G12" i="41"/>
  <c r="E236" i="49"/>
  <c r="I236" i="49" s="1"/>
  <c r="I137" i="49"/>
  <c r="J159" i="49"/>
  <c r="I136" i="49"/>
  <c r="J158" i="49"/>
  <c r="E50" i="11"/>
  <c r="S474" i="49" s="1"/>
  <c r="F26" i="11"/>
  <c r="B399" i="49"/>
  <c r="K399" i="49" s="1"/>
  <c r="G50" i="11"/>
  <c r="G13" i="41"/>
  <c r="E237" i="49"/>
  <c r="I237" i="49" s="1"/>
  <c r="G5" i="41"/>
  <c r="D229" i="49"/>
  <c r="I229" i="49" s="1"/>
  <c r="I138" i="49"/>
  <c r="J160" i="49"/>
  <c r="B398" i="49"/>
  <c r="K398" i="49" s="1"/>
  <c r="G9" i="41"/>
  <c r="E233" i="49"/>
  <c r="I233" i="49" s="1"/>
  <c r="G26" i="11"/>
  <c r="B400" i="49"/>
  <c r="G7" i="41"/>
  <c r="D231" i="49"/>
  <c r="I231" i="49" s="1"/>
  <c r="C400" i="49"/>
  <c r="I135" i="49"/>
  <c r="J157" i="49"/>
  <c r="V449" i="49"/>
  <c r="R452" i="49"/>
  <c r="E277" i="49"/>
  <c r="E292" i="49"/>
  <c r="C277" i="49"/>
  <c r="C292" i="49"/>
  <c r="S440" i="49"/>
  <c r="I277" i="49"/>
  <c r="I292" i="49"/>
  <c r="F292" i="49"/>
  <c r="F277" i="49"/>
  <c r="U444" i="49"/>
  <c r="V459" i="49"/>
  <c r="U457" i="49"/>
  <c r="Q447" i="49"/>
  <c r="U447" i="49"/>
  <c r="B292" i="49"/>
  <c r="B277" i="49"/>
  <c r="D277" i="49"/>
  <c r="D292" i="49"/>
  <c r="H277" i="49"/>
  <c r="H292" i="49"/>
  <c r="T459" i="49"/>
  <c r="S444" i="49"/>
  <c r="U443" i="49"/>
  <c r="Q444" i="49"/>
  <c r="V440" i="49"/>
  <c r="U440" i="49"/>
  <c r="P449" i="49"/>
  <c r="Q440" i="49"/>
  <c r="R440" i="49"/>
  <c r="V457" i="49"/>
  <c r="S457" i="49"/>
  <c r="U452" i="49"/>
  <c r="G292" i="49"/>
  <c r="G277" i="49"/>
  <c r="B328" i="49"/>
  <c r="B324" i="49"/>
  <c r="G31" i="11"/>
  <c r="F34" i="11"/>
  <c r="G11" i="9"/>
  <c r="G87" i="11" s="1"/>
  <c r="G10" i="41"/>
  <c r="D33" i="17"/>
  <c r="G10" i="9"/>
  <c r="F87" i="11" s="1"/>
  <c r="B19" i="17"/>
  <c r="G12" i="9"/>
  <c r="H87" i="11" s="1"/>
  <c r="B18" i="17"/>
  <c r="I239" i="49"/>
  <c r="B18" i="41"/>
  <c r="E29" i="17"/>
  <c r="P44" i="9"/>
  <c r="G9" i="9"/>
  <c r="E87" i="11" s="1"/>
  <c r="C18" i="41"/>
  <c r="G4" i="41"/>
  <c r="H4" i="41" s="1"/>
  <c r="I4" i="41" s="1"/>
  <c r="H60" i="41" s="1"/>
  <c r="K33" i="17"/>
  <c r="F300" i="49"/>
  <c r="F306" i="49" s="1"/>
  <c r="F307" i="49" s="1"/>
  <c r="D29" i="17"/>
  <c r="H33" i="17"/>
  <c r="H29" i="17"/>
  <c r="F24" i="11"/>
  <c r="D32" i="17"/>
  <c r="H30" i="17"/>
  <c r="B16" i="17"/>
  <c r="F33" i="17"/>
  <c r="E26" i="11"/>
  <c r="F32" i="17"/>
  <c r="H27" i="17"/>
  <c r="B48" i="11"/>
  <c r="D28" i="17"/>
  <c r="D24" i="11"/>
  <c r="F31" i="11"/>
  <c r="C20" i="11"/>
  <c r="H28" i="17"/>
  <c r="K30" i="17"/>
  <c r="C10" i="11"/>
  <c r="C12" i="11" s="1"/>
  <c r="J32" i="17"/>
  <c r="I28" i="17"/>
  <c r="C53" i="11"/>
  <c r="Q477" i="49" s="1"/>
  <c r="F29" i="11"/>
  <c r="F20" i="11"/>
  <c r="K31" i="17"/>
  <c r="B10" i="11"/>
  <c r="B12" i="11" s="1"/>
  <c r="I30" i="17"/>
  <c r="E53" i="11"/>
  <c r="S477" i="49" s="1"/>
  <c r="D18" i="41"/>
  <c r="J28" i="17"/>
  <c r="K29" i="17"/>
  <c r="B12" i="9"/>
  <c r="H4" i="11"/>
  <c r="V428" i="49" s="1"/>
  <c r="I33" i="17"/>
  <c r="H53" i="11"/>
  <c r="I31" i="17"/>
  <c r="D16" i="11"/>
  <c r="B10" i="9"/>
  <c r="F4" i="11"/>
  <c r="T428" i="49" s="1"/>
  <c r="E31" i="11"/>
  <c r="D20" i="11"/>
  <c r="K27" i="17"/>
  <c r="I29" i="17"/>
  <c r="D53" i="11"/>
  <c r="R477" i="49" s="1"/>
  <c r="K28" i="17"/>
  <c r="B11" i="9"/>
  <c r="G4" i="11"/>
  <c r="U428" i="49" s="1"/>
  <c r="B9" i="9"/>
  <c r="E4" i="11"/>
  <c r="S428" i="49" s="1"/>
  <c r="E32" i="17"/>
  <c r="I44" i="9"/>
  <c r="I55" i="9" s="1"/>
  <c r="J27" i="17"/>
  <c r="K32" i="17"/>
  <c r="J29" i="17"/>
  <c r="I32" i="17"/>
  <c r="G53" i="11"/>
  <c r="D10" i="11"/>
  <c r="D12" i="11" s="1"/>
  <c r="B31" i="17" l="1"/>
  <c r="C415" i="49"/>
  <c r="X9" i="41"/>
  <c r="H45" i="9"/>
  <c r="S17" i="17"/>
  <c r="Q80" i="52" s="1"/>
  <c r="D57" i="50"/>
  <c r="G58" i="50"/>
  <c r="K38" i="17"/>
  <c r="L289" i="49" s="1"/>
  <c r="L294" i="49" s="1"/>
  <c r="L312" i="49" s="1"/>
  <c r="L349" i="49" s="1"/>
  <c r="F58" i="50"/>
  <c r="N20" i="17"/>
  <c r="U20" i="17" s="1"/>
  <c r="F38" i="17"/>
  <c r="F289" i="49" s="1"/>
  <c r="F294" i="49" s="1"/>
  <c r="F312" i="49" s="1"/>
  <c r="F349" i="49" s="1"/>
  <c r="G58" i="51"/>
  <c r="G109" i="11" s="1"/>
  <c r="C57" i="50"/>
  <c r="G71" i="49"/>
  <c r="L71" i="49" s="1"/>
  <c r="AO683" i="49"/>
  <c r="AH650" i="49"/>
  <c r="Q45" i="52"/>
  <c r="Q46" i="52" s="1"/>
  <c r="Q47" i="52" s="1"/>
  <c r="Q48" i="52" s="1"/>
  <c r="Q49" i="52" s="1"/>
  <c r="Q50" i="52" s="1"/>
  <c r="Q51" i="52" s="1"/>
  <c r="Q52" i="52" s="1"/>
  <c r="Q53" i="52" s="1"/>
  <c r="Q54" i="52" s="1"/>
  <c r="Q55" i="52" s="1"/>
  <c r="AP538" i="49"/>
  <c r="AO554" i="49" s="1"/>
  <c r="AO631" i="49"/>
  <c r="G73" i="49"/>
  <c r="L73" i="49" s="1"/>
  <c r="F105" i="49"/>
  <c r="J105" i="49" s="1"/>
  <c r="AK632" i="49"/>
  <c r="AO632" i="49" s="1"/>
  <c r="AL582" i="49"/>
  <c r="AK596" i="49"/>
  <c r="AK646" i="49"/>
  <c r="I38" i="17"/>
  <c r="I289" i="49" s="1"/>
  <c r="AI735" i="49"/>
  <c r="AH785" i="49"/>
  <c r="H58" i="51"/>
  <c r="AL533" i="49"/>
  <c r="AK583" i="49"/>
  <c r="F30" i="51"/>
  <c r="F58" i="51" s="1"/>
  <c r="AH584" i="49"/>
  <c r="AH600" i="49" s="1"/>
  <c r="AI534" i="49"/>
  <c r="AH550" i="49" s="1"/>
  <c r="AL587" i="49"/>
  <c r="AK603" i="49" s="1"/>
  <c r="AK637" i="49"/>
  <c r="AO637" i="49" s="1"/>
  <c r="U474" i="49"/>
  <c r="AI685" i="49"/>
  <c r="AH701" i="49" s="1"/>
  <c r="AH735" i="49"/>
  <c r="W467" i="49"/>
  <c r="AH742" i="49"/>
  <c r="AO742" i="49" s="1"/>
  <c r="AI692" i="49"/>
  <c r="W501" i="49"/>
  <c r="AK550" i="49"/>
  <c r="F86" i="11"/>
  <c r="F34" i="49"/>
  <c r="AK546" i="49"/>
  <c r="AH583" i="49"/>
  <c r="AH599" i="49" s="1"/>
  <c r="AI533" i="49"/>
  <c r="AH549" i="49" s="1"/>
  <c r="F83" i="11"/>
  <c r="F100" i="11" s="1"/>
  <c r="T468" i="49"/>
  <c r="T507" i="49" s="1"/>
  <c r="AK695" i="49"/>
  <c r="AK633" i="49"/>
  <c r="AO633" i="49" s="1"/>
  <c r="AL583" i="49"/>
  <c r="B86" i="11"/>
  <c r="F30" i="49"/>
  <c r="C86" i="11"/>
  <c r="F31" i="49"/>
  <c r="E58" i="50"/>
  <c r="D86" i="11"/>
  <c r="F32" i="49"/>
  <c r="AP584" i="49"/>
  <c r="AK600" i="49"/>
  <c r="D44" i="18"/>
  <c r="D416" i="49" s="1"/>
  <c r="D415" i="49"/>
  <c r="AI531" i="49"/>
  <c r="AH547" i="49" s="1"/>
  <c r="AH581" i="49"/>
  <c r="AH597" i="49" s="1"/>
  <c r="H33" i="50"/>
  <c r="H57" i="50" s="1"/>
  <c r="AI637" i="49"/>
  <c r="AH653" i="49" s="1"/>
  <c r="AH686" i="49"/>
  <c r="V472" i="49"/>
  <c r="B58" i="50"/>
  <c r="AK647" i="49"/>
  <c r="AH687" i="49"/>
  <c r="AO687" i="49" s="1"/>
  <c r="AI638" i="49"/>
  <c r="V477" i="49"/>
  <c r="AL532" i="49"/>
  <c r="AK582" i="49"/>
  <c r="AK686" i="49"/>
  <c r="AL637" i="49"/>
  <c r="V474" i="49"/>
  <c r="V508" i="49" s="1"/>
  <c r="C38" i="17"/>
  <c r="AO634" i="49"/>
  <c r="AK696" i="49"/>
  <c r="AI588" i="49"/>
  <c r="AH638" i="49"/>
  <c r="AO638" i="49" s="1"/>
  <c r="U477" i="49"/>
  <c r="B33" i="50"/>
  <c r="B57" i="50" s="1"/>
  <c r="P472" i="49"/>
  <c r="AH582" i="49"/>
  <c r="AH598" i="49" s="1"/>
  <c r="AI532" i="49"/>
  <c r="AH548" i="49" s="1"/>
  <c r="G83" i="11"/>
  <c r="G100" i="11" s="1"/>
  <c r="U468" i="49"/>
  <c r="U507" i="49" s="1"/>
  <c r="AK650" i="49"/>
  <c r="AP634" i="49"/>
  <c r="AK553" i="49"/>
  <c r="AI530" i="49"/>
  <c r="AP530" i="49" s="1"/>
  <c r="AO546" i="49" s="1"/>
  <c r="AH580" i="49"/>
  <c r="E83" i="11"/>
  <c r="E100" i="11" s="1"/>
  <c r="S468" i="49"/>
  <c r="S507" i="49" s="1"/>
  <c r="AP581" i="49"/>
  <c r="AK597" i="49"/>
  <c r="AK547" i="49"/>
  <c r="B7" i="9"/>
  <c r="F7" i="9" s="1"/>
  <c r="B250" i="49"/>
  <c r="V507" i="49"/>
  <c r="R507" i="49"/>
  <c r="Q507" i="49"/>
  <c r="P508" i="49"/>
  <c r="P507" i="49"/>
  <c r="Q508" i="49"/>
  <c r="R508" i="49"/>
  <c r="K400" i="49"/>
  <c r="N264" i="49"/>
  <c r="L337" i="49"/>
  <c r="L355" i="49" s="1"/>
  <c r="M337" i="49"/>
  <c r="M355" i="49" s="1"/>
  <c r="N265" i="49"/>
  <c r="X467" i="49"/>
  <c r="G186" i="49"/>
  <c r="H59" i="51"/>
  <c r="E59" i="51"/>
  <c r="C58" i="50"/>
  <c r="B111" i="11"/>
  <c r="B116" i="11" s="1"/>
  <c r="B281" i="49"/>
  <c r="Q9" i="52"/>
  <c r="Q10" i="52" s="1"/>
  <c r="Q11" i="52" s="1"/>
  <c r="Q12" i="52" s="1"/>
  <c r="Q13" i="52" s="1"/>
  <c r="Q14" i="52" s="1"/>
  <c r="Q15" i="52" s="1"/>
  <c r="Q16" i="52" s="1"/>
  <c r="Q17" i="52" s="1"/>
  <c r="Q18" i="52" s="1"/>
  <c r="Q19" i="52" s="1"/>
  <c r="Q3" i="52"/>
  <c r="Q4" i="52" s="1"/>
  <c r="Q5" i="52" s="1"/>
  <c r="Q6" i="52" s="1"/>
  <c r="Q7" i="52" s="1"/>
  <c r="C280" i="49"/>
  <c r="E46" i="18"/>
  <c r="E415" i="49" s="1"/>
  <c r="P443" i="49"/>
  <c r="N19" i="17"/>
  <c r="U19" i="17" s="1"/>
  <c r="B33" i="17"/>
  <c r="R32" i="42"/>
  <c r="Q32" i="52"/>
  <c r="J294" i="49"/>
  <c r="J295" i="49" s="1"/>
  <c r="D111" i="11"/>
  <c r="D116" i="11" s="1"/>
  <c r="B46" i="18"/>
  <c r="B44" i="18" s="1"/>
  <c r="N16" i="17"/>
  <c r="U16" i="17" s="1"/>
  <c r="B30" i="17"/>
  <c r="N18" i="17"/>
  <c r="U18" i="17" s="1"/>
  <c r="B32" i="17"/>
  <c r="B34" i="17"/>
  <c r="E109" i="11"/>
  <c r="E119" i="11" s="1"/>
  <c r="E35" i="50"/>
  <c r="E59" i="50" s="1"/>
  <c r="E111" i="11" s="1"/>
  <c r="E116" i="11" s="1"/>
  <c r="F156" i="49"/>
  <c r="F183" i="49"/>
  <c r="J128" i="49"/>
  <c r="F155" i="49"/>
  <c r="F137" i="49"/>
  <c r="F159" i="49"/>
  <c r="G35" i="50"/>
  <c r="G59" i="50" s="1"/>
  <c r="G111" i="11" s="1"/>
  <c r="G116" i="11" s="1"/>
  <c r="J100" i="49"/>
  <c r="C30" i="51"/>
  <c r="H160" i="49"/>
  <c r="G78" i="49"/>
  <c r="H155" i="49"/>
  <c r="F154" i="49"/>
  <c r="C59" i="51"/>
  <c r="H156" i="49"/>
  <c r="G79" i="49"/>
  <c r="J39" i="51"/>
  <c r="J28" i="50"/>
  <c r="I52" i="50"/>
  <c r="K75" i="49" s="1"/>
  <c r="K84" i="49" s="1"/>
  <c r="H58" i="50"/>
  <c r="B59" i="51"/>
  <c r="F111" i="11"/>
  <c r="F116" i="11" s="1"/>
  <c r="H180" i="49"/>
  <c r="H268" i="49" s="1"/>
  <c r="F184" i="49"/>
  <c r="J129" i="49"/>
  <c r="F135" i="49"/>
  <c r="F157" i="49"/>
  <c r="B58" i="51"/>
  <c r="F122" i="49"/>
  <c r="F132" i="49" s="1"/>
  <c r="F181" i="49"/>
  <c r="J125" i="49"/>
  <c r="F158" i="49"/>
  <c r="H179" i="49"/>
  <c r="H267" i="49" s="1"/>
  <c r="J104" i="49"/>
  <c r="C59" i="50"/>
  <c r="C111" i="11" s="1"/>
  <c r="C116" i="11" s="1"/>
  <c r="H35" i="50"/>
  <c r="H59" i="50" s="1"/>
  <c r="H111" i="11" s="1"/>
  <c r="H116" i="11" s="1"/>
  <c r="J101" i="49"/>
  <c r="D58" i="50"/>
  <c r="H154" i="49"/>
  <c r="D58" i="51"/>
  <c r="F124" i="49"/>
  <c r="D59" i="51"/>
  <c r="F59" i="51"/>
  <c r="G59" i="51"/>
  <c r="I46" i="49"/>
  <c r="L46" i="49" s="1"/>
  <c r="O58" i="9"/>
  <c r="O59" i="9"/>
  <c r="V63" i="9"/>
  <c r="L63" i="9"/>
  <c r="C4" i="11"/>
  <c r="Q428" i="49" s="1"/>
  <c r="D4" i="11"/>
  <c r="R428" i="49" s="1"/>
  <c r="F165" i="42"/>
  <c r="B8" i="9"/>
  <c r="F8" i="9" s="1"/>
  <c r="D165" i="42"/>
  <c r="I49" i="49"/>
  <c r="R20" i="42"/>
  <c r="I50" i="49"/>
  <c r="L50" i="49" s="1"/>
  <c r="T13" i="17"/>
  <c r="I48" i="49"/>
  <c r="B280" i="49"/>
  <c r="I45" i="49"/>
  <c r="I44" i="49"/>
  <c r="L44" i="49" s="1"/>
  <c r="I47" i="49"/>
  <c r="H53" i="9"/>
  <c r="H100" i="11"/>
  <c r="K21" i="17"/>
  <c r="I72" i="11"/>
  <c r="E84" i="11"/>
  <c r="E101" i="11" s="1"/>
  <c r="R66" i="9"/>
  <c r="R74" i="9" s="1"/>
  <c r="M352" i="49" s="1"/>
  <c r="J77" i="11"/>
  <c r="U449" i="49"/>
  <c r="G84" i="11"/>
  <c r="G101" i="11" s="1"/>
  <c r="F84" i="11"/>
  <c r="F101" i="11" s="1"/>
  <c r="H84" i="11"/>
  <c r="H101" i="11" s="1"/>
  <c r="D82" i="11"/>
  <c r="C82" i="11"/>
  <c r="B82" i="11"/>
  <c r="P439" i="49"/>
  <c r="J300" i="49"/>
  <c r="J306" i="49" s="1"/>
  <c r="J307" i="49" s="1"/>
  <c r="G22" i="17"/>
  <c r="K43" i="11" s="1"/>
  <c r="AI785" i="49" s="1"/>
  <c r="T439" i="49"/>
  <c r="N54" i="9"/>
  <c r="O56" i="9"/>
  <c r="N58" i="9"/>
  <c r="Q55" i="9"/>
  <c r="N45" i="9"/>
  <c r="N56" i="9" s="1"/>
  <c r="T14" i="17"/>
  <c r="J33" i="17"/>
  <c r="P47" i="9"/>
  <c r="P59" i="9" s="1"/>
  <c r="I47" i="9"/>
  <c r="G16" i="11"/>
  <c r="S18" i="17"/>
  <c r="Q92" i="52" s="1"/>
  <c r="H46" i="9"/>
  <c r="D31" i="17"/>
  <c r="J44" i="9"/>
  <c r="M56" i="9"/>
  <c r="I56" i="9"/>
  <c r="H16" i="11"/>
  <c r="S19" i="17"/>
  <c r="Q104" i="52" s="1"/>
  <c r="H47" i="9"/>
  <c r="H59" i="9" s="1"/>
  <c r="P55" i="9"/>
  <c r="J47" i="9"/>
  <c r="Q439" i="49"/>
  <c r="P56" i="9"/>
  <c r="V50" i="9"/>
  <c r="V67" i="9" s="1"/>
  <c r="Q58" i="9"/>
  <c r="N55" i="9"/>
  <c r="T15" i="17"/>
  <c r="S16" i="17"/>
  <c r="Q68" i="52" s="1"/>
  <c r="H44" i="9"/>
  <c r="H55" i="9" s="1"/>
  <c r="H29" i="11"/>
  <c r="K47" i="9"/>
  <c r="E29" i="11"/>
  <c r="K44" i="9"/>
  <c r="J53" i="9"/>
  <c r="M57" i="9"/>
  <c r="M58" i="9"/>
  <c r="Q452" i="49"/>
  <c r="L22" i="17"/>
  <c r="K77" i="11" s="1"/>
  <c r="R8" i="42"/>
  <c r="P452" i="49"/>
  <c r="E24" i="11"/>
  <c r="D30" i="17"/>
  <c r="Q457" i="49"/>
  <c r="J191" i="49"/>
  <c r="J190" i="49"/>
  <c r="J189" i="49"/>
  <c r="J192" i="49"/>
  <c r="J195" i="49"/>
  <c r="J193" i="49"/>
  <c r="T449" i="49"/>
  <c r="E10" i="11"/>
  <c r="H10" i="11"/>
  <c r="F10" i="11"/>
  <c r="J194" i="49"/>
  <c r="R443" i="49"/>
  <c r="I298" i="49"/>
  <c r="I304" i="49" s="1"/>
  <c r="I310" i="49"/>
  <c r="R439" i="49"/>
  <c r="T447" i="49"/>
  <c r="B310" i="49"/>
  <c r="B298" i="49"/>
  <c r="B304" i="49" s="1"/>
  <c r="F298" i="49"/>
  <c r="F304" i="49" s="1"/>
  <c r="F310" i="49"/>
  <c r="E298" i="49"/>
  <c r="E304" i="49" s="1"/>
  <c r="E310" i="49"/>
  <c r="B31" i="49"/>
  <c r="Q435" i="49"/>
  <c r="Q443" i="49"/>
  <c r="S449" i="49"/>
  <c r="G298" i="49"/>
  <c r="G304" i="49" s="1"/>
  <c r="G310" i="49"/>
  <c r="H298" i="49"/>
  <c r="H304" i="49" s="1"/>
  <c r="H310" i="49"/>
  <c r="D298" i="49"/>
  <c r="D304" i="49" s="1"/>
  <c r="D310" i="49"/>
  <c r="S454" i="49"/>
  <c r="R447" i="49"/>
  <c r="U454" i="49"/>
  <c r="B32" i="49"/>
  <c r="R435" i="49"/>
  <c r="B30" i="49"/>
  <c r="P435" i="49"/>
  <c r="T443" i="49"/>
  <c r="T454" i="49"/>
  <c r="T452" i="49"/>
  <c r="T457" i="49"/>
  <c r="C298" i="49"/>
  <c r="C304" i="49" s="1"/>
  <c r="C310" i="49"/>
  <c r="G17" i="41"/>
  <c r="I241" i="49"/>
  <c r="C322" i="49"/>
  <c r="I337" i="49"/>
  <c r="I355" i="49" s="1"/>
  <c r="K337" i="49"/>
  <c r="K355" i="49" s="1"/>
  <c r="C337" i="49"/>
  <c r="C355" i="49" s="1"/>
  <c r="E337" i="49"/>
  <c r="E355" i="49" s="1"/>
  <c r="D337" i="49"/>
  <c r="D355" i="49" s="1"/>
  <c r="F337" i="49"/>
  <c r="F355" i="49" s="1"/>
  <c r="J337" i="49"/>
  <c r="J355" i="49" s="1"/>
  <c r="G337" i="49"/>
  <c r="G355" i="49" s="1"/>
  <c r="H337" i="49"/>
  <c r="H355" i="49" s="1"/>
  <c r="B337" i="49"/>
  <c r="I240" i="49"/>
  <c r="R56" i="42"/>
  <c r="R80" i="42"/>
  <c r="G10" i="11"/>
  <c r="G12" i="11" s="1"/>
  <c r="R44" i="42"/>
  <c r="F9" i="9"/>
  <c r="E30" i="17"/>
  <c r="F11" i="9"/>
  <c r="E31" i="17"/>
  <c r="E33" i="17"/>
  <c r="C44" i="18"/>
  <c r="C416" i="49" s="1"/>
  <c r="H24" i="11"/>
  <c r="F12" i="9"/>
  <c r="E18" i="41"/>
  <c r="F10" i="9"/>
  <c r="G15" i="41"/>
  <c r="E16" i="11"/>
  <c r="G16" i="41"/>
  <c r="F48" i="11"/>
  <c r="J30" i="17"/>
  <c r="J31" i="17"/>
  <c r="B100" i="11"/>
  <c r="H31" i="17"/>
  <c r="H20" i="11"/>
  <c r="H32" i="17"/>
  <c r="H54" i="9"/>
  <c r="I53" i="11"/>
  <c r="H61" i="41"/>
  <c r="H62" i="41" s="1"/>
  <c r="H63" i="41" s="1"/>
  <c r="H64" i="41" s="1"/>
  <c r="H65" i="41" s="1"/>
  <c r="H66" i="41" s="1"/>
  <c r="H67" i="41" s="1"/>
  <c r="H68" i="41" s="1"/>
  <c r="H69" i="41" s="1"/>
  <c r="H70" i="41" s="1"/>
  <c r="H71" i="41" s="1"/>
  <c r="S49" i="9"/>
  <c r="S66" i="9" s="1"/>
  <c r="E20" i="11"/>
  <c r="L49" i="9"/>
  <c r="F18" i="41"/>
  <c r="D109" i="11" l="1"/>
  <c r="Q69" i="52"/>
  <c r="Q70" i="52" s="1"/>
  <c r="Q71" i="52" s="1"/>
  <c r="Q72" i="52" s="1"/>
  <c r="Q73" i="52" s="1"/>
  <c r="Q74" i="52" s="1"/>
  <c r="Q75" i="52" s="1"/>
  <c r="Q76" i="52" s="1"/>
  <c r="Q77" i="52" s="1"/>
  <c r="Q78" i="52" s="1"/>
  <c r="Q79" i="52" s="1"/>
  <c r="L295" i="49"/>
  <c r="L313" i="49" s="1"/>
  <c r="L350" i="49" s="1"/>
  <c r="G110" i="11"/>
  <c r="G115" i="11" s="1"/>
  <c r="B110" i="11"/>
  <c r="B115" i="11" s="1"/>
  <c r="F37" i="49"/>
  <c r="H110" i="11"/>
  <c r="H115" i="11" s="1"/>
  <c r="I86" i="11"/>
  <c r="F110" i="11"/>
  <c r="F115" i="11" s="1"/>
  <c r="E38" i="17"/>
  <c r="E110" i="11"/>
  <c r="E115" i="11" s="1"/>
  <c r="J38" i="17"/>
  <c r="K289" i="49" s="1"/>
  <c r="D38" i="17"/>
  <c r="D289" i="49" s="1"/>
  <c r="AK649" i="49"/>
  <c r="F138" i="49"/>
  <c r="AK599" i="49"/>
  <c r="F160" i="49"/>
  <c r="F195" i="49" s="1"/>
  <c r="AP583" i="49"/>
  <c r="H181" i="49"/>
  <c r="H269" i="49" s="1"/>
  <c r="H284" i="49" s="1"/>
  <c r="G80" i="49"/>
  <c r="AP531" i="49"/>
  <c r="AO547" i="49" s="1"/>
  <c r="AO581" i="49"/>
  <c r="AO597" i="49" s="1"/>
  <c r="C99" i="11"/>
  <c r="AO650" i="49"/>
  <c r="M358" i="49"/>
  <c r="AO584" i="49"/>
  <c r="AO600" i="49" s="1"/>
  <c r="AH801" i="49"/>
  <c r="G74" i="49"/>
  <c r="H184" i="49" s="1"/>
  <c r="H272" i="49" s="1"/>
  <c r="H183" i="49"/>
  <c r="H271" i="49" s="1"/>
  <c r="F126" i="49"/>
  <c r="F136" i="49" s="1"/>
  <c r="B99" i="11"/>
  <c r="R21" i="42"/>
  <c r="R22" i="42" s="1"/>
  <c r="R23" i="42" s="1"/>
  <c r="R24" i="42" s="1"/>
  <c r="R25" i="42" s="1"/>
  <c r="R26" i="42" s="1"/>
  <c r="R27" i="42" s="1"/>
  <c r="R28" i="42" s="1"/>
  <c r="R29" i="42" s="1"/>
  <c r="R30" i="42" s="1"/>
  <c r="R31" i="42" s="1"/>
  <c r="G82" i="49"/>
  <c r="AP534" i="49"/>
  <c r="AO550" i="49" s="1"/>
  <c r="G86" i="11"/>
  <c r="G114" i="11" s="1"/>
  <c r="F35" i="49"/>
  <c r="AI537" i="49"/>
  <c r="AI544" i="49" s="1"/>
  <c r="AH587" i="49"/>
  <c r="AH594" i="49" s="1"/>
  <c r="T472" i="49"/>
  <c r="T506" i="49" s="1"/>
  <c r="AI632" i="49"/>
  <c r="AH681" i="49"/>
  <c r="AO681" i="49" s="1"/>
  <c r="H86" i="11"/>
  <c r="F36" i="49"/>
  <c r="AH679" i="49"/>
  <c r="AI630" i="49"/>
  <c r="I47" i="50"/>
  <c r="J74" i="49" s="1"/>
  <c r="AI691" i="49"/>
  <c r="AH707" i="49" s="1"/>
  <c r="AH741" i="49"/>
  <c r="W496" i="49"/>
  <c r="H109" i="11"/>
  <c r="H119" i="11" s="1"/>
  <c r="E86" i="11"/>
  <c r="E114" i="11" s="1"/>
  <c r="F33" i="49"/>
  <c r="AH654" i="49"/>
  <c r="AP638" i="49"/>
  <c r="AO654" i="49" s="1"/>
  <c r="AH708" i="49"/>
  <c r="AP692" i="49"/>
  <c r="AO708" i="49" s="1"/>
  <c r="AH680" i="49"/>
  <c r="AO680" i="49" s="1"/>
  <c r="AI631" i="49"/>
  <c r="AK648" i="49"/>
  <c r="AH751" i="49"/>
  <c r="AH630" i="49"/>
  <c r="AI580" i="49"/>
  <c r="AP588" i="49"/>
  <c r="AO604" i="49" s="1"/>
  <c r="AH604" i="49"/>
  <c r="AH682" i="49"/>
  <c r="AO682" i="49" s="1"/>
  <c r="AI633" i="49"/>
  <c r="AH546" i="49"/>
  <c r="AP637" i="49"/>
  <c r="AO653" i="49" s="1"/>
  <c r="AK653" i="49"/>
  <c r="AO583" i="49"/>
  <c r="M86" i="9"/>
  <c r="N86" i="9"/>
  <c r="O86" i="9"/>
  <c r="P86" i="9"/>
  <c r="Q86" i="9"/>
  <c r="I86" i="9"/>
  <c r="R86" i="9"/>
  <c r="J86" i="9"/>
  <c r="K86" i="9"/>
  <c r="H86" i="9"/>
  <c r="S86" i="9"/>
  <c r="L86" i="9"/>
  <c r="H38" i="17"/>
  <c r="H289" i="49" s="1"/>
  <c r="AP587" i="49"/>
  <c r="M187" i="49"/>
  <c r="AI792" i="49"/>
  <c r="Y501" i="49"/>
  <c r="M186" i="49"/>
  <c r="AI742" i="49"/>
  <c r="AH758" i="49" s="1"/>
  <c r="AH792" i="49"/>
  <c r="X501" i="49"/>
  <c r="G67" i="49"/>
  <c r="L67" i="49" s="1"/>
  <c r="C110" i="11"/>
  <c r="C115" i="11" s="1"/>
  <c r="AO686" i="49"/>
  <c r="AO580" i="49"/>
  <c r="AK549" i="49"/>
  <c r="AP533" i="49"/>
  <c r="AO549" i="49" s="1"/>
  <c r="AK548" i="49"/>
  <c r="AP532" i="49"/>
  <c r="AO548" i="49" s="1"/>
  <c r="D99" i="11"/>
  <c r="AK598" i="49"/>
  <c r="AP582" i="49"/>
  <c r="AI687" i="49"/>
  <c r="AH737" i="49"/>
  <c r="AO737" i="49" s="1"/>
  <c r="W477" i="49"/>
  <c r="AO582" i="49"/>
  <c r="R33" i="42"/>
  <c r="R34" i="42" s="1"/>
  <c r="R35" i="42" s="1"/>
  <c r="R36" i="42" s="1"/>
  <c r="R37" i="42" s="1"/>
  <c r="R38" i="42" s="1"/>
  <c r="R39" i="42" s="1"/>
  <c r="R40" i="42" s="1"/>
  <c r="R41" i="42" s="1"/>
  <c r="R42" i="42" s="1"/>
  <c r="R43" i="42" s="1"/>
  <c r="T508" i="49"/>
  <c r="P506" i="49"/>
  <c r="R506" i="49"/>
  <c r="U508" i="49"/>
  <c r="S508" i="49"/>
  <c r="Q506" i="49"/>
  <c r="N337" i="49"/>
  <c r="K28" i="50"/>
  <c r="G187" i="49"/>
  <c r="Y467" i="49"/>
  <c r="L47" i="49"/>
  <c r="K155" i="49"/>
  <c r="N155" i="49" s="1"/>
  <c r="I77" i="49"/>
  <c r="L48" i="49"/>
  <c r="L49" i="49"/>
  <c r="L45" i="49"/>
  <c r="I80" i="49"/>
  <c r="I82" i="49"/>
  <c r="D114" i="11"/>
  <c r="D119" i="11"/>
  <c r="G119" i="11"/>
  <c r="Q105" i="52"/>
  <c r="Q106" i="52" s="1"/>
  <c r="Q107" i="52" s="1"/>
  <c r="Q108" i="52" s="1"/>
  <c r="Q109" i="52" s="1"/>
  <c r="Q110" i="52" s="1"/>
  <c r="F194" i="49"/>
  <c r="K39" i="51"/>
  <c r="Q93" i="52"/>
  <c r="Q94" i="52" s="1"/>
  <c r="Q95" i="52" s="1"/>
  <c r="Q96" i="52" s="1"/>
  <c r="Q97" i="52" s="1"/>
  <c r="Q98" i="52" s="1"/>
  <c r="Q99" i="52" s="1"/>
  <c r="Q100" i="52" s="1"/>
  <c r="Q101" i="52" s="1"/>
  <c r="Q102" i="52" s="1"/>
  <c r="Q103" i="52" s="1"/>
  <c r="B109" i="11"/>
  <c r="B38" i="17"/>
  <c r="Q81" i="52"/>
  <c r="Q82" i="52" s="1"/>
  <c r="Q83" i="52" s="1"/>
  <c r="Q84" i="52" s="1"/>
  <c r="Q85" i="52" s="1"/>
  <c r="Q86" i="52" s="1"/>
  <c r="Q87" i="52" s="1"/>
  <c r="Q88" i="52" s="1"/>
  <c r="Q89" i="52" s="1"/>
  <c r="Q90" i="52" s="1"/>
  <c r="Q91" i="52" s="1"/>
  <c r="Q33" i="52"/>
  <c r="Q34" i="52" s="1"/>
  <c r="Q35" i="52" s="1"/>
  <c r="Q36" i="52" s="1"/>
  <c r="Q37" i="52" s="1"/>
  <c r="Q38" i="52" s="1"/>
  <c r="Q39" i="52" s="1"/>
  <c r="Q40" i="52" s="1"/>
  <c r="Q41" i="52" s="1"/>
  <c r="Q42" i="52" s="1"/>
  <c r="Q43" i="52" s="1"/>
  <c r="Q21" i="52"/>
  <c r="Q22" i="52" s="1"/>
  <c r="Q23" i="52" s="1"/>
  <c r="Q24" i="52" s="1"/>
  <c r="Q25" i="52" s="1"/>
  <c r="Q26" i="52" s="1"/>
  <c r="Q27" i="52" s="1"/>
  <c r="Q28" i="52" s="1"/>
  <c r="Q29" i="52" s="1"/>
  <c r="Q30" i="52" s="1"/>
  <c r="Q31" i="52" s="1"/>
  <c r="Q57" i="52"/>
  <c r="Q58" i="52" s="1"/>
  <c r="Q59" i="52" s="1"/>
  <c r="Q60" i="52" s="1"/>
  <c r="Q61" i="52" s="1"/>
  <c r="Q62" i="52" s="1"/>
  <c r="Q63" i="52" s="1"/>
  <c r="Q64" i="52" s="1"/>
  <c r="Q65" i="52" s="1"/>
  <c r="Q66" i="52" s="1"/>
  <c r="Q67" i="52" s="1"/>
  <c r="H190" i="49"/>
  <c r="F192" i="49"/>
  <c r="F178" i="49"/>
  <c r="J122" i="49"/>
  <c r="H191" i="49"/>
  <c r="F271" i="49"/>
  <c r="J52" i="50"/>
  <c r="H283" i="49"/>
  <c r="F269" i="49"/>
  <c r="F272" i="49"/>
  <c r="F82" i="11"/>
  <c r="F99" i="11" s="1"/>
  <c r="F33" i="50"/>
  <c r="D110" i="11"/>
  <c r="D115" i="11" s="1"/>
  <c r="K52" i="50"/>
  <c r="F180" i="49"/>
  <c r="J124" i="49"/>
  <c r="C58" i="51"/>
  <c r="C109" i="11" s="1"/>
  <c r="F123" i="49"/>
  <c r="F134" i="49"/>
  <c r="F17" i="9"/>
  <c r="K7" i="11" s="1"/>
  <c r="I81" i="49"/>
  <c r="I79" i="49"/>
  <c r="K156" i="49"/>
  <c r="N156" i="49" s="1"/>
  <c r="O63" i="9"/>
  <c r="Q63" i="9"/>
  <c r="M63" i="9"/>
  <c r="J58" i="9"/>
  <c r="J59" i="9"/>
  <c r="I58" i="9"/>
  <c r="I59" i="9"/>
  <c r="K58" i="9"/>
  <c r="K59" i="9"/>
  <c r="K159" i="49"/>
  <c r="K160" i="49"/>
  <c r="R9" i="42"/>
  <c r="R10" i="42" s="1"/>
  <c r="R11" i="42" s="1"/>
  <c r="R12" i="42" s="1"/>
  <c r="R13" i="42" s="1"/>
  <c r="R14" i="42" s="1"/>
  <c r="R15" i="42" s="1"/>
  <c r="R16" i="42" s="1"/>
  <c r="R17" i="42" s="1"/>
  <c r="R18" i="42" s="1"/>
  <c r="R19" i="42" s="1"/>
  <c r="K158" i="49"/>
  <c r="I83" i="49"/>
  <c r="I78" i="49"/>
  <c r="K154" i="49"/>
  <c r="N154" i="49" s="1"/>
  <c r="K157" i="49"/>
  <c r="N157" i="49" s="1"/>
  <c r="R70" i="9"/>
  <c r="K22" i="17"/>
  <c r="K72" i="11" s="1"/>
  <c r="J72" i="11"/>
  <c r="B34" i="49"/>
  <c r="F12" i="11"/>
  <c r="V435" i="49"/>
  <c r="H12" i="11"/>
  <c r="B33" i="49"/>
  <c r="E12" i="11"/>
  <c r="H82" i="11"/>
  <c r="G82" i="11"/>
  <c r="E82" i="11"/>
  <c r="Y434" i="49"/>
  <c r="H300" i="49"/>
  <c r="H306" i="49" s="1"/>
  <c r="H307" i="49" s="1"/>
  <c r="V452" i="49"/>
  <c r="I49" i="9"/>
  <c r="I50" i="9" s="1"/>
  <c r="Q49" i="9"/>
  <c r="R67" i="9"/>
  <c r="U439" i="49"/>
  <c r="U506" i="49" s="1"/>
  <c r="V439" i="49"/>
  <c r="S452" i="49"/>
  <c r="H56" i="9"/>
  <c r="D300" i="49"/>
  <c r="D306" i="49" s="1"/>
  <c r="D307" i="49" s="1"/>
  <c r="N57" i="9"/>
  <c r="N63" i="9" s="1"/>
  <c r="E300" i="49"/>
  <c r="E306" i="49" s="1"/>
  <c r="E307" i="49" s="1"/>
  <c r="P58" i="9"/>
  <c r="P63" i="9" s="1"/>
  <c r="T19" i="17"/>
  <c r="T18" i="17"/>
  <c r="J55" i="9"/>
  <c r="J56" i="9"/>
  <c r="N49" i="9"/>
  <c r="T16" i="17"/>
  <c r="K55" i="9"/>
  <c r="K56" i="9"/>
  <c r="T17" i="17"/>
  <c r="R3" i="42"/>
  <c r="R4" i="42" s="1"/>
  <c r="R5" i="42" s="1"/>
  <c r="R6" i="42" s="1"/>
  <c r="R7" i="42" s="1"/>
  <c r="S447" i="49"/>
  <c r="J313" i="49"/>
  <c r="J350" i="49" s="1"/>
  <c r="B36" i="49"/>
  <c r="T435" i="49"/>
  <c r="S435" i="49"/>
  <c r="R45" i="42"/>
  <c r="R46" i="42" s="1"/>
  <c r="R47" i="42" s="1"/>
  <c r="R48" i="42" s="1"/>
  <c r="R49" i="42" s="1"/>
  <c r="R50" i="42" s="1"/>
  <c r="R51" i="42" s="1"/>
  <c r="R52" i="42" s="1"/>
  <c r="R53" i="42" s="1"/>
  <c r="R54" i="42" s="1"/>
  <c r="R55" i="42" s="1"/>
  <c r="F295" i="49"/>
  <c r="F313" i="49" s="1"/>
  <c r="F350" i="49" s="1"/>
  <c r="B416" i="49"/>
  <c r="B415" i="49"/>
  <c r="J312" i="49"/>
  <c r="J349" i="49" s="1"/>
  <c r="H49" i="9"/>
  <c r="H50" i="9" s="1"/>
  <c r="B300" i="49"/>
  <c r="B306" i="49" s="1"/>
  <c r="B307" i="49" s="1"/>
  <c r="O49" i="9"/>
  <c r="I300" i="49"/>
  <c r="I306" i="49" s="1"/>
  <c r="I307" i="49" s="1"/>
  <c r="H58" i="9"/>
  <c r="C32" i="49"/>
  <c r="C31" i="49"/>
  <c r="V443" i="49"/>
  <c r="C336" i="49"/>
  <c r="C316" i="49"/>
  <c r="C331" i="49" s="1"/>
  <c r="F336" i="49"/>
  <c r="F316" i="49"/>
  <c r="F331" i="49" s="1"/>
  <c r="E336" i="49"/>
  <c r="E316" i="49"/>
  <c r="E331" i="49" s="1"/>
  <c r="I316" i="49"/>
  <c r="I331" i="49" s="1"/>
  <c r="I336" i="49"/>
  <c r="S443" i="49"/>
  <c r="K273" i="49"/>
  <c r="V447" i="49"/>
  <c r="D336" i="49"/>
  <c r="D316" i="49"/>
  <c r="D331" i="49" s="1"/>
  <c r="G316" i="49"/>
  <c r="G331" i="49" s="1"/>
  <c r="G336" i="49"/>
  <c r="S439" i="49"/>
  <c r="B35" i="49"/>
  <c r="U435" i="49"/>
  <c r="H316" i="49"/>
  <c r="H331" i="49" s="1"/>
  <c r="H336" i="49"/>
  <c r="B336" i="49"/>
  <c r="B316" i="49"/>
  <c r="B331" i="49" s="1"/>
  <c r="B355" i="49"/>
  <c r="N355" i="49" s="1"/>
  <c r="C328" i="49"/>
  <c r="C324" i="49"/>
  <c r="R68" i="42"/>
  <c r="R69" i="42" s="1"/>
  <c r="R70" i="42" s="1"/>
  <c r="R71" i="42" s="1"/>
  <c r="R72" i="42" s="1"/>
  <c r="R73" i="42" s="1"/>
  <c r="R74" i="42" s="1"/>
  <c r="R75" i="42" s="1"/>
  <c r="R76" i="42" s="1"/>
  <c r="R77" i="42" s="1"/>
  <c r="R78" i="42" s="1"/>
  <c r="R79" i="42" s="1"/>
  <c r="R92" i="42"/>
  <c r="R81" i="42" s="1"/>
  <c r="R82" i="42" s="1"/>
  <c r="R83" i="42" s="1"/>
  <c r="R84" i="42" s="1"/>
  <c r="R85" i="42" s="1"/>
  <c r="R86" i="42" s="1"/>
  <c r="R87" i="42" s="1"/>
  <c r="R88" i="42" s="1"/>
  <c r="R89" i="42" s="1"/>
  <c r="R90" i="42" s="1"/>
  <c r="R91" i="42" s="1"/>
  <c r="R104" i="42"/>
  <c r="G31" i="49"/>
  <c r="G32" i="49"/>
  <c r="H57" i="9"/>
  <c r="G18" i="41"/>
  <c r="J71" i="41"/>
  <c r="H5" i="41" s="1"/>
  <c r="I5" i="41" s="1"/>
  <c r="H72" i="41" s="1"/>
  <c r="S50" i="9"/>
  <c r="S67" i="9" s="1"/>
  <c r="K53" i="11"/>
  <c r="AI787" i="49" s="1"/>
  <c r="J53" i="11"/>
  <c r="I71" i="41"/>
  <c r="K4" i="41" s="1"/>
  <c r="L4" i="41" s="1"/>
  <c r="L66" i="9"/>
  <c r="L50" i="9"/>
  <c r="L67" i="9" s="1"/>
  <c r="H192" i="49" l="1"/>
  <c r="AO599" i="49"/>
  <c r="N181" i="49"/>
  <c r="N269" i="49"/>
  <c r="F182" i="49"/>
  <c r="F193" i="49" s="1"/>
  <c r="J126" i="49"/>
  <c r="G83" i="49"/>
  <c r="N183" i="49"/>
  <c r="N271" i="49"/>
  <c r="H194" i="49"/>
  <c r="AO598" i="49"/>
  <c r="H287" i="49"/>
  <c r="L74" i="49"/>
  <c r="H114" i="11"/>
  <c r="G99" i="11"/>
  <c r="H178" i="49"/>
  <c r="H266" i="49" s="1"/>
  <c r="H281" i="49" s="1"/>
  <c r="G77" i="49"/>
  <c r="E99" i="11"/>
  <c r="K47" i="50"/>
  <c r="AI791" i="49"/>
  <c r="Y496" i="49"/>
  <c r="L187" i="49"/>
  <c r="AH644" i="49"/>
  <c r="AO630" i="49"/>
  <c r="AH648" i="49"/>
  <c r="AP632" i="49"/>
  <c r="AO648" i="49" s="1"/>
  <c r="G33" i="49"/>
  <c r="AH703" i="49"/>
  <c r="AP687" i="49"/>
  <c r="AO703" i="49" s="1"/>
  <c r="J47" i="50"/>
  <c r="AI741" i="49"/>
  <c r="AH757" i="49" s="1"/>
  <c r="AH791" i="49"/>
  <c r="X496" i="49"/>
  <c r="L186" i="49"/>
  <c r="AH808" i="49"/>
  <c r="AH649" i="49"/>
  <c r="AP633" i="49"/>
  <c r="AO649" i="49" s="1"/>
  <c r="L185" i="49"/>
  <c r="L196" i="49" s="1"/>
  <c r="J83" i="49"/>
  <c r="AO587" i="49"/>
  <c r="AO603" i="49" s="1"/>
  <c r="AH603" i="49"/>
  <c r="AH787" i="49"/>
  <c r="AH803" i="49" s="1"/>
  <c r="AI737" i="49"/>
  <c r="AH753" i="49" s="1"/>
  <c r="H99" i="11"/>
  <c r="AI594" i="49"/>
  <c r="AH596" i="49"/>
  <c r="AP580" i="49"/>
  <c r="AO596" i="49" s="1"/>
  <c r="AH646" i="49"/>
  <c r="AI644" i="49"/>
  <c r="AP630" i="49"/>
  <c r="AH553" i="49"/>
  <c r="AP537" i="49"/>
  <c r="AO553" i="49" s="1"/>
  <c r="AH693" i="49"/>
  <c r="AO679" i="49"/>
  <c r="AH647" i="49"/>
  <c r="AP631" i="49"/>
  <c r="AO647" i="49" s="1"/>
  <c r="S506" i="49"/>
  <c r="V506" i="49"/>
  <c r="M342" i="49"/>
  <c r="M343" i="49" s="1"/>
  <c r="M344" i="49" s="1"/>
  <c r="L342" i="49"/>
  <c r="L343" i="49" s="1"/>
  <c r="L344" i="49" s="1"/>
  <c r="K194" i="49"/>
  <c r="K294" i="49"/>
  <c r="K295" i="49" s="1"/>
  <c r="K288" i="49"/>
  <c r="K192" i="49"/>
  <c r="K193" i="49"/>
  <c r="F191" i="49"/>
  <c r="N180" i="49"/>
  <c r="F189" i="49"/>
  <c r="N184" i="49"/>
  <c r="N159" i="49"/>
  <c r="N158" i="49"/>
  <c r="K195" i="49"/>
  <c r="K190" i="49"/>
  <c r="L338" i="49"/>
  <c r="L356" i="49" s="1"/>
  <c r="M338" i="49"/>
  <c r="M356" i="49" s="1"/>
  <c r="N272" i="49"/>
  <c r="K189" i="49"/>
  <c r="K191" i="49"/>
  <c r="N160" i="49"/>
  <c r="K44" i="51"/>
  <c r="I187" i="49"/>
  <c r="Y477" i="49"/>
  <c r="J38" i="50"/>
  <c r="I186" i="49"/>
  <c r="X477" i="49"/>
  <c r="I338" i="49"/>
  <c r="I356" i="49" s="1"/>
  <c r="J338" i="49"/>
  <c r="J356" i="49" s="1"/>
  <c r="C338" i="49"/>
  <c r="C356" i="49" s="1"/>
  <c r="K338" i="49"/>
  <c r="K356" i="49" s="1"/>
  <c r="G338" i="49"/>
  <c r="G356" i="49" s="1"/>
  <c r="D338" i="49"/>
  <c r="D356" i="49" s="1"/>
  <c r="B338" i="49"/>
  <c r="E338" i="49"/>
  <c r="E356" i="49" s="1"/>
  <c r="F338" i="49"/>
  <c r="F356" i="49" s="1"/>
  <c r="H338" i="49"/>
  <c r="H356" i="49" s="1"/>
  <c r="C342" i="49"/>
  <c r="K342" i="49"/>
  <c r="K343" i="49" s="1"/>
  <c r="K344" i="49" s="1"/>
  <c r="I342" i="49"/>
  <c r="G342" i="49"/>
  <c r="G343" i="49" s="1"/>
  <c r="G344" i="49" s="1"/>
  <c r="H342" i="49"/>
  <c r="J342" i="49"/>
  <c r="F342" i="49"/>
  <c r="F343" i="49" s="1"/>
  <c r="F344" i="49" s="1"/>
  <c r="E342" i="49"/>
  <c r="E343" i="49" s="1"/>
  <c r="E344" i="49" s="1"/>
  <c r="D342" i="49"/>
  <c r="D343" i="49" s="1"/>
  <c r="B342" i="49"/>
  <c r="C35" i="49"/>
  <c r="C33" i="49"/>
  <c r="C36" i="49"/>
  <c r="C37" i="49"/>
  <c r="C34" i="49"/>
  <c r="C114" i="11"/>
  <c r="C119" i="11"/>
  <c r="B114" i="11"/>
  <c r="B119" i="11"/>
  <c r="J78" i="11"/>
  <c r="I10" i="18"/>
  <c r="H195" i="49"/>
  <c r="F270" i="49"/>
  <c r="J44" i="51"/>
  <c r="F287" i="49"/>
  <c r="F288" i="49"/>
  <c r="F179" i="49"/>
  <c r="N179" i="49" s="1"/>
  <c r="J123" i="49"/>
  <c r="F133" i="49"/>
  <c r="F268" i="49"/>
  <c r="N268" i="49" s="1"/>
  <c r="K38" i="50"/>
  <c r="F266" i="49"/>
  <c r="F57" i="50"/>
  <c r="F109" i="11" s="1"/>
  <c r="G72" i="49"/>
  <c r="L72" i="49" s="1"/>
  <c r="J63" i="9"/>
  <c r="H63" i="9"/>
  <c r="K63" i="9"/>
  <c r="I63" i="9"/>
  <c r="C300" i="49"/>
  <c r="C306" i="49" s="1"/>
  <c r="C307" i="49" s="1"/>
  <c r="K49" i="9"/>
  <c r="K50" i="9" s="1"/>
  <c r="O50" i="9"/>
  <c r="O67" i="9" s="1"/>
  <c r="O66" i="9"/>
  <c r="D36" i="17"/>
  <c r="D21" i="17" s="1"/>
  <c r="R75" i="9"/>
  <c r="M353" i="49" s="1"/>
  <c r="R71" i="9"/>
  <c r="Q50" i="9"/>
  <c r="Q67" i="9" s="1"/>
  <c r="Q66" i="9"/>
  <c r="J49" i="9"/>
  <c r="J50" i="9" s="1"/>
  <c r="N50" i="9"/>
  <c r="G35" i="49"/>
  <c r="K300" i="49"/>
  <c r="K306" i="49" s="1"/>
  <c r="K307" i="49" s="1"/>
  <c r="P49" i="9"/>
  <c r="C36" i="17"/>
  <c r="C289" i="49"/>
  <c r="R93" i="42"/>
  <c r="R94" i="42" s="1"/>
  <c r="R95" i="42" s="1"/>
  <c r="R96" i="42" s="1"/>
  <c r="R97" i="42" s="1"/>
  <c r="R98" i="42" s="1"/>
  <c r="R99" i="42" s="1"/>
  <c r="R100" i="42" s="1"/>
  <c r="R101" i="42" s="1"/>
  <c r="R102" i="42" s="1"/>
  <c r="R103" i="42" s="1"/>
  <c r="J7" i="11"/>
  <c r="X432" i="49"/>
  <c r="Y432" i="49" s="1"/>
  <c r="E36" i="17"/>
  <c r="E21" i="17" s="1"/>
  <c r="E289" i="49"/>
  <c r="B36" i="17"/>
  <c r="B289" i="49"/>
  <c r="J36" i="17"/>
  <c r="D347" i="49"/>
  <c r="D341" i="49"/>
  <c r="I341" i="49"/>
  <c r="I347" i="49"/>
  <c r="E347" i="49"/>
  <c r="E341" i="49"/>
  <c r="B347" i="49"/>
  <c r="B341" i="49"/>
  <c r="C347" i="49"/>
  <c r="C341" i="49"/>
  <c r="H341" i="49"/>
  <c r="H347" i="49"/>
  <c r="G347" i="49"/>
  <c r="G341" i="49"/>
  <c r="F347" i="49"/>
  <c r="F341" i="49"/>
  <c r="G34" i="49"/>
  <c r="R105" i="42"/>
  <c r="R106" i="42" s="1"/>
  <c r="R107" i="42" s="1"/>
  <c r="R108" i="42" s="1"/>
  <c r="R109" i="42" s="1"/>
  <c r="R110" i="42" s="1"/>
  <c r="R57" i="42"/>
  <c r="R58" i="42" s="1"/>
  <c r="R59" i="42" s="1"/>
  <c r="R60" i="42" s="1"/>
  <c r="R61" i="42" s="1"/>
  <c r="R62" i="42" s="1"/>
  <c r="R63" i="42" s="1"/>
  <c r="R64" i="42" s="1"/>
  <c r="R65" i="42" s="1"/>
  <c r="R66" i="42" s="1"/>
  <c r="R67" i="42" s="1"/>
  <c r="J196" i="49"/>
  <c r="G36" i="49"/>
  <c r="S75" i="9"/>
  <c r="J353" i="49" s="1"/>
  <c r="L75" i="9"/>
  <c r="H73" i="41"/>
  <c r="L74" i="9"/>
  <c r="S94" i="9"/>
  <c r="S74" i="9"/>
  <c r="J352" i="49" s="1"/>
  <c r="J358" i="49" s="1"/>
  <c r="X502" i="49" l="1"/>
  <c r="N178" i="49"/>
  <c r="H189" i="49"/>
  <c r="J75" i="49"/>
  <c r="J84" i="49" s="1"/>
  <c r="N266" i="49"/>
  <c r="H282" i="49"/>
  <c r="J79" i="11"/>
  <c r="J54" i="50" s="1"/>
  <c r="J421" i="49"/>
  <c r="M359" i="49"/>
  <c r="AH807" i="49"/>
  <c r="AO646" i="49"/>
  <c r="J359" i="49"/>
  <c r="F286" i="49"/>
  <c r="N338" i="49"/>
  <c r="E22" i="17"/>
  <c r="K29" i="11" s="1"/>
  <c r="AI782" i="49" s="1"/>
  <c r="J29" i="11"/>
  <c r="D22" i="17"/>
  <c r="K24" i="11" s="1"/>
  <c r="AI781" i="49" s="1"/>
  <c r="J24" i="11"/>
  <c r="C17" i="53"/>
  <c r="C35" i="53" s="1"/>
  <c r="E35" i="53" s="1"/>
  <c r="G35" i="53" s="1"/>
  <c r="M172" i="49"/>
  <c r="M206" i="49" s="1"/>
  <c r="J53" i="50"/>
  <c r="F114" i="11"/>
  <c r="F119" i="11"/>
  <c r="K78" i="11"/>
  <c r="Y502" i="49" s="1"/>
  <c r="I11" i="18"/>
  <c r="F281" i="49"/>
  <c r="F284" i="49"/>
  <c r="H182" i="49"/>
  <c r="N182" i="49" s="1"/>
  <c r="G81" i="49"/>
  <c r="F267" i="49"/>
  <c r="N267" i="49" s="1"/>
  <c r="F190" i="49"/>
  <c r="F285" i="49"/>
  <c r="K312" i="49"/>
  <c r="K349" i="49" s="1"/>
  <c r="K313" i="49"/>
  <c r="K350" i="49" s="1"/>
  <c r="Q75" i="9"/>
  <c r="L353" i="49" s="1"/>
  <c r="L359" i="49" s="1"/>
  <c r="Q71" i="9"/>
  <c r="K73" i="11" s="1"/>
  <c r="Q74" i="9"/>
  <c r="L352" i="49" s="1"/>
  <c r="L358" i="49" s="1"/>
  <c r="Q70" i="9"/>
  <c r="J73" i="11" s="1"/>
  <c r="C21" i="17"/>
  <c r="J20" i="11" s="1"/>
  <c r="P50" i="9"/>
  <c r="P67" i="9" s="1"/>
  <c r="P75" i="9" s="1"/>
  <c r="K353" i="49" s="1"/>
  <c r="P66" i="9"/>
  <c r="P74" i="9" s="1"/>
  <c r="K352" i="49" s="1"/>
  <c r="I24" i="11"/>
  <c r="J66" i="9"/>
  <c r="J74" i="9" s="1"/>
  <c r="B21" i="17"/>
  <c r="I16" i="11"/>
  <c r="I29" i="11"/>
  <c r="N342" i="49"/>
  <c r="B356" i="49"/>
  <c r="N356" i="49" s="1"/>
  <c r="D344" i="49"/>
  <c r="H74" i="41"/>
  <c r="K359" i="49" l="1"/>
  <c r="C52" i="53"/>
  <c r="E52" i="53" s="1"/>
  <c r="G52" i="53" s="1"/>
  <c r="D17" i="53"/>
  <c r="E70" i="53" s="1"/>
  <c r="G70" i="53" s="1"/>
  <c r="K358" i="49"/>
  <c r="AH780" i="49"/>
  <c r="AI730" i="49"/>
  <c r="AI731" i="49"/>
  <c r="AH781" i="49"/>
  <c r="AH797" i="49" s="1"/>
  <c r="AH732" i="49"/>
  <c r="AI682" i="49"/>
  <c r="AH698" i="49" s="1"/>
  <c r="AH731" i="49"/>
  <c r="AI681" i="49"/>
  <c r="AH697" i="49" s="1"/>
  <c r="X497" i="49"/>
  <c r="L172" i="49"/>
  <c r="L206" i="49" s="1"/>
  <c r="K79" i="11"/>
  <c r="D17" i="54" s="1"/>
  <c r="E70" i="54" s="1"/>
  <c r="J422" i="49"/>
  <c r="AI679" i="49"/>
  <c r="AH729" i="49"/>
  <c r="AH782" i="49"/>
  <c r="AH798" i="49" s="1"/>
  <c r="AI732" i="49"/>
  <c r="K48" i="50"/>
  <c r="Y497" i="49"/>
  <c r="L173" i="49"/>
  <c r="L207" i="49" s="1"/>
  <c r="AL742" i="49"/>
  <c r="AK792" i="49"/>
  <c r="AO792" i="49" s="1"/>
  <c r="X503" i="49"/>
  <c r="K53" i="50"/>
  <c r="M173" i="49"/>
  <c r="M207" i="49" s="1"/>
  <c r="C17" i="54"/>
  <c r="C35" i="54" s="1"/>
  <c r="E35" i="54" s="1"/>
  <c r="G35" i="54" s="1"/>
  <c r="H270" i="49"/>
  <c r="N270" i="49" s="1"/>
  <c r="H193" i="49"/>
  <c r="K18" i="50"/>
  <c r="J20" i="51"/>
  <c r="K20" i="51"/>
  <c r="J18" i="50"/>
  <c r="F282" i="49"/>
  <c r="F283" i="49"/>
  <c r="J48" i="50"/>
  <c r="C16" i="53"/>
  <c r="C34" i="53" s="1"/>
  <c r="E34" i="53" s="1"/>
  <c r="C16" i="54"/>
  <c r="C34" i="54" s="1"/>
  <c r="C51" i="54" s="1"/>
  <c r="E51" i="54" s="1"/>
  <c r="G51" i="54" s="1"/>
  <c r="D186" i="49"/>
  <c r="J21" i="17"/>
  <c r="I67" i="11"/>
  <c r="I69" i="11"/>
  <c r="H21" i="17"/>
  <c r="J48" i="11" s="1"/>
  <c r="I48" i="11"/>
  <c r="X447" i="49"/>
  <c r="G300" i="49"/>
  <c r="G306" i="49" s="1"/>
  <c r="G307" i="49" s="1"/>
  <c r="C22" i="17"/>
  <c r="I67" i="9" s="1"/>
  <c r="I66" i="9"/>
  <c r="I74" i="9" s="1"/>
  <c r="I20" i="11"/>
  <c r="S21" i="17"/>
  <c r="S20" i="17"/>
  <c r="W447" i="49"/>
  <c r="D273" i="49"/>
  <c r="K196" i="49"/>
  <c r="D187" i="49"/>
  <c r="Y447" i="49"/>
  <c r="J67" i="9"/>
  <c r="J75" i="9" s="1"/>
  <c r="O74" i="9"/>
  <c r="K66" i="9"/>
  <c r="K74" i="9" s="1"/>
  <c r="J23" i="50"/>
  <c r="J343" i="49"/>
  <c r="W439" i="49"/>
  <c r="B273" i="49"/>
  <c r="W452" i="49"/>
  <c r="E273" i="49"/>
  <c r="H66" i="9"/>
  <c r="H74" i="9" s="1"/>
  <c r="B22" i="17"/>
  <c r="J16" i="11"/>
  <c r="X443" i="49"/>
  <c r="C186" i="49"/>
  <c r="H75" i="41"/>
  <c r="E105" i="53" l="1"/>
  <c r="E122" i="53" s="1"/>
  <c r="G122" i="53" s="1"/>
  <c r="E88" i="53"/>
  <c r="G88" i="53" s="1"/>
  <c r="AH747" i="49"/>
  <c r="K54" i="50"/>
  <c r="I33" i="50"/>
  <c r="G75" i="49" s="1"/>
  <c r="AI686" i="49"/>
  <c r="AH702" i="49" s="1"/>
  <c r="AH736" i="49"/>
  <c r="W472" i="49"/>
  <c r="J33" i="50"/>
  <c r="AI736" i="49"/>
  <c r="AH786" i="49"/>
  <c r="X472" i="49"/>
  <c r="H186" i="49"/>
  <c r="AO729" i="49"/>
  <c r="I44" i="50"/>
  <c r="AL690" i="49"/>
  <c r="AK740" i="49"/>
  <c r="W493" i="49"/>
  <c r="AH740" i="49"/>
  <c r="AI690" i="49"/>
  <c r="AH706" i="49" s="1"/>
  <c r="W491" i="49"/>
  <c r="AP742" i="49"/>
  <c r="AO758" i="49" s="1"/>
  <c r="AK758" i="49"/>
  <c r="AL792" i="49"/>
  <c r="Y503" i="49"/>
  <c r="J10" i="50"/>
  <c r="AH779" i="49"/>
  <c r="AI729" i="49"/>
  <c r="B186" i="49"/>
  <c r="AH695" i="49"/>
  <c r="AP679" i="49"/>
  <c r="AO695" i="49" s="1"/>
  <c r="AI680" i="49"/>
  <c r="AH730" i="49"/>
  <c r="AO730" i="49" s="1"/>
  <c r="AH748" i="49"/>
  <c r="C52" i="54"/>
  <c r="E52" i="54" s="1"/>
  <c r="G52" i="54" s="1"/>
  <c r="E88" i="54"/>
  <c r="G88" i="54" s="1"/>
  <c r="G70" i="54"/>
  <c r="J25" i="51"/>
  <c r="J12" i="51"/>
  <c r="I42" i="50"/>
  <c r="I82" i="11"/>
  <c r="I99" i="11" s="1"/>
  <c r="J16" i="51"/>
  <c r="J14" i="50"/>
  <c r="H285" i="49"/>
  <c r="H286" i="49"/>
  <c r="K20" i="11"/>
  <c r="E34" i="54"/>
  <c r="G34" i="54" s="1"/>
  <c r="N21" i="17"/>
  <c r="U21" i="17" s="1"/>
  <c r="V21" i="17" s="1"/>
  <c r="C51" i="53"/>
  <c r="E51" i="53" s="1"/>
  <c r="G51" i="53" s="1"/>
  <c r="G34" i="53"/>
  <c r="J22" i="17"/>
  <c r="K67" i="11" s="1"/>
  <c r="J67" i="11"/>
  <c r="H22" i="17"/>
  <c r="N66" i="9"/>
  <c r="G273" i="49"/>
  <c r="G294" i="49" s="1"/>
  <c r="G312" i="49" s="1"/>
  <c r="S22" i="17"/>
  <c r="M49" i="9"/>
  <c r="T20" i="17"/>
  <c r="G37" i="49" s="1"/>
  <c r="I273" i="49"/>
  <c r="I294" i="49" s="1"/>
  <c r="I295" i="49" s="1"/>
  <c r="D294" i="49"/>
  <c r="D288" i="49"/>
  <c r="C273" i="49"/>
  <c r="W443" i="49"/>
  <c r="O75" i="9"/>
  <c r="X439" i="49"/>
  <c r="J344" i="49"/>
  <c r="N344" i="49" s="1"/>
  <c r="N343" i="49"/>
  <c r="X452" i="49"/>
  <c r="E186" i="49"/>
  <c r="H67" i="9"/>
  <c r="H75" i="9" s="1"/>
  <c r="K16" i="11"/>
  <c r="B288" i="49"/>
  <c r="B294" i="49"/>
  <c r="E288" i="49"/>
  <c r="E294" i="49"/>
  <c r="K67" i="9"/>
  <c r="K75" i="9" s="1"/>
  <c r="I75" i="9"/>
  <c r="H76" i="41"/>
  <c r="G105" i="53" l="1"/>
  <c r="AH752" i="49"/>
  <c r="AI693" i="49"/>
  <c r="AH743" i="49"/>
  <c r="W506" i="49"/>
  <c r="I57" i="50"/>
  <c r="I75" i="49"/>
  <c r="I84" i="49" s="1"/>
  <c r="K16" i="51"/>
  <c r="AI780" i="49"/>
  <c r="AH796" i="49" s="1"/>
  <c r="AP792" i="49"/>
  <c r="AO808" i="49" s="1"/>
  <c r="AK808" i="49"/>
  <c r="AP690" i="49"/>
  <c r="AO706" i="49" s="1"/>
  <c r="AK706" i="49"/>
  <c r="AI779" i="49"/>
  <c r="B187" i="49"/>
  <c r="AH746" i="49"/>
  <c r="AH790" i="49"/>
  <c r="AI740" i="49"/>
  <c r="AH756" i="49" s="1"/>
  <c r="X491" i="49"/>
  <c r="X506" i="49" s="1"/>
  <c r="AH696" i="49"/>
  <c r="AP680" i="49"/>
  <c r="AO696" i="49" s="1"/>
  <c r="AO740" i="49"/>
  <c r="K187" i="49"/>
  <c r="AI790" i="49"/>
  <c r="Y491" i="49"/>
  <c r="AH745" i="49"/>
  <c r="H185" i="49"/>
  <c r="G84" i="49"/>
  <c r="J86" i="11"/>
  <c r="F38" i="49"/>
  <c r="J82" i="11"/>
  <c r="K186" i="49"/>
  <c r="N186" i="49" s="1"/>
  <c r="E105" i="54"/>
  <c r="G105" i="54" s="1"/>
  <c r="K14" i="50"/>
  <c r="K23" i="50"/>
  <c r="K25" i="51"/>
  <c r="K12" i="51"/>
  <c r="K10" i="50"/>
  <c r="K42" i="50"/>
  <c r="C187" i="49"/>
  <c r="Y443" i="49"/>
  <c r="J58" i="51"/>
  <c r="T21" i="17"/>
  <c r="N22" i="17"/>
  <c r="E104" i="54"/>
  <c r="G104" i="54" s="1"/>
  <c r="J42" i="50"/>
  <c r="E104" i="53"/>
  <c r="E121" i="53" s="1"/>
  <c r="G121" i="53" s="1"/>
  <c r="G288" i="49"/>
  <c r="K48" i="11"/>
  <c r="N67" i="9"/>
  <c r="M50" i="9"/>
  <c r="M66" i="9"/>
  <c r="M74" i="9" s="1"/>
  <c r="T74" i="9" s="1"/>
  <c r="C288" i="49"/>
  <c r="C294" i="49"/>
  <c r="D312" i="49"/>
  <c r="D349" i="49" s="1"/>
  <c r="D295" i="49"/>
  <c r="D313" i="49" s="1"/>
  <c r="D350" i="49" s="1"/>
  <c r="I288" i="49"/>
  <c r="Y452" i="49"/>
  <c r="E187" i="49"/>
  <c r="E312" i="49"/>
  <c r="E349" i="49" s="1"/>
  <c r="E295" i="49"/>
  <c r="E313" i="49" s="1"/>
  <c r="E350" i="49" s="1"/>
  <c r="B312" i="49"/>
  <c r="B295" i="49"/>
  <c r="B313" i="49" s="1"/>
  <c r="Y439" i="49"/>
  <c r="G349" i="49"/>
  <c r="G295" i="49"/>
  <c r="G313" i="49" s="1"/>
  <c r="H77" i="41"/>
  <c r="AI743" i="49" l="1"/>
  <c r="F39" i="49"/>
  <c r="G39" i="49" s="1"/>
  <c r="U22" i="17"/>
  <c r="V22" i="17" s="1"/>
  <c r="L75" i="49"/>
  <c r="E122" i="54"/>
  <c r="G122" i="54" s="1"/>
  <c r="J57" i="50"/>
  <c r="J109" i="11" s="1"/>
  <c r="K33" i="50"/>
  <c r="AI786" i="49"/>
  <c r="AH802" i="49" s="1"/>
  <c r="H187" i="49"/>
  <c r="N187" i="49" s="1"/>
  <c r="Y472" i="49"/>
  <c r="Y506" i="49" s="1"/>
  <c r="AH806" i="49"/>
  <c r="N185" i="49"/>
  <c r="H273" i="49"/>
  <c r="AH795" i="49"/>
  <c r="AH793" i="49"/>
  <c r="B349" i="49"/>
  <c r="B350" i="49"/>
  <c r="J99" i="11"/>
  <c r="G38" i="49"/>
  <c r="K82" i="11"/>
  <c r="T22" i="17"/>
  <c r="K86" i="11"/>
  <c r="K58" i="51"/>
  <c r="G66" i="9"/>
  <c r="E121" i="54"/>
  <c r="G121" i="54" s="1"/>
  <c r="G104" i="53"/>
  <c r="M67" i="9"/>
  <c r="G67" i="9" s="1"/>
  <c r="I312" i="49"/>
  <c r="I349" i="49" s="1"/>
  <c r="C295" i="49"/>
  <c r="C313" i="49" s="1"/>
  <c r="C350" i="49" s="1"/>
  <c r="C312" i="49"/>
  <c r="C349" i="49" s="1"/>
  <c r="G350" i="49"/>
  <c r="I85" i="9"/>
  <c r="P85" i="9"/>
  <c r="P70" i="9" s="1"/>
  <c r="J68" i="11" s="1"/>
  <c r="P71" i="9"/>
  <c r="K68" i="11" s="1"/>
  <c r="J85" i="9"/>
  <c r="K85" i="9"/>
  <c r="M85" i="9"/>
  <c r="O85" i="9"/>
  <c r="N71" i="9"/>
  <c r="N85" i="9"/>
  <c r="N70" i="9" s="1"/>
  <c r="S85" i="9"/>
  <c r="L85" i="9"/>
  <c r="H78" i="41"/>
  <c r="AI793" i="49" l="1"/>
  <c r="K57" i="50"/>
  <c r="Y492" i="49"/>
  <c r="K173" i="49"/>
  <c r="H288" i="49"/>
  <c r="H294" i="49"/>
  <c r="N273" i="49"/>
  <c r="X492" i="49"/>
  <c r="K172" i="49"/>
  <c r="I313" i="49"/>
  <c r="J114" i="11"/>
  <c r="J119" i="11"/>
  <c r="K99" i="11"/>
  <c r="K109" i="11"/>
  <c r="C15" i="54"/>
  <c r="C33" i="54" s="1"/>
  <c r="E33" i="54" s="1"/>
  <c r="K43" i="50"/>
  <c r="C15" i="53"/>
  <c r="C33" i="53" s="1"/>
  <c r="E33" i="53" s="1"/>
  <c r="J43" i="50"/>
  <c r="F11" i="18"/>
  <c r="F422" i="49" s="1"/>
  <c r="K49" i="11"/>
  <c r="F10" i="18"/>
  <c r="F421" i="49" s="1"/>
  <c r="J49" i="11"/>
  <c r="M75" i="9"/>
  <c r="T75" i="9" s="1"/>
  <c r="T85" i="9"/>
  <c r="U85" i="9" s="1"/>
  <c r="T86" i="9"/>
  <c r="U86" i="9" s="1"/>
  <c r="G11" i="18"/>
  <c r="G10" i="18"/>
  <c r="H79" i="41"/>
  <c r="J34" i="50" l="1"/>
  <c r="X473" i="49"/>
  <c r="H172" i="49"/>
  <c r="Y473" i="49"/>
  <c r="H173" i="49"/>
  <c r="H295" i="49"/>
  <c r="H312" i="49"/>
  <c r="N294" i="49"/>
  <c r="J69" i="11"/>
  <c r="D15" i="53" s="1"/>
  <c r="E68" i="53" s="1"/>
  <c r="G68" i="53" s="1"/>
  <c r="H421" i="49"/>
  <c r="K69" i="11"/>
  <c r="D15" i="54" s="1"/>
  <c r="E68" i="54" s="1"/>
  <c r="G68" i="54" s="1"/>
  <c r="H422" i="49"/>
  <c r="I350" i="49"/>
  <c r="K114" i="11"/>
  <c r="K119" i="11"/>
  <c r="C11" i="54"/>
  <c r="C29" i="54" s="1"/>
  <c r="E29" i="54" s="1"/>
  <c r="K34" i="50"/>
  <c r="C11" i="53"/>
  <c r="C29" i="53" s="1"/>
  <c r="E29" i="53" s="1"/>
  <c r="C50" i="54"/>
  <c r="E50" i="54" s="1"/>
  <c r="G50" i="54" s="1"/>
  <c r="C50" i="53"/>
  <c r="E50" i="53" s="1"/>
  <c r="G50" i="53" s="1"/>
  <c r="G33" i="54"/>
  <c r="G33" i="53"/>
  <c r="K207" i="49"/>
  <c r="K206" i="49"/>
  <c r="H80" i="41"/>
  <c r="K44" i="50" l="1"/>
  <c r="J44" i="50"/>
  <c r="AL790" i="49"/>
  <c r="Y493" i="49"/>
  <c r="H313" i="49"/>
  <c r="N295" i="49"/>
  <c r="H349" i="49"/>
  <c r="N312" i="49"/>
  <c r="AL740" i="49"/>
  <c r="AK790" i="49"/>
  <c r="AO790" i="49" s="1"/>
  <c r="X493" i="49"/>
  <c r="E86" i="54"/>
  <c r="G86" i="54" s="1"/>
  <c r="E86" i="53"/>
  <c r="G86" i="53" s="1"/>
  <c r="E103" i="53"/>
  <c r="E120" i="53" s="1"/>
  <c r="G120" i="53" s="1"/>
  <c r="C46" i="53"/>
  <c r="E46" i="53" s="1"/>
  <c r="G46" i="53" s="1"/>
  <c r="E103" i="54"/>
  <c r="E120" i="54" s="1"/>
  <c r="G120" i="54" s="1"/>
  <c r="C46" i="54"/>
  <c r="E46" i="54" s="1"/>
  <c r="G46" i="54" s="1"/>
  <c r="G29" i="53"/>
  <c r="G29" i="54"/>
  <c r="H81" i="41"/>
  <c r="H350" i="49" l="1"/>
  <c r="N313" i="49"/>
  <c r="H358" i="49"/>
  <c r="N349" i="49"/>
  <c r="AK756" i="49"/>
  <c r="AP740" i="49"/>
  <c r="AO756" i="49" s="1"/>
  <c r="AP790" i="49"/>
  <c r="AO806" i="49" s="1"/>
  <c r="AK806" i="49"/>
  <c r="G103" i="53"/>
  <c r="E99" i="54"/>
  <c r="E116" i="54" s="1"/>
  <c r="G116" i="54" s="1"/>
  <c r="G103" i="54"/>
  <c r="E99" i="53"/>
  <c r="E116" i="53" s="1"/>
  <c r="G116" i="53" s="1"/>
  <c r="H82" i="41"/>
  <c r="H359" i="49" l="1"/>
  <c r="N350" i="49"/>
  <c r="G99" i="54"/>
  <c r="G99" i="53"/>
  <c r="H83" i="41"/>
  <c r="J83" i="41" l="1"/>
  <c r="H6" i="41" s="1"/>
  <c r="I6" i="41" s="1"/>
  <c r="H84" i="41" s="1"/>
  <c r="N3" i="52" s="1"/>
  <c r="I83" i="41"/>
  <c r="K5" i="41" s="1"/>
  <c r="L5" i="41" s="1"/>
  <c r="S3" i="52" l="1"/>
  <c r="T3" i="52" s="1"/>
  <c r="U3" i="52" s="1"/>
  <c r="H85" i="41"/>
  <c r="N4" i="52" s="1"/>
  <c r="S4" i="52" s="1"/>
  <c r="T4" i="52" s="1"/>
  <c r="U4" i="52" s="1"/>
  <c r="N3" i="42"/>
  <c r="T3" i="42" s="1"/>
  <c r="U3" i="42" l="1"/>
  <c r="V3" i="42" s="1"/>
  <c r="H86" i="41"/>
  <c r="N5" i="52" s="1"/>
  <c r="S5" i="52" s="1"/>
  <c r="T5" i="52" s="1"/>
  <c r="U5" i="52" s="1"/>
  <c r="N4" i="42"/>
  <c r="T4" i="42" l="1"/>
  <c r="U4" i="42" s="1"/>
  <c r="V4" i="42" s="1"/>
  <c r="H87" i="41"/>
  <c r="N6" i="52" s="1"/>
  <c r="S6" i="52" s="1"/>
  <c r="T6" i="52" s="1"/>
  <c r="U6" i="52" s="1"/>
  <c r="N5" i="42"/>
  <c r="T5" i="42" l="1"/>
  <c r="U5" i="42" s="1"/>
  <c r="V5" i="42" s="1"/>
  <c r="H88" i="41"/>
  <c r="N7" i="52" s="1"/>
  <c r="S7" i="52" s="1"/>
  <c r="T7" i="52" s="1"/>
  <c r="U7" i="52" s="1"/>
  <c r="N6" i="42"/>
  <c r="T6" i="42" s="1"/>
  <c r="U6" i="42" l="1"/>
  <c r="V6" i="42" s="1"/>
  <c r="H89" i="41"/>
  <c r="N8" i="52" s="1"/>
  <c r="S8" i="52" s="1"/>
  <c r="T8" i="52" s="1"/>
  <c r="U8" i="52" s="1"/>
  <c r="N7" i="42"/>
  <c r="T7" i="42" l="1"/>
  <c r="U7" i="42" s="1"/>
  <c r="V7" i="42" s="1"/>
  <c r="H90" i="41"/>
  <c r="N9" i="52" s="1"/>
  <c r="S9" i="52" s="1"/>
  <c r="T9" i="52" s="1"/>
  <c r="U9" i="52" s="1"/>
  <c r="N8" i="42"/>
  <c r="T8" i="42" l="1"/>
  <c r="U8" i="42" s="1"/>
  <c r="V8" i="42" s="1"/>
  <c r="H91" i="41"/>
  <c r="N10" i="52" s="1"/>
  <c r="S10" i="52" s="1"/>
  <c r="T10" i="52" s="1"/>
  <c r="U10" i="52" s="1"/>
  <c r="N9" i="42"/>
  <c r="T9" i="42" s="1"/>
  <c r="U9" i="42" l="1"/>
  <c r="V9" i="42" s="1"/>
  <c r="H92" i="41"/>
  <c r="N11" i="52" s="1"/>
  <c r="S11" i="52" s="1"/>
  <c r="T11" i="52" s="1"/>
  <c r="U11" i="52" s="1"/>
  <c r="N10" i="42"/>
  <c r="T10" i="42" l="1"/>
  <c r="U10" i="42" s="1"/>
  <c r="V10" i="42" s="1"/>
  <c r="H93" i="41"/>
  <c r="N12" i="52" s="1"/>
  <c r="S12" i="52" s="1"/>
  <c r="T12" i="52" s="1"/>
  <c r="U12" i="52" s="1"/>
  <c r="N11" i="42"/>
  <c r="T11" i="42" l="1"/>
  <c r="U11" i="42" s="1"/>
  <c r="V11" i="42" s="1"/>
  <c r="H94" i="41"/>
  <c r="N13" i="52" s="1"/>
  <c r="S13" i="52" s="1"/>
  <c r="T13" i="52" s="1"/>
  <c r="U13" i="52" s="1"/>
  <c r="N12" i="42"/>
  <c r="T12" i="42" l="1"/>
  <c r="U12" i="42" s="1"/>
  <c r="V12" i="42" s="1"/>
  <c r="H95" i="41"/>
  <c r="N14" i="52" s="1"/>
  <c r="N13" i="42"/>
  <c r="S14" i="52" l="1"/>
  <c r="T14" i="52" s="1"/>
  <c r="U14" i="52" s="1"/>
  <c r="R152" i="52"/>
  <c r="W152" i="42" s="1"/>
  <c r="X152" i="42" s="1"/>
  <c r="T13" i="42"/>
  <c r="U13" i="42" s="1"/>
  <c r="V13" i="42" s="1"/>
  <c r="J95" i="41"/>
  <c r="H7" i="41" s="1"/>
  <c r="I7" i="41" s="1"/>
  <c r="H96" i="41" s="1"/>
  <c r="N15" i="52" s="1"/>
  <c r="N14" i="42"/>
  <c r="T14" i="42" s="1"/>
  <c r="I95" i="41"/>
  <c r="K6" i="41" s="1"/>
  <c r="L6" i="41" s="1"/>
  <c r="S15" i="52" l="1"/>
  <c r="T15" i="52" s="1"/>
  <c r="U15" i="52" s="1"/>
  <c r="S152" i="52"/>
  <c r="T152" i="52" s="1"/>
  <c r="U152" i="52" s="1"/>
  <c r="E247" i="49"/>
  <c r="H97" i="41"/>
  <c r="N16" i="52" s="1"/>
  <c r="S16" i="52" s="1"/>
  <c r="T16" i="52" s="1"/>
  <c r="U16" i="52" s="1"/>
  <c r="N15" i="42"/>
  <c r="T15" i="42" s="1"/>
  <c r="U14" i="42"/>
  <c r="V14" i="42" s="1"/>
  <c r="S152" i="42"/>
  <c r="T152" i="42" l="1"/>
  <c r="U152" i="42" s="1"/>
  <c r="V152" i="42" s="1"/>
  <c r="C247" i="49"/>
  <c r="D247" i="49" s="1"/>
  <c r="U15" i="42"/>
  <c r="V15" i="42" s="1"/>
  <c r="H98" i="41"/>
  <c r="N17" i="52" s="1"/>
  <c r="S17" i="52" s="1"/>
  <c r="T17" i="52" s="1"/>
  <c r="U17" i="52" s="1"/>
  <c r="N16" i="42"/>
  <c r="F247" i="49" l="1"/>
  <c r="T16" i="42"/>
  <c r="U16" i="42" s="1"/>
  <c r="V16" i="42" s="1"/>
  <c r="H99" i="41"/>
  <c r="N18" i="52" s="1"/>
  <c r="S18" i="52" s="1"/>
  <c r="T18" i="52" s="1"/>
  <c r="U18" i="52" s="1"/>
  <c r="N17" i="42"/>
  <c r="G247" i="49" l="1"/>
  <c r="T17" i="42"/>
  <c r="U17" i="42" s="1"/>
  <c r="V17" i="42" s="1"/>
  <c r="H100" i="41"/>
  <c r="N19" i="52" s="1"/>
  <c r="S19" i="52" s="1"/>
  <c r="T19" i="52" s="1"/>
  <c r="U19" i="52" s="1"/>
  <c r="N18" i="42"/>
  <c r="T18" i="42" l="1"/>
  <c r="U18" i="42" s="1"/>
  <c r="V18" i="42" s="1"/>
  <c r="H101" i="41"/>
  <c r="N20" i="52" s="1"/>
  <c r="S20" i="52" s="1"/>
  <c r="T20" i="52" s="1"/>
  <c r="U20" i="52" s="1"/>
  <c r="N19" i="42"/>
  <c r="T19" i="42" l="1"/>
  <c r="U19" i="42" s="1"/>
  <c r="V19" i="42" s="1"/>
  <c r="H102" i="41"/>
  <c r="N21" i="52" s="1"/>
  <c r="S21" i="52" s="1"/>
  <c r="T21" i="52" s="1"/>
  <c r="U21" i="52" s="1"/>
  <c r="N20" i="42"/>
  <c r="T20" i="42" l="1"/>
  <c r="U20" i="42" s="1"/>
  <c r="V20" i="42" s="1"/>
  <c r="H103" i="41"/>
  <c r="N22" i="52" s="1"/>
  <c r="S22" i="52" s="1"/>
  <c r="T22" i="52" s="1"/>
  <c r="U22" i="52" s="1"/>
  <c r="N21" i="42"/>
  <c r="T21" i="42" l="1"/>
  <c r="U21" i="42" s="1"/>
  <c r="V21" i="42" s="1"/>
  <c r="H104" i="41"/>
  <c r="N23" i="52" s="1"/>
  <c r="S23" i="52" s="1"/>
  <c r="T23" i="52" s="1"/>
  <c r="U23" i="52" s="1"/>
  <c r="N22" i="42"/>
  <c r="T22" i="42" l="1"/>
  <c r="U22" i="42" s="1"/>
  <c r="V22" i="42" s="1"/>
  <c r="H105" i="41"/>
  <c r="N24" i="52" s="1"/>
  <c r="S24" i="52" s="1"/>
  <c r="T24" i="52" s="1"/>
  <c r="U24" i="52" s="1"/>
  <c r="N23" i="42"/>
  <c r="T23" i="42" l="1"/>
  <c r="U23" i="42" s="1"/>
  <c r="V23" i="42" s="1"/>
  <c r="H106" i="41"/>
  <c r="N25" i="52" s="1"/>
  <c r="S25" i="52" s="1"/>
  <c r="T25" i="52" s="1"/>
  <c r="U25" i="52" s="1"/>
  <c r="N24" i="42"/>
  <c r="T24" i="42" l="1"/>
  <c r="U24" i="42" s="1"/>
  <c r="V24" i="42" s="1"/>
  <c r="H107" i="41"/>
  <c r="N26" i="52" s="1"/>
  <c r="N25" i="42"/>
  <c r="S26" i="52" l="1"/>
  <c r="T26" i="52" s="1"/>
  <c r="U26" i="52" s="1"/>
  <c r="R153" i="52"/>
  <c r="W153" i="42" s="1"/>
  <c r="X153" i="42" s="1"/>
  <c r="T25" i="42"/>
  <c r="U25" i="42" s="1"/>
  <c r="V25" i="42" s="1"/>
  <c r="J107" i="41"/>
  <c r="H8" i="41" s="1"/>
  <c r="I8" i="41" s="1"/>
  <c r="H108" i="41" s="1"/>
  <c r="N27" i="52" s="1"/>
  <c r="N26" i="42"/>
  <c r="T26" i="42" s="1"/>
  <c r="I107" i="41"/>
  <c r="K7" i="41" s="1"/>
  <c r="L7" i="41" s="1"/>
  <c r="S27" i="52" l="1"/>
  <c r="T27" i="52" s="1"/>
  <c r="U27" i="52" s="1"/>
  <c r="S153" i="52"/>
  <c r="T153" i="52" s="1"/>
  <c r="U153" i="52" s="1"/>
  <c r="E248" i="49"/>
  <c r="H109" i="41"/>
  <c r="N28" i="52" s="1"/>
  <c r="S28" i="52" s="1"/>
  <c r="T28" i="52" s="1"/>
  <c r="U28" i="52" s="1"/>
  <c r="N27" i="42"/>
  <c r="T27" i="42" s="1"/>
  <c r="U26" i="42"/>
  <c r="V26" i="42" s="1"/>
  <c r="S153" i="42"/>
  <c r="C248" i="49" s="1"/>
  <c r="T153" i="42" l="1"/>
  <c r="U153" i="42" s="1"/>
  <c r="V153" i="42" s="1"/>
  <c r="D248" i="49"/>
  <c r="U27" i="42"/>
  <c r="V27" i="42" s="1"/>
  <c r="H110" i="41"/>
  <c r="N29" i="52" s="1"/>
  <c r="S29" i="52" s="1"/>
  <c r="T29" i="52" s="1"/>
  <c r="U29" i="52" s="1"/>
  <c r="N28" i="42"/>
  <c r="F248" i="49" l="1"/>
  <c r="G248" i="49" s="1"/>
  <c r="T28" i="42"/>
  <c r="U28" i="42" s="1"/>
  <c r="V28" i="42" s="1"/>
  <c r="H111" i="41"/>
  <c r="N30" i="52" s="1"/>
  <c r="S30" i="52" s="1"/>
  <c r="T30" i="52" s="1"/>
  <c r="U30" i="52" s="1"/>
  <c r="N29" i="42"/>
  <c r="T29" i="42" l="1"/>
  <c r="U29" i="42" s="1"/>
  <c r="V29" i="42" s="1"/>
  <c r="H112" i="41"/>
  <c r="N31" i="52" s="1"/>
  <c r="S31" i="52" s="1"/>
  <c r="T31" i="52" s="1"/>
  <c r="U31" i="52" s="1"/>
  <c r="N30" i="42"/>
  <c r="T30" i="42" s="1"/>
  <c r="U30" i="42" l="1"/>
  <c r="V30" i="42" s="1"/>
  <c r="H113" i="41"/>
  <c r="N32" i="52" s="1"/>
  <c r="S32" i="52" s="1"/>
  <c r="T32" i="52" s="1"/>
  <c r="U32" i="52" s="1"/>
  <c r="N31" i="42"/>
  <c r="T31" i="42" l="1"/>
  <c r="U31" i="42" s="1"/>
  <c r="V31" i="42" s="1"/>
  <c r="N32" i="42"/>
  <c r="H114" i="41"/>
  <c r="N33" i="52" s="1"/>
  <c r="S33" i="52" s="1"/>
  <c r="T33" i="52" s="1"/>
  <c r="U33" i="52" s="1"/>
  <c r="T32" i="42" l="1"/>
  <c r="U32" i="42" s="1"/>
  <c r="V32" i="42" s="1"/>
  <c r="H115" i="41"/>
  <c r="N34" i="52" s="1"/>
  <c r="S34" i="52" s="1"/>
  <c r="T34" i="52" s="1"/>
  <c r="U34" i="52" s="1"/>
  <c r="N33" i="42"/>
  <c r="T33" i="42" l="1"/>
  <c r="U33" i="42" s="1"/>
  <c r="V33" i="42" s="1"/>
  <c r="H116" i="41"/>
  <c r="N35" i="52" s="1"/>
  <c r="S35" i="52" s="1"/>
  <c r="T35" i="52" s="1"/>
  <c r="U35" i="52" s="1"/>
  <c r="N34" i="42"/>
  <c r="T34" i="42" l="1"/>
  <c r="U34" i="42" s="1"/>
  <c r="V34" i="42" s="1"/>
  <c r="H117" i="41"/>
  <c r="N36" i="52" s="1"/>
  <c r="S36" i="52" s="1"/>
  <c r="T36" i="52" s="1"/>
  <c r="U36" i="52" s="1"/>
  <c r="N35" i="42"/>
  <c r="T35" i="42" l="1"/>
  <c r="U35" i="42" s="1"/>
  <c r="V35" i="42" s="1"/>
  <c r="H118" i="41"/>
  <c r="N37" i="52" s="1"/>
  <c r="S37" i="52" s="1"/>
  <c r="T37" i="52" s="1"/>
  <c r="U37" i="52" s="1"/>
  <c r="N36" i="42"/>
  <c r="T36" i="42" l="1"/>
  <c r="U36" i="42" s="1"/>
  <c r="V36" i="42" s="1"/>
  <c r="H119" i="41"/>
  <c r="N38" i="52" s="1"/>
  <c r="N37" i="42"/>
  <c r="S38" i="52" l="1"/>
  <c r="T38" i="52" s="1"/>
  <c r="U38" i="52" s="1"/>
  <c r="R154" i="52"/>
  <c r="W154" i="42" s="1"/>
  <c r="X154" i="42" s="1"/>
  <c r="T37" i="42"/>
  <c r="U37" i="42" s="1"/>
  <c r="V37" i="42" s="1"/>
  <c r="J119" i="41"/>
  <c r="H9" i="41" s="1"/>
  <c r="I9" i="41" s="1"/>
  <c r="H120" i="41" s="1"/>
  <c r="N39" i="52" s="1"/>
  <c r="N38" i="42"/>
  <c r="T38" i="42" s="1"/>
  <c r="I119" i="41"/>
  <c r="K8" i="41" s="1"/>
  <c r="L8" i="41" s="1"/>
  <c r="S39" i="52" l="1"/>
  <c r="T39" i="52" s="1"/>
  <c r="U39" i="52" s="1"/>
  <c r="S154" i="52"/>
  <c r="T154" i="52" s="1"/>
  <c r="U154" i="52" s="1"/>
  <c r="E249" i="49"/>
  <c r="H121" i="41"/>
  <c r="N40" i="52" s="1"/>
  <c r="S40" i="52" s="1"/>
  <c r="T40" i="52" s="1"/>
  <c r="U40" i="52" s="1"/>
  <c r="N39" i="42"/>
  <c r="T39" i="42" s="1"/>
  <c r="U38" i="42"/>
  <c r="V38" i="42" s="1"/>
  <c r="S154" i="42"/>
  <c r="C249" i="49" s="1"/>
  <c r="T154" i="42" l="1"/>
  <c r="U154" i="42" s="1"/>
  <c r="V154" i="42" s="1"/>
  <c r="D249" i="49"/>
  <c r="C6" i="9"/>
  <c r="D6" i="9" s="1"/>
  <c r="E6" i="9" s="1"/>
  <c r="B5" i="11"/>
  <c r="U39" i="42"/>
  <c r="V39" i="42" s="1"/>
  <c r="H122" i="41"/>
  <c r="N41" i="52" s="1"/>
  <c r="S41" i="52" s="1"/>
  <c r="T41" i="52" s="1"/>
  <c r="U41" i="52" s="1"/>
  <c r="N40" i="42"/>
  <c r="B6" i="11" l="1"/>
  <c r="P429" i="49"/>
  <c r="P430" i="49" s="1"/>
  <c r="F249" i="49"/>
  <c r="T40" i="42"/>
  <c r="U40" i="42" s="1"/>
  <c r="V40" i="42" s="1"/>
  <c r="H123" i="41"/>
  <c r="N42" i="52" s="1"/>
  <c r="S42" i="52" s="1"/>
  <c r="T42" i="52" s="1"/>
  <c r="U42" i="52" s="1"/>
  <c r="N41" i="42"/>
  <c r="M164" i="49" l="1"/>
  <c r="M198" i="49" s="1"/>
  <c r="L164" i="49"/>
  <c r="L198" i="49" s="1"/>
  <c r="K164" i="49"/>
  <c r="K198" i="49" s="1"/>
  <c r="G249" i="49"/>
  <c r="J54" i="49"/>
  <c r="J86" i="49" s="1"/>
  <c r="K54" i="49"/>
  <c r="K86" i="49" s="1"/>
  <c r="I54" i="49"/>
  <c r="I86" i="49" s="1"/>
  <c r="G164" i="49"/>
  <c r="G198" i="49" s="1"/>
  <c r="D109" i="49"/>
  <c r="D141" i="49" s="1"/>
  <c r="E109" i="49"/>
  <c r="E141" i="49" s="1"/>
  <c r="G109" i="49"/>
  <c r="G141" i="49" s="1"/>
  <c r="E54" i="49"/>
  <c r="E86" i="49" s="1"/>
  <c r="C109" i="49"/>
  <c r="C141" i="49" s="1"/>
  <c r="H164" i="49"/>
  <c r="H198" i="49" s="1"/>
  <c r="D54" i="49"/>
  <c r="D86" i="49" s="1"/>
  <c r="D164" i="49"/>
  <c r="D198" i="49" s="1"/>
  <c r="H109" i="49"/>
  <c r="H141" i="49" s="1"/>
  <c r="D30" i="49"/>
  <c r="E164" i="49"/>
  <c r="E198" i="49" s="1"/>
  <c r="B164" i="49"/>
  <c r="B54" i="49"/>
  <c r="I164" i="49"/>
  <c r="I198" i="49" s="1"/>
  <c r="J164" i="49"/>
  <c r="J198" i="49" s="1"/>
  <c r="C164" i="49"/>
  <c r="C198" i="49" s="1"/>
  <c r="C54" i="49"/>
  <c r="C86" i="49" s="1"/>
  <c r="G54" i="49"/>
  <c r="G86" i="49" s="1"/>
  <c r="H54" i="49"/>
  <c r="H86" i="49" s="1"/>
  <c r="F164" i="49"/>
  <c r="F198" i="49" s="1"/>
  <c r="F109" i="49"/>
  <c r="F141" i="49" s="1"/>
  <c r="B109" i="49"/>
  <c r="B141" i="49" s="1"/>
  <c r="I109" i="49"/>
  <c r="I141" i="49" s="1"/>
  <c r="F54" i="49"/>
  <c r="F86" i="49" s="1"/>
  <c r="T41" i="42"/>
  <c r="U41" i="42" s="1"/>
  <c r="V41" i="42" s="1"/>
  <c r="H124" i="41"/>
  <c r="N43" i="52" s="1"/>
  <c r="S43" i="52" s="1"/>
  <c r="T43" i="52" s="1"/>
  <c r="U43" i="52" s="1"/>
  <c r="N42" i="42"/>
  <c r="B198" i="49" l="1"/>
  <c r="N164" i="49"/>
  <c r="B86" i="49"/>
  <c r="L54" i="49"/>
  <c r="J109" i="49"/>
  <c r="T42" i="42"/>
  <c r="U42" i="42" s="1"/>
  <c r="V42" i="42" s="1"/>
  <c r="H125" i="41"/>
  <c r="N44" i="52" s="1"/>
  <c r="S44" i="52" s="1"/>
  <c r="T44" i="52" s="1"/>
  <c r="U44" i="52" s="1"/>
  <c r="N43" i="42"/>
  <c r="T43" i="42" l="1"/>
  <c r="U43" i="42" s="1"/>
  <c r="V43" i="42" s="1"/>
  <c r="H126" i="41"/>
  <c r="N45" i="52" s="1"/>
  <c r="S45" i="52" s="1"/>
  <c r="T45" i="52" s="1"/>
  <c r="U45" i="52" s="1"/>
  <c r="N44" i="42"/>
  <c r="T44" i="42" l="1"/>
  <c r="U44" i="42" s="1"/>
  <c r="V44" i="42" s="1"/>
  <c r="H127" i="41"/>
  <c r="N46" i="52" s="1"/>
  <c r="S46" i="52" s="1"/>
  <c r="T46" i="52" s="1"/>
  <c r="U46" i="52" s="1"/>
  <c r="N45" i="42"/>
  <c r="T45" i="42" l="1"/>
  <c r="U45" i="42" s="1"/>
  <c r="V45" i="42" s="1"/>
  <c r="N46" i="42"/>
  <c r="H128" i="41"/>
  <c r="N47" i="52" s="1"/>
  <c r="S47" i="52" s="1"/>
  <c r="T47" i="52" s="1"/>
  <c r="U47" i="52" s="1"/>
  <c r="T46" i="42" l="1"/>
  <c r="U46" i="42" s="1"/>
  <c r="V46" i="42" s="1"/>
  <c r="H129" i="41"/>
  <c r="N48" i="52" s="1"/>
  <c r="S48" i="52" s="1"/>
  <c r="T48" i="52" s="1"/>
  <c r="U48" i="52" s="1"/>
  <c r="N47" i="42"/>
  <c r="T47" i="42" l="1"/>
  <c r="U47" i="42" s="1"/>
  <c r="V47" i="42" s="1"/>
  <c r="H130" i="41"/>
  <c r="N49" i="52" s="1"/>
  <c r="S49" i="52" s="1"/>
  <c r="T49" i="52" s="1"/>
  <c r="U49" i="52" s="1"/>
  <c r="N48" i="42"/>
  <c r="T48" i="42" l="1"/>
  <c r="U48" i="42" s="1"/>
  <c r="V48" i="42" s="1"/>
  <c r="H131" i="41"/>
  <c r="N50" i="52" s="1"/>
  <c r="N49" i="42"/>
  <c r="S50" i="52" l="1"/>
  <c r="T50" i="52" s="1"/>
  <c r="U50" i="52" s="1"/>
  <c r="R155" i="52"/>
  <c r="W155" i="42" s="1"/>
  <c r="X155" i="42" s="1"/>
  <c r="T49" i="42"/>
  <c r="U49" i="42" s="1"/>
  <c r="V49" i="42" s="1"/>
  <c r="J131" i="41"/>
  <c r="H10" i="41" s="1"/>
  <c r="I10" i="41" s="1"/>
  <c r="H132" i="41" s="1"/>
  <c r="N51" i="52" s="1"/>
  <c r="N50" i="42"/>
  <c r="T50" i="42" s="1"/>
  <c r="I131" i="41"/>
  <c r="K9" i="41" s="1"/>
  <c r="L9" i="41" s="1"/>
  <c r="E250" i="49" l="1"/>
  <c r="S155" i="52"/>
  <c r="T155" i="52" s="1"/>
  <c r="U155" i="52" s="1"/>
  <c r="S51" i="52"/>
  <c r="T51" i="52" s="1"/>
  <c r="U51" i="52" s="1"/>
  <c r="H133" i="41"/>
  <c r="N52" i="52" s="1"/>
  <c r="S52" i="52" s="1"/>
  <c r="T52" i="52" s="1"/>
  <c r="U52" i="52" s="1"/>
  <c r="N51" i="42"/>
  <c r="T51" i="42" s="1"/>
  <c r="U50" i="42"/>
  <c r="V50" i="42" s="1"/>
  <c r="S155" i="42"/>
  <c r="C250" i="49" s="1"/>
  <c r="T155" i="42" l="1"/>
  <c r="U155" i="42" s="1"/>
  <c r="V155" i="42" s="1"/>
  <c r="D250" i="49"/>
  <c r="C7" i="9"/>
  <c r="D7" i="9" s="1"/>
  <c r="E7" i="9" s="1"/>
  <c r="C5" i="11"/>
  <c r="H134" i="41"/>
  <c r="N53" i="52" s="1"/>
  <c r="S53" i="52" s="1"/>
  <c r="T53" i="52" s="1"/>
  <c r="U53" i="52" s="1"/>
  <c r="N52" i="42"/>
  <c r="U51" i="42"/>
  <c r="V51" i="42" s="1"/>
  <c r="C6" i="11" l="1"/>
  <c r="Q429" i="49"/>
  <c r="Q430" i="49" s="1"/>
  <c r="F250" i="49"/>
  <c r="T52" i="42"/>
  <c r="U52" i="42" s="1"/>
  <c r="V52" i="42" s="1"/>
  <c r="H135" i="41"/>
  <c r="N54" i="52" s="1"/>
  <c r="S54" i="52" s="1"/>
  <c r="T54" i="52" s="1"/>
  <c r="U54" i="52" s="1"/>
  <c r="N53" i="42"/>
  <c r="M165" i="49" l="1"/>
  <c r="M199" i="49" s="1"/>
  <c r="L165" i="49"/>
  <c r="L199" i="49" s="1"/>
  <c r="K165" i="49"/>
  <c r="K199" i="49" s="1"/>
  <c r="K55" i="49"/>
  <c r="J55" i="49"/>
  <c r="I55" i="49"/>
  <c r="I87" i="49" s="1"/>
  <c r="G250" i="49"/>
  <c r="D31" i="49"/>
  <c r="E31" i="49" s="1"/>
  <c r="G165" i="49"/>
  <c r="G199" i="49" s="1"/>
  <c r="B110" i="49"/>
  <c r="B142" i="49" s="1"/>
  <c r="I165" i="49"/>
  <c r="I199" i="49" s="1"/>
  <c r="I110" i="49"/>
  <c r="I142" i="49" s="1"/>
  <c r="D110" i="49"/>
  <c r="D142" i="49" s="1"/>
  <c r="G55" i="49"/>
  <c r="G87" i="49" s="1"/>
  <c r="G110" i="49"/>
  <c r="G142" i="49" s="1"/>
  <c r="C110" i="49"/>
  <c r="C142" i="49" s="1"/>
  <c r="E110" i="49"/>
  <c r="E142" i="49" s="1"/>
  <c r="H165" i="49"/>
  <c r="H199" i="49" s="1"/>
  <c r="D55" i="49"/>
  <c r="D165" i="49"/>
  <c r="D199" i="49" s="1"/>
  <c r="E55" i="49"/>
  <c r="E165" i="49"/>
  <c r="E199" i="49" s="1"/>
  <c r="J165" i="49"/>
  <c r="J199" i="49" s="1"/>
  <c r="F165" i="49"/>
  <c r="F199" i="49" s="1"/>
  <c r="F55" i="49"/>
  <c r="F87" i="49" s="1"/>
  <c r="H55" i="49"/>
  <c r="H87" i="49" s="1"/>
  <c r="H110" i="49"/>
  <c r="H142" i="49" s="1"/>
  <c r="C55" i="49"/>
  <c r="C87" i="49" s="1"/>
  <c r="B55" i="49"/>
  <c r="B165" i="49"/>
  <c r="C165" i="49"/>
  <c r="C199" i="49" s="1"/>
  <c r="F110" i="49"/>
  <c r="F142" i="49" s="1"/>
  <c r="T53" i="42"/>
  <c r="U53" i="42" s="1"/>
  <c r="V53" i="42" s="1"/>
  <c r="H136" i="41"/>
  <c r="N55" i="52" s="1"/>
  <c r="S55" i="52" s="1"/>
  <c r="T55" i="52" s="1"/>
  <c r="U55" i="52" s="1"/>
  <c r="N54" i="42"/>
  <c r="B199" i="49" l="1"/>
  <c r="N165" i="49"/>
  <c r="E87" i="49"/>
  <c r="E56" i="49"/>
  <c r="E88" i="49" s="1"/>
  <c r="D87" i="49"/>
  <c r="D56" i="49"/>
  <c r="J87" i="49"/>
  <c r="J56" i="49"/>
  <c r="J88" i="49" s="1"/>
  <c r="I56" i="49"/>
  <c r="I88" i="49" s="1"/>
  <c r="B87" i="49"/>
  <c r="L55" i="49"/>
  <c r="K87" i="49"/>
  <c r="K56" i="49"/>
  <c r="K88" i="49" s="1"/>
  <c r="J110" i="49"/>
  <c r="T54" i="42"/>
  <c r="U54" i="42" s="1"/>
  <c r="V54" i="42" s="1"/>
  <c r="H137" i="41"/>
  <c r="N56" i="52" s="1"/>
  <c r="S56" i="52" s="1"/>
  <c r="T56" i="52" s="1"/>
  <c r="U56" i="52" s="1"/>
  <c r="N55" i="42"/>
  <c r="L56" i="49" l="1"/>
  <c r="D88" i="49"/>
  <c r="T55" i="42"/>
  <c r="U55" i="42" s="1"/>
  <c r="V55" i="42" s="1"/>
  <c r="H138" i="41"/>
  <c r="N57" i="52" s="1"/>
  <c r="S57" i="52" s="1"/>
  <c r="T57" i="52" s="1"/>
  <c r="U57" i="52" s="1"/>
  <c r="N56" i="42"/>
  <c r="T56" i="42" l="1"/>
  <c r="U56" i="42" s="1"/>
  <c r="V56" i="42" s="1"/>
  <c r="H139" i="41"/>
  <c r="N58" i="52" s="1"/>
  <c r="S58" i="52" s="1"/>
  <c r="T58" i="52" s="1"/>
  <c r="U58" i="52" s="1"/>
  <c r="N57" i="42"/>
  <c r="T57" i="42" l="1"/>
  <c r="U57" i="42" s="1"/>
  <c r="V57" i="42" s="1"/>
  <c r="H140" i="41"/>
  <c r="N59" i="52" s="1"/>
  <c r="S59" i="52" s="1"/>
  <c r="T59" i="52" s="1"/>
  <c r="U59" i="52" s="1"/>
  <c r="N58" i="42"/>
  <c r="T58" i="42" l="1"/>
  <c r="U58" i="42" s="1"/>
  <c r="V58" i="42" s="1"/>
  <c r="H141" i="41"/>
  <c r="N60" i="52" s="1"/>
  <c r="S60" i="52" s="1"/>
  <c r="T60" i="52" s="1"/>
  <c r="U60" i="52" s="1"/>
  <c r="N59" i="42"/>
  <c r="T59" i="42" l="1"/>
  <c r="U59" i="42" s="1"/>
  <c r="V59" i="42" s="1"/>
  <c r="H142" i="41"/>
  <c r="N61" i="52" s="1"/>
  <c r="S61" i="52" s="1"/>
  <c r="T61" i="52" s="1"/>
  <c r="U61" i="52" s="1"/>
  <c r="N60" i="42"/>
  <c r="T60" i="42" l="1"/>
  <c r="U60" i="42" s="1"/>
  <c r="V60" i="42" s="1"/>
  <c r="H143" i="41"/>
  <c r="N62" i="52" s="1"/>
  <c r="N61" i="42"/>
  <c r="S62" i="52" l="1"/>
  <c r="T62" i="52" s="1"/>
  <c r="U62" i="52" s="1"/>
  <c r="R156" i="52"/>
  <c r="W156" i="42" s="1"/>
  <c r="X156" i="42" s="1"/>
  <c r="T61" i="42"/>
  <c r="U61" i="42" s="1"/>
  <c r="V61" i="42" s="1"/>
  <c r="J143" i="41"/>
  <c r="H11" i="41" s="1"/>
  <c r="I11" i="41" s="1"/>
  <c r="H144" i="41" s="1"/>
  <c r="N63" i="52" s="1"/>
  <c r="N62" i="42"/>
  <c r="T62" i="42" s="1"/>
  <c r="I143" i="41"/>
  <c r="K10" i="41" s="1"/>
  <c r="L10" i="41" s="1"/>
  <c r="S63" i="52" l="1"/>
  <c r="T63" i="52" s="1"/>
  <c r="U63" i="52" s="1"/>
  <c r="E251" i="49"/>
  <c r="S156" i="52"/>
  <c r="T156" i="52" s="1"/>
  <c r="U156" i="52" s="1"/>
  <c r="H145" i="41"/>
  <c r="N64" i="52" s="1"/>
  <c r="S64" i="52" s="1"/>
  <c r="T64" i="52" s="1"/>
  <c r="U64" i="52" s="1"/>
  <c r="N63" i="42"/>
  <c r="T63" i="42" s="1"/>
  <c r="U62" i="42"/>
  <c r="V62" i="42" s="1"/>
  <c r="S156" i="42"/>
  <c r="C251" i="49" s="1"/>
  <c r="T156" i="42" l="1"/>
  <c r="U156" i="42" s="1"/>
  <c r="V156" i="42" s="1"/>
  <c r="C8" i="9"/>
  <c r="D8" i="9" s="1"/>
  <c r="E8" i="9" s="1"/>
  <c r="D5" i="11"/>
  <c r="H146" i="41"/>
  <c r="N65" i="52" s="1"/>
  <c r="S65" i="52" s="1"/>
  <c r="T65" i="52" s="1"/>
  <c r="U65" i="52" s="1"/>
  <c r="N64" i="42"/>
  <c r="U63" i="42"/>
  <c r="V63" i="42" s="1"/>
  <c r="D6" i="11" l="1"/>
  <c r="R429" i="49"/>
  <c r="R430" i="49" s="1"/>
  <c r="T64" i="42"/>
  <c r="U64" i="42" s="1"/>
  <c r="V64" i="42" s="1"/>
  <c r="D251" i="49"/>
  <c r="F251" i="49"/>
  <c r="H147" i="41"/>
  <c r="N66" i="52" s="1"/>
  <c r="S66" i="52" s="1"/>
  <c r="T66" i="52" s="1"/>
  <c r="U66" i="52" s="1"/>
  <c r="N65" i="42"/>
  <c r="M166" i="49" l="1"/>
  <c r="M200" i="49" s="1"/>
  <c r="L166" i="49"/>
  <c r="L200" i="49" s="1"/>
  <c r="K166" i="49"/>
  <c r="K200" i="49" s="1"/>
  <c r="J57" i="49"/>
  <c r="J89" i="49" s="1"/>
  <c r="K57" i="49"/>
  <c r="K89" i="49" s="1"/>
  <c r="I57" i="49"/>
  <c r="I89" i="49" s="1"/>
  <c r="G251" i="49"/>
  <c r="D32" i="49"/>
  <c r="E32" i="49" s="1"/>
  <c r="T65" i="42"/>
  <c r="U65" i="42" s="1"/>
  <c r="V65" i="42" s="1"/>
  <c r="E166" i="49"/>
  <c r="E200" i="49" s="1"/>
  <c r="C166" i="49"/>
  <c r="C200" i="49" s="1"/>
  <c r="E111" i="49"/>
  <c r="E143" i="49" s="1"/>
  <c r="G57" i="49"/>
  <c r="G89" i="49" s="1"/>
  <c r="J166" i="49"/>
  <c r="J200" i="49" s="1"/>
  <c r="D166" i="49"/>
  <c r="D200" i="49" s="1"/>
  <c r="C111" i="49"/>
  <c r="C143" i="49" s="1"/>
  <c r="I111" i="49"/>
  <c r="I143" i="49" s="1"/>
  <c r="H57" i="49"/>
  <c r="H89" i="49" s="1"/>
  <c r="B166" i="49"/>
  <c r="F111" i="49"/>
  <c r="F143" i="49" s="1"/>
  <c r="D111" i="49"/>
  <c r="D143" i="49" s="1"/>
  <c r="F57" i="49"/>
  <c r="F89" i="49" s="1"/>
  <c r="C57" i="49"/>
  <c r="C89" i="49" s="1"/>
  <c r="F166" i="49"/>
  <c r="F200" i="49" s="1"/>
  <c r="G166" i="49"/>
  <c r="G200" i="49" s="1"/>
  <c r="I166" i="49"/>
  <c r="I200" i="49" s="1"/>
  <c r="H111" i="49"/>
  <c r="H143" i="49" s="1"/>
  <c r="B111" i="49"/>
  <c r="B57" i="49"/>
  <c r="D57" i="49"/>
  <c r="D89" i="49" s="1"/>
  <c r="H166" i="49"/>
  <c r="H200" i="49" s="1"/>
  <c r="G111" i="49"/>
  <c r="G143" i="49" s="1"/>
  <c r="E57" i="49"/>
  <c r="E89" i="49" s="1"/>
  <c r="H148" i="41"/>
  <c r="N67" i="52" s="1"/>
  <c r="S67" i="52" s="1"/>
  <c r="T67" i="52" s="1"/>
  <c r="U67" i="52" s="1"/>
  <c r="N66" i="42"/>
  <c r="N166" i="49" l="1"/>
  <c r="L57" i="49"/>
  <c r="B89" i="49"/>
  <c r="B143" i="49"/>
  <c r="J111" i="49"/>
  <c r="T66" i="42"/>
  <c r="U66" i="42" s="1"/>
  <c r="V66" i="42" s="1"/>
  <c r="B200" i="49"/>
  <c r="H149" i="41"/>
  <c r="N68" i="52" s="1"/>
  <c r="S68" i="52" s="1"/>
  <c r="T68" i="52" s="1"/>
  <c r="U68" i="52" s="1"/>
  <c r="N67" i="42"/>
  <c r="T67" i="42" l="1"/>
  <c r="U67" i="42" s="1"/>
  <c r="V67" i="42" s="1"/>
  <c r="H150" i="41"/>
  <c r="N69" i="52" s="1"/>
  <c r="S69" i="52" s="1"/>
  <c r="T69" i="52" s="1"/>
  <c r="U69" i="52" s="1"/>
  <c r="N68" i="42"/>
  <c r="T68" i="42" l="1"/>
  <c r="U68" i="42" s="1"/>
  <c r="V68" i="42" s="1"/>
  <c r="H151" i="41"/>
  <c r="N70" i="52" s="1"/>
  <c r="S70" i="52" s="1"/>
  <c r="T70" i="52" s="1"/>
  <c r="U70" i="52" s="1"/>
  <c r="N69" i="42"/>
  <c r="T69" i="42" l="1"/>
  <c r="U69" i="42" s="1"/>
  <c r="V69" i="42" s="1"/>
  <c r="H152" i="41"/>
  <c r="N71" i="52" s="1"/>
  <c r="S71" i="52" s="1"/>
  <c r="T71" i="52" s="1"/>
  <c r="U71" i="52" s="1"/>
  <c r="N70" i="42"/>
  <c r="T70" i="42" l="1"/>
  <c r="U70" i="42" s="1"/>
  <c r="V70" i="42" s="1"/>
  <c r="H153" i="41"/>
  <c r="N72" i="52" s="1"/>
  <c r="S72" i="52" s="1"/>
  <c r="T72" i="52" s="1"/>
  <c r="U72" i="52" s="1"/>
  <c r="N71" i="42"/>
  <c r="T71" i="42" l="1"/>
  <c r="U71" i="42" s="1"/>
  <c r="V71" i="42" s="1"/>
  <c r="H154" i="41"/>
  <c r="N73" i="52" s="1"/>
  <c r="S73" i="52" s="1"/>
  <c r="T73" i="52" s="1"/>
  <c r="U73" i="52" s="1"/>
  <c r="N72" i="42"/>
  <c r="T72" i="42" l="1"/>
  <c r="U72" i="42" s="1"/>
  <c r="V72" i="42" s="1"/>
  <c r="H155" i="41"/>
  <c r="N74" i="52" s="1"/>
  <c r="N73" i="42"/>
  <c r="S74" i="52" l="1"/>
  <c r="T74" i="52" s="1"/>
  <c r="U74" i="52" s="1"/>
  <c r="R157" i="52"/>
  <c r="W157" i="42" s="1"/>
  <c r="X157" i="42" s="1"/>
  <c r="T73" i="42"/>
  <c r="U73" i="42" s="1"/>
  <c r="V73" i="42" s="1"/>
  <c r="J155" i="41"/>
  <c r="H12" i="41" s="1"/>
  <c r="I12" i="41" s="1"/>
  <c r="H156" i="41" s="1"/>
  <c r="N75" i="52" s="1"/>
  <c r="N74" i="42"/>
  <c r="T74" i="42" s="1"/>
  <c r="I155" i="41"/>
  <c r="K11" i="41" s="1"/>
  <c r="L11" i="41" s="1"/>
  <c r="S75" i="52" l="1"/>
  <c r="T75" i="52" s="1"/>
  <c r="U75" i="52" s="1"/>
  <c r="E252" i="49"/>
  <c r="S157" i="52"/>
  <c r="T157" i="52" s="1"/>
  <c r="U157" i="52" s="1"/>
  <c r="H157" i="41"/>
  <c r="N76" i="52" s="1"/>
  <c r="S76" i="52" s="1"/>
  <c r="T76" i="52" s="1"/>
  <c r="U76" i="52" s="1"/>
  <c r="N75" i="42"/>
  <c r="T75" i="42" s="1"/>
  <c r="U74" i="42"/>
  <c r="V74" i="42" s="1"/>
  <c r="S157" i="42"/>
  <c r="C252" i="49" s="1"/>
  <c r="T157" i="42" l="1"/>
  <c r="U157" i="42" s="1"/>
  <c r="V157" i="42" s="1"/>
  <c r="C9" i="9"/>
  <c r="D9" i="9" s="1"/>
  <c r="E9" i="9" s="1"/>
  <c r="E5" i="11"/>
  <c r="H158" i="41"/>
  <c r="N77" i="52" s="1"/>
  <c r="S77" i="52" s="1"/>
  <c r="T77" i="52" s="1"/>
  <c r="U77" i="52" s="1"/>
  <c r="N76" i="42"/>
  <c r="U75" i="42"/>
  <c r="V75" i="42" s="1"/>
  <c r="E6" i="11" l="1"/>
  <c r="S429" i="49"/>
  <c r="S430" i="49" s="1"/>
  <c r="T76" i="42"/>
  <c r="U76" i="42" s="1"/>
  <c r="V76" i="42" s="1"/>
  <c r="D252" i="49"/>
  <c r="F252" i="49"/>
  <c r="H159" i="41"/>
  <c r="N78" i="52" s="1"/>
  <c r="S78" i="52" s="1"/>
  <c r="T78" i="52" s="1"/>
  <c r="U78" i="52" s="1"/>
  <c r="N77" i="42"/>
  <c r="M167" i="49" l="1"/>
  <c r="M201" i="49" s="1"/>
  <c r="L167" i="49"/>
  <c r="L201" i="49" s="1"/>
  <c r="K167" i="49"/>
  <c r="K201" i="49" s="1"/>
  <c r="J58" i="49"/>
  <c r="K58" i="49"/>
  <c r="K90" i="49" s="1"/>
  <c r="I58" i="49"/>
  <c r="I90" i="49" s="1"/>
  <c r="G252" i="49"/>
  <c r="D33" i="49"/>
  <c r="E33" i="49" s="1"/>
  <c r="T77" i="42"/>
  <c r="U77" i="42" s="1"/>
  <c r="V77" i="42" s="1"/>
  <c r="I167" i="49"/>
  <c r="I201" i="49" s="1"/>
  <c r="E167" i="49"/>
  <c r="E201" i="49" s="1"/>
  <c r="I112" i="49"/>
  <c r="I144" i="49" s="1"/>
  <c r="E58" i="49"/>
  <c r="E90" i="49" s="1"/>
  <c r="D58" i="49"/>
  <c r="F167" i="49"/>
  <c r="F201" i="49" s="1"/>
  <c r="C167" i="49"/>
  <c r="C201" i="49" s="1"/>
  <c r="F112" i="49"/>
  <c r="F144" i="49" s="1"/>
  <c r="J167" i="49"/>
  <c r="J201" i="49" s="1"/>
  <c r="G167" i="49"/>
  <c r="G201" i="49" s="1"/>
  <c r="H112" i="49"/>
  <c r="H144" i="49" s="1"/>
  <c r="H58" i="49"/>
  <c r="H90" i="49" s="1"/>
  <c r="B167" i="49"/>
  <c r="D167" i="49"/>
  <c r="D201" i="49" s="1"/>
  <c r="B112" i="49"/>
  <c r="C112" i="49"/>
  <c r="C144" i="49" s="1"/>
  <c r="D112" i="49"/>
  <c r="D144" i="49" s="1"/>
  <c r="F58" i="49"/>
  <c r="F90" i="49" s="1"/>
  <c r="B58" i="49"/>
  <c r="E112" i="49"/>
  <c r="E144" i="49" s="1"/>
  <c r="C58" i="49"/>
  <c r="H167" i="49"/>
  <c r="H201" i="49" s="1"/>
  <c r="G112" i="49"/>
  <c r="G144" i="49" s="1"/>
  <c r="G58" i="49"/>
  <c r="G90" i="49" s="1"/>
  <c r="H160" i="41"/>
  <c r="N79" i="52" s="1"/>
  <c r="S79" i="52" s="1"/>
  <c r="T79" i="52" s="1"/>
  <c r="U79" i="52" s="1"/>
  <c r="N78" i="42"/>
  <c r="N167" i="49" l="1"/>
  <c r="L58" i="49"/>
  <c r="J90" i="49"/>
  <c r="B201" i="49"/>
  <c r="T78" i="42"/>
  <c r="U78" i="42" s="1"/>
  <c r="V78" i="42" s="1"/>
  <c r="C90" i="49"/>
  <c r="B90" i="49"/>
  <c r="B144" i="49"/>
  <c r="J112" i="49"/>
  <c r="D90" i="49"/>
  <c r="H161" i="41"/>
  <c r="N80" i="52" s="1"/>
  <c r="S80" i="52" s="1"/>
  <c r="T80" i="52" s="1"/>
  <c r="U80" i="52" s="1"/>
  <c r="N79" i="42"/>
  <c r="T79" i="42" l="1"/>
  <c r="U79" i="42" s="1"/>
  <c r="V79" i="42" s="1"/>
  <c r="H162" i="41"/>
  <c r="N81" i="52" s="1"/>
  <c r="S81" i="52" s="1"/>
  <c r="T81" i="52" s="1"/>
  <c r="U81" i="52" s="1"/>
  <c r="N80" i="42"/>
  <c r="T80" i="42" l="1"/>
  <c r="U80" i="42" s="1"/>
  <c r="V80" i="42" s="1"/>
  <c r="H163" i="41"/>
  <c r="N82" i="52" s="1"/>
  <c r="S82" i="52" s="1"/>
  <c r="T82" i="52" s="1"/>
  <c r="U82" i="52" s="1"/>
  <c r="N81" i="42"/>
  <c r="T81" i="42" l="1"/>
  <c r="U81" i="42" s="1"/>
  <c r="V81" i="42" s="1"/>
  <c r="H164" i="41"/>
  <c r="N83" i="52" s="1"/>
  <c r="S83" i="52" s="1"/>
  <c r="T83" i="52" s="1"/>
  <c r="U83" i="52" s="1"/>
  <c r="N82" i="42"/>
  <c r="T82" i="42" l="1"/>
  <c r="U82" i="42" s="1"/>
  <c r="V82" i="42" s="1"/>
  <c r="H165" i="41"/>
  <c r="N84" i="52" s="1"/>
  <c r="S84" i="52" s="1"/>
  <c r="T84" i="52" s="1"/>
  <c r="U84" i="52" s="1"/>
  <c r="N83" i="42"/>
  <c r="T83" i="42" l="1"/>
  <c r="U83" i="42" s="1"/>
  <c r="V83" i="42" s="1"/>
  <c r="H166" i="41"/>
  <c r="N85" i="52" s="1"/>
  <c r="S85" i="52" s="1"/>
  <c r="T85" i="52" s="1"/>
  <c r="U85" i="52" s="1"/>
  <c r="N84" i="42"/>
  <c r="T84" i="42" l="1"/>
  <c r="U84" i="42" s="1"/>
  <c r="V84" i="42" s="1"/>
  <c r="H167" i="41"/>
  <c r="N86" i="52" s="1"/>
  <c r="N85" i="42"/>
  <c r="S86" i="52" l="1"/>
  <c r="T86" i="52" s="1"/>
  <c r="U86" i="52" s="1"/>
  <c r="R158" i="52"/>
  <c r="W158" i="42" s="1"/>
  <c r="X158" i="42" s="1"/>
  <c r="T85" i="42"/>
  <c r="U85" i="42" s="1"/>
  <c r="V85" i="42" s="1"/>
  <c r="J167" i="41"/>
  <c r="H13" i="41" s="1"/>
  <c r="I13" i="41" s="1"/>
  <c r="H168" i="41" s="1"/>
  <c r="N87" i="52" s="1"/>
  <c r="N86" i="42"/>
  <c r="T86" i="42" s="1"/>
  <c r="I167" i="41"/>
  <c r="K12" i="41" s="1"/>
  <c r="L12" i="41" s="1"/>
  <c r="S87" i="52" l="1"/>
  <c r="T87" i="52" s="1"/>
  <c r="U87" i="52" s="1"/>
  <c r="S158" i="52"/>
  <c r="T158" i="52" s="1"/>
  <c r="U158" i="52" s="1"/>
  <c r="E253" i="49"/>
  <c r="H169" i="41"/>
  <c r="N88" i="52" s="1"/>
  <c r="S88" i="52" s="1"/>
  <c r="T88" i="52" s="1"/>
  <c r="U88" i="52" s="1"/>
  <c r="N87" i="42"/>
  <c r="T87" i="42" s="1"/>
  <c r="U86" i="42"/>
  <c r="V86" i="42" s="1"/>
  <c r="S158" i="42"/>
  <c r="C253" i="49" s="1"/>
  <c r="T158" i="42" l="1"/>
  <c r="U158" i="42" s="1"/>
  <c r="V158" i="42" s="1"/>
  <c r="C10" i="9"/>
  <c r="D10" i="9" s="1"/>
  <c r="E10" i="9" s="1"/>
  <c r="F5" i="11"/>
  <c r="H170" i="41"/>
  <c r="N89" i="52" s="1"/>
  <c r="S89" i="52" s="1"/>
  <c r="T89" i="52" s="1"/>
  <c r="U89" i="52" s="1"/>
  <c r="N88" i="42"/>
  <c r="U87" i="42"/>
  <c r="V87" i="42" s="1"/>
  <c r="F6" i="11" l="1"/>
  <c r="T429" i="49"/>
  <c r="T430" i="49" s="1"/>
  <c r="T88" i="42"/>
  <c r="U88" i="42" s="1"/>
  <c r="V88" i="42" s="1"/>
  <c r="D253" i="49"/>
  <c r="F253" i="49"/>
  <c r="H171" i="41"/>
  <c r="N90" i="52" s="1"/>
  <c r="S90" i="52" s="1"/>
  <c r="T90" i="52" s="1"/>
  <c r="U90" i="52" s="1"/>
  <c r="N89" i="42"/>
  <c r="AN528" i="49" l="1"/>
  <c r="AM578" i="49"/>
  <c r="M168" i="49"/>
  <c r="M202" i="49" s="1"/>
  <c r="L168" i="49"/>
  <c r="L202" i="49" s="1"/>
  <c r="K168" i="49"/>
  <c r="K202" i="49" s="1"/>
  <c r="K59" i="49"/>
  <c r="K91" i="49" s="1"/>
  <c r="J59" i="49"/>
  <c r="J91" i="49" s="1"/>
  <c r="I59" i="49"/>
  <c r="I91" i="49" s="1"/>
  <c r="G253" i="49"/>
  <c r="D34" i="49"/>
  <c r="E34" i="49" s="1"/>
  <c r="T89" i="42"/>
  <c r="U89" i="42" s="1"/>
  <c r="V89" i="42" s="1"/>
  <c r="H168" i="49"/>
  <c r="H202" i="49" s="1"/>
  <c r="I168" i="49"/>
  <c r="I202" i="49" s="1"/>
  <c r="D113" i="49"/>
  <c r="D145" i="49" s="1"/>
  <c r="B113" i="49"/>
  <c r="F59" i="49"/>
  <c r="F91" i="49" s="1"/>
  <c r="C59" i="49"/>
  <c r="C91" i="49" s="1"/>
  <c r="J168" i="49"/>
  <c r="J202" i="49" s="1"/>
  <c r="E113" i="49"/>
  <c r="E145" i="49" s="1"/>
  <c r="B59" i="49"/>
  <c r="B168" i="49"/>
  <c r="E168" i="49"/>
  <c r="E202" i="49" s="1"/>
  <c r="I113" i="49"/>
  <c r="I145" i="49" s="1"/>
  <c r="G59" i="49"/>
  <c r="G91" i="49" s="1"/>
  <c r="H59" i="49"/>
  <c r="H91" i="49" s="1"/>
  <c r="F168" i="49"/>
  <c r="F202" i="49" s="1"/>
  <c r="C168" i="49"/>
  <c r="C202" i="49" s="1"/>
  <c r="H113" i="49"/>
  <c r="H145" i="49" s="1"/>
  <c r="C113" i="49"/>
  <c r="C145" i="49" s="1"/>
  <c r="F113" i="49"/>
  <c r="F145" i="49" s="1"/>
  <c r="E59" i="49"/>
  <c r="E91" i="49" s="1"/>
  <c r="D59" i="49"/>
  <c r="D91" i="49" s="1"/>
  <c r="D168" i="49"/>
  <c r="D202" i="49" s="1"/>
  <c r="G168" i="49"/>
  <c r="G202" i="49" s="1"/>
  <c r="G113" i="49"/>
  <c r="G145" i="49" s="1"/>
  <c r="H172" i="41"/>
  <c r="N91" i="52" s="1"/>
  <c r="S91" i="52" s="1"/>
  <c r="T91" i="52" s="1"/>
  <c r="U91" i="52" s="1"/>
  <c r="N90" i="42"/>
  <c r="AM593" i="49" l="1"/>
  <c r="AQ593" i="49" s="1"/>
  <c r="AM581" i="49"/>
  <c r="AQ581" i="49" s="1"/>
  <c r="AM591" i="49"/>
  <c r="AQ591" i="49" s="1"/>
  <c r="AM586" i="49"/>
  <c r="AQ586" i="49" s="1"/>
  <c r="AM584" i="49"/>
  <c r="AQ584" i="49" s="1"/>
  <c r="AM592" i="49"/>
  <c r="AQ592" i="49" s="1"/>
  <c r="AM587" i="49"/>
  <c r="AQ587" i="49" s="1"/>
  <c r="AM582" i="49"/>
  <c r="AQ582" i="49" s="1"/>
  <c r="AM589" i="49"/>
  <c r="AQ589" i="49" s="1"/>
  <c r="AM583" i="49"/>
  <c r="AQ583" i="49" s="1"/>
  <c r="AM585" i="49"/>
  <c r="AQ585" i="49" s="1"/>
  <c r="AM590" i="49"/>
  <c r="AQ590" i="49" s="1"/>
  <c r="AM588" i="49"/>
  <c r="AQ588" i="49" s="1"/>
  <c r="AM580" i="49"/>
  <c r="AQ580" i="49" s="1"/>
  <c r="AN537" i="49"/>
  <c r="AR537" i="49" s="1"/>
  <c r="AQ553" i="49" s="1"/>
  <c r="AN533" i="49"/>
  <c r="AR533" i="49" s="1"/>
  <c r="AQ549" i="49" s="1"/>
  <c r="AN541" i="49"/>
  <c r="AN539" i="49"/>
  <c r="AN540" i="49"/>
  <c r="AN534" i="49"/>
  <c r="AR534" i="49" s="1"/>
  <c r="AQ550" i="49" s="1"/>
  <c r="AN536" i="49"/>
  <c r="AR536" i="49" s="1"/>
  <c r="AQ552" i="49" s="1"/>
  <c r="AN538" i="49"/>
  <c r="AR538" i="49" s="1"/>
  <c r="AQ554" i="49" s="1"/>
  <c r="AN543" i="49"/>
  <c r="AN531" i="49"/>
  <c r="AR531" i="49" s="1"/>
  <c r="AN532" i="49"/>
  <c r="AR532" i="49" s="1"/>
  <c r="AN542" i="49"/>
  <c r="AN530" i="49"/>
  <c r="AN535" i="49"/>
  <c r="AR535" i="49" s="1"/>
  <c r="AQ551" i="49" s="1"/>
  <c r="N168" i="49"/>
  <c r="L59" i="49"/>
  <c r="B202" i="49"/>
  <c r="T90" i="42"/>
  <c r="U90" i="42" s="1"/>
  <c r="V90" i="42" s="1"/>
  <c r="B91" i="49"/>
  <c r="B145" i="49"/>
  <c r="J113" i="49"/>
  <c r="H173" i="41"/>
  <c r="N92" i="52" s="1"/>
  <c r="S92" i="52" s="1"/>
  <c r="T92" i="52" s="1"/>
  <c r="U92" i="52" s="1"/>
  <c r="N91" i="42"/>
  <c r="AM547" i="49" l="1"/>
  <c r="AM548" i="49"/>
  <c r="AM559" i="49"/>
  <c r="AR543" i="49"/>
  <c r="AQ559" i="49" s="1"/>
  <c r="AM556" i="49"/>
  <c r="AR540" i="49"/>
  <c r="AQ556" i="49" s="1"/>
  <c r="AR539" i="49"/>
  <c r="AQ555" i="49" s="1"/>
  <c r="AM555" i="49"/>
  <c r="AM557" i="49"/>
  <c r="AR541" i="49"/>
  <c r="AQ557" i="49" s="1"/>
  <c r="AM552" i="49"/>
  <c r="AM546" i="49"/>
  <c r="AR530" i="49"/>
  <c r="AQ546" i="49" s="1"/>
  <c r="AM558" i="49"/>
  <c r="AR542" i="49"/>
  <c r="AQ558" i="49" s="1"/>
  <c r="AQ548" i="49"/>
  <c r="AQ547" i="49"/>
  <c r="AM551" i="49"/>
  <c r="AM549" i="49"/>
  <c r="AM553" i="49"/>
  <c r="AM554" i="49"/>
  <c r="AM550" i="49"/>
  <c r="T91" i="42"/>
  <c r="U91" i="42" s="1"/>
  <c r="V91" i="42" s="1"/>
  <c r="H174" i="41"/>
  <c r="N93" i="52" s="1"/>
  <c r="S93" i="52" s="1"/>
  <c r="T93" i="52" s="1"/>
  <c r="U93" i="52" s="1"/>
  <c r="N92" i="42"/>
  <c r="T92" i="42" l="1"/>
  <c r="U92" i="42" s="1"/>
  <c r="V92" i="42" s="1"/>
  <c r="H175" i="41"/>
  <c r="N94" i="52" s="1"/>
  <c r="S94" i="52" s="1"/>
  <c r="T94" i="52" s="1"/>
  <c r="U94" i="52" s="1"/>
  <c r="N93" i="42"/>
  <c r="T93" i="42" l="1"/>
  <c r="U93" i="42" s="1"/>
  <c r="V93" i="42" s="1"/>
  <c r="H176" i="41"/>
  <c r="N95" i="52" s="1"/>
  <c r="S95" i="52" s="1"/>
  <c r="T95" i="52" s="1"/>
  <c r="U95" i="52" s="1"/>
  <c r="N94" i="42"/>
  <c r="T94" i="42" l="1"/>
  <c r="U94" i="42" s="1"/>
  <c r="V94" i="42" s="1"/>
  <c r="H177" i="41"/>
  <c r="N96" i="52" s="1"/>
  <c r="S96" i="52" s="1"/>
  <c r="T96" i="52" s="1"/>
  <c r="U96" i="52" s="1"/>
  <c r="N95" i="42"/>
  <c r="T95" i="42" l="1"/>
  <c r="U95" i="42" s="1"/>
  <c r="V95" i="42" s="1"/>
  <c r="H178" i="41"/>
  <c r="N97" i="52" s="1"/>
  <c r="S97" i="52" s="1"/>
  <c r="T97" i="52" s="1"/>
  <c r="U97" i="52" s="1"/>
  <c r="N96" i="42"/>
  <c r="T96" i="42" l="1"/>
  <c r="U96" i="42" s="1"/>
  <c r="V96" i="42" s="1"/>
  <c r="H179" i="41"/>
  <c r="N98" i="52" s="1"/>
  <c r="N97" i="42"/>
  <c r="S98" i="52" l="1"/>
  <c r="T98" i="52" s="1"/>
  <c r="U98" i="52" s="1"/>
  <c r="R159" i="52"/>
  <c r="W159" i="42" s="1"/>
  <c r="X159" i="42" s="1"/>
  <c r="T97" i="42"/>
  <c r="U97" i="42" s="1"/>
  <c r="V97" i="42" s="1"/>
  <c r="J179" i="41"/>
  <c r="H14" i="41" s="1"/>
  <c r="I14" i="41" s="1"/>
  <c r="H180" i="41" s="1"/>
  <c r="N99" i="52" s="1"/>
  <c r="N98" i="42"/>
  <c r="T98" i="42" s="1"/>
  <c r="I179" i="41"/>
  <c r="K13" i="41" s="1"/>
  <c r="L13" i="41" s="1"/>
  <c r="S99" i="52" l="1"/>
  <c r="T99" i="52" s="1"/>
  <c r="U99" i="52" s="1"/>
  <c r="S159" i="52"/>
  <c r="T159" i="52" s="1"/>
  <c r="U159" i="52" s="1"/>
  <c r="E254" i="49"/>
  <c r="N99" i="42"/>
  <c r="T99" i="42" s="1"/>
  <c r="H181" i="41"/>
  <c r="N100" i="52" s="1"/>
  <c r="S100" i="52" s="1"/>
  <c r="T100" i="52" s="1"/>
  <c r="U100" i="52" s="1"/>
  <c r="U98" i="42"/>
  <c r="V98" i="42" s="1"/>
  <c r="S159" i="42"/>
  <c r="C254" i="49" s="1"/>
  <c r="N100" i="42" l="1"/>
  <c r="T159" i="42"/>
  <c r="U159" i="42" s="1"/>
  <c r="V159" i="42" s="1"/>
  <c r="C11" i="9"/>
  <c r="D11" i="9" s="1"/>
  <c r="E11" i="9" s="1"/>
  <c r="G5" i="11"/>
  <c r="H182" i="41"/>
  <c r="N101" i="52" s="1"/>
  <c r="S101" i="52" s="1"/>
  <c r="T101" i="52" s="1"/>
  <c r="U101" i="52" s="1"/>
  <c r="U99" i="42"/>
  <c r="V99" i="42" s="1"/>
  <c r="N101" i="42" l="1"/>
  <c r="T101" i="42" s="1"/>
  <c r="G6" i="11"/>
  <c r="U429" i="49"/>
  <c r="U430" i="49" s="1"/>
  <c r="T100" i="42"/>
  <c r="U100" i="42" s="1"/>
  <c r="V100" i="42" s="1"/>
  <c r="D254" i="49"/>
  <c r="F254" i="49"/>
  <c r="H183" i="41"/>
  <c r="N102" i="52" s="1"/>
  <c r="S102" i="52" s="1"/>
  <c r="T102" i="52" s="1"/>
  <c r="U102" i="52" s="1"/>
  <c r="AN578" i="49" l="1"/>
  <c r="AM628" i="49"/>
  <c r="L169" i="49"/>
  <c r="L203" i="49" s="1"/>
  <c r="M169" i="49"/>
  <c r="M203" i="49" s="1"/>
  <c r="K169" i="49"/>
  <c r="K203" i="49" s="1"/>
  <c r="K60" i="49"/>
  <c r="K92" i="49" s="1"/>
  <c r="J60" i="49"/>
  <c r="J92" i="49" s="1"/>
  <c r="I60" i="49"/>
  <c r="I92" i="49" s="1"/>
  <c r="G254" i="49"/>
  <c r="D35" i="49"/>
  <c r="E35" i="49" s="1"/>
  <c r="N102" i="42"/>
  <c r="J169" i="49"/>
  <c r="J203" i="49" s="1"/>
  <c r="I169" i="49"/>
  <c r="I203" i="49" s="1"/>
  <c r="E169" i="49"/>
  <c r="E203" i="49" s="1"/>
  <c r="E115" i="49"/>
  <c r="E147" i="49" s="1"/>
  <c r="H115" i="49"/>
  <c r="H147" i="49" s="1"/>
  <c r="B60" i="49"/>
  <c r="C169" i="49"/>
  <c r="C203" i="49" s="1"/>
  <c r="G115" i="49"/>
  <c r="G147" i="49" s="1"/>
  <c r="E60" i="49"/>
  <c r="E92" i="49" s="1"/>
  <c r="I115" i="49"/>
  <c r="I147" i="49" s="1"/>
  <c r="F60" i="49"/>
  <c r="F92" i="49" s="1"/>
  <c r="B169" i="49"/>
  <c r="H169" i="49"/>
  <c r="H203" i="49" s="1"/>
  <c r="F115" i="49"/>
  <c r="F147" i="49" s="1"/>
  <c r="C115" i="49"/>
  <c r="C147" i="49" s="1"/>
  <c r="C60" i="49"/>
  <c r="C92" i="49" s="1"/>
  <c r="G60" i="49"/>
  <c r="G92" i="49" s="1"/>
  <c r="G169" i="49"/>
  <c r="G203" i="49" s="1"/>
  <c r="B115" i="49"/>
  <c r="H60" i="49"/>
  <c r="H92" i="49" s="1"/>
  <c r="F169" i="49"/>
  <c r="F203" i="49" s="1"/>
  <c r="D169" i="49"/>
  <c r="D203" i="49" s="1"/>
  <c r="D115" i="49"/>
  <c r="D147" i="49" s="1"/>
  <c r="D60" i="49"/>
  <c r="D92" i="49" s="1"/>
  <c r="U101" i="42"/>
  <c r="V101" i="42" s="1"/>
  <c r="H184" i="41"/>
  <c r="N103" i="52" s="1"/>
  <c r="S103" i="52" s="1"/>
  <c r="T103" i="52" s="1"/>
  <c r="U103" i="52" s="1"/>
  <c r="AM638" i="49" l="1"/>
  <c r="AQ638" i="49" s="1"/>
  <c r="AM639" i="49"/>
  <c r="AQ639" i="49" s="1"/>
  <c r="AM632" i="49"/>
  <c r="AQ632" i="49" s="1"/>
  <c r="AM636" i="49"/>
  <c r="AQ636" i="49" s="1"/>
  <c r="AM635" i="49"/>
  <c r="AQ635" i="49" s="1"/>
  <c r="AM631" i="49"/>
  <c r="AQ631" i="49" s="1"/>
  <c r="AM633" i="49"/>
  <c r="AQ633" i="49" s="1"/>
  <c r="AM643" i="49"/>
  <c r="AQ643" i="49" s="1"/>
  <c r="AM634" i="49"/>
  <c r="AQ634" i="49" s="1"/>
  <c r="AM630" i="49"/>
  <c r="AQ630" i="49" s="1"/>
  <c r="AM640" i="49"/>
  <c r="AQ640" i="49" s="1"/>
  <c r="AM641" i="49"/>
  <c r="AQ641" i="49" s="1"/>
  <c r="AM642" i="49"/>
  <c r="AQ642" i="49" s="1"/>
  <c r="AM637" i="49"/>
  <c r="AQ637" i="49" s="1"/>
  <c r="AN583" i="49"/>
  <c r="AN587" i="49"/>
  <c r="AN593" i="49"/>
  <c r="AN584" i="49"/>
  <c r="AN588" i="49"/>
  <c r="AN590" i="49"/>
  <c r="AN582" i="49"/>
  <c r="AN589" i="49"/>
  <c r="AN580" i="49"/>
  <c r="AN591" i="49"/>
  <c r="AN586" i="49"/>
  <c r="AN581" i="49"/>
  <c r="AN585" i="49"/>
  <c r="AN592" i="49"/>
  <c r="N169" i="49"/>
  <c r="L60" i="49"/>
  <c r="N103" i="42"/>
  <c r="T102" i="42"/>
  <c r="U102" i="42" s="1"/>
  <c r="V102" i="42" s="1"/>
  <c r="B92" i="49"/>
  <c r="B147" i="49"/>
  <c r="J115" i="49"/>
  <c r="B203" i="49"/>
  <c r="H185" i="41"/>
  <c r="N104" i="52" s="1"/>
  <c r="S104" i="52" s="1"/>
  <c r="T104" i="52" s="1"/>
  <c r="U104" i="52" s="1"/>
  <c r="AR585" i="49" l="1"/>
  <c r="AQ601" i="49" s="1"/>
  <c r="AM601" i="49"/>
  <c r="AM596" i="49"/>
  <c r="AR580" i="49"/>
  <c r="AQ596" i="49" s="1"/>
  <c r="AM604" i="49"/>
  <c r="AR588" i="49"/>
  <c r="AQ604" i="49" s="1"/>
  <c r="AR583" i="49"/>
  <c r="AQ599" i="49" s="1"/>
  <c r="AM599" i="49"/>
  <c r="AR581" i="49"/>
  <c r="AQ597" i="49" s="1"/>
  <c r="AM597" i="49"/>
  <c r="AR589" i="49"/>
  <c r="AQ605" i="49" s="1"/>
  <c r="AM605" i="49"/>
  <c r="AR584" i="49"/>
  <c r="AQ600" i="49" s="1"/>
  <c r="AM600" i="49"/>
  <c r="AR586" i="49"/>
  <c r="AQ602" i="49" s="1"/>
  <c r="AM602" i="49"/>
  <c r="AR582" i="49"/>
  <c r="AQ598" i="49" s="1"/>
  <c r="AM598" i="49"/>
  <c r="AR593" i="49"/>
  <c r="AQ609" i="49" s="1"/>
  <c r="AM609" i="49"/>
  <c r="AM608" i="49"/>
  <c r="AR592" i="49"/>
  <c r="AQ608" i="49" s="1"/>
  <c r="AR591" i="49"/>
  <c r="AQ607" i="49" s="1"/>
  <c r="AM607" i="49"/>
  <c r="AR590" i="49"/>
  <c r="AQ606" i="49" s="1"/>
  <c r="AM606" i="49"/>
  <c r="AM603" i="49"/>
  <c r="AR587" i="49"/>
  <c r="AQ603" i="49" s="1"/>
  <c r="N104" i="42"/>
  <c r="T103" i="42"/>
  <c r="U103" i="42" s="1"/>
  <c r="V103" i="42" s="1"/>
  <c r="H186" i="41"/>
  <c r="N105" i="52" s="1"/>
  <c r="S105" i="52" s="1"/>
  <c r="T105" i="52" s="1"/>
  <c r="U105" i="52" s="1"/>
  <c r="N105" i="42" l="1"/>
  <c r="T104" i="42"/>
  <c r="U104" i="42" s="1"/>
  <c r="V104" i="42" s="1"/>
  <c r="H187" i="41"/>
  <c r="N106" i="52" s="1"/>
  <c r="S106" i="52" s="1"/>
  <c r="T106" i="52" s="1"/>
  <c r="U106" i="52" s="1"/>
  <c r="N106" i="42" l="1"/>
  <c r="T105" i="42"/>
  <c r="U105" i="42" s="1"/>
  <c r="V105" i="42" s="1"/>
  <c r="H188" i="41"/>
  <c r="N107" i="52" s="1"/>
  <c r="S107" i="52" s="1"/>
  <c r="T107" i="52" s="1"/>
  <c r="U107" i="52" s="1"/>
  <c r="N107" i="42" l="1"/>
  <c r="T106" i="42"/>
  <c r="U106" i="42" s="1"/>
  <c r="V106" i="42" s="1"/>
  <c r="H189" i="41"/>
  <c r="N108" i="52" s="1"/>
  <c r="S108" i="52" s="1"/>
  <c r="T108" i="52" s="1"/>
  <c r="U108" i="52" s="1"/>
  <c r="N108" i="42" l="1"/>
  <c r="T107" i="42"/>
  <c r="U107" i="42" s="1"/>
  <c r="V107" i="42" s="1"/>
  <c r="H190" i="41"/>
  <c r="N109" i="52" s="1"/>
  <c r="S109" i="52" s="1"/>
  <c r="T109" i="52" s="1"/>
  <c r="U109" i="52" s="1"/>
  <c r="N109" i="42" l="1"/>
  <c r="T108" i="42"/>
  <c r="U108" i="42" s="1"/>
  <c r="V108" i="42" s="1"/>
  <c r="H191" i="41"/>
  <c r="N110" i="52" s="1"/>
  <c r="S110" i="52" l="1"/>
  <c r="T110" i="52" s="1"/>
  <c r="U110" i="52" s="1"/>
  <c r="R160" i="52"/>
  <c r="W160" i="42" s="1"/>
  <c r="X160" i="42" s="1"/>
  <c r="N110" i="42"/>
  <c r="T110" i="42" s="1"/>
  <c r="T109" i="42"/>
  <c r="U109" i="42" s="1"/>
  <c r="V109" i="42" s="1"/>
  <c r="J191" i="41"/>
  <c r="H15" i="41" s="1"/>
  <c r="I15" i="41" s="1"/>
  <c r="H192" i="41" s="1"/>
  <c r="N111" i="52" s="1"/>
  <c r="I191" i="41"/>
  <c r="K14" i="41" s="1"/>
  <c r="L14" i="41" s="1"/>
  <c r="S111" i="52" l="1"/>
  <c r="T111" i="52" s="1"/>
  <c r="U111" i="52" s="1"/>
  <c r="E255" i="49"/>
  <c r="S160" i="52"/>
  <c r="T160" i="52" s="1"/>
  <c r="U160" i="52" s="1"/>
  <c r="H193" i="41"/>
  <c r="N112" i="52" s="1"/>
  <c r="S112" i="52" s="1"/>
  <c r="T112" i="52" s="1"/>
  <c r="U112" i="52" s="1"/>
  <c r="N111" i="42"/>
  <c r="T111" i="42" s="1"/>
  <c r="U111" i="42" s="1"/>
  <c r="V111" i="42" s="1"/>
  <c r="U110" i="42"/>
  <c r="V110" i="42" s="1"/>
  <c r="S160" i="42"/>
  <c r="C255" i="49" s="1"/>
  <c r="T160" i="42" l="1"/>
  <c r="U160" i="42" s="1"/>
  <c r="V160" i="42" s="1"/>
  <c r="D255" i="49"/>
  <c r="C12" i="9"/>
  <c r="D12" i="9" s="1"/>
  <c r="E12" i="9" s="1"/>
  <c r="H5" i="11"/>
  <c r="H194" i="41"/>
  <c r="N113" i="52" s="1"/>
  <c r="S113" i="52" s="1"/>
  <c r="T113" i="52" s="1"/>
  <c r="U113" i="52" s="1"/>
  <c r="N112" i="42"/>
  <c r="T112" i="42" s="1"/>
  <c r="U112" i="42" s="1"/>
  <c r="V112" i="42" s="1"/>
  <c r="H6" i="11" l="1"/>
  <c r="V429" i="49"/>
  <c r="V430" i="49" s="1"/>
  <c r="F255" i="49"/>
  <c r="H195" i="41"/>
  <c r="N114" i="52" s="1"/>
  <c r="S114" i="52" s="1"/>
  <c r="T114" i="52" s="1"/>
  <c r="U114" i="52" s="1"/>
  <c r="N113" i="42"/>
  <c r="T113" i="42" s="1"/>
  <c r="U113" i="42" s="1"/>
  <c r="V113" i="42" s="1"/>
  <c r="AM677" i="49" l="1"/>
  <c r="AN628" i="49"/>
  <c r="M170" i="49"/>
  <c r="M204" i="49" s="1"/>
  <c r="L170" i="49"/>
  <c r="L204" i="49" s="1"/>
  <c r="K170" i="49"/>
  <c r="K204" i="49" s="1"/>
  <c r="J61" i="49"/>
  <c r="K61" i="49"/>
  <c r="K93" i="49" s="1"/>
  <c r="I61" i="49"/>
  <c r="I93" i="49" s="1"/>
  <c r="G255" i="49"/>
  <c r="D36" i="49"/>
  <c r="E36" i="49" s="1"/>
  <c r="D170" i="49"/>
  <c r="D204" i="49" s="1"/>
  <c r="C116" i="49"/>
  <c r="C148" i="49" s="1"/>
  <c r="H116" i="49"/>
  <c r="H148" i="49" s="1"/>
  <c r="E61" i="49"/>
  <c r="E93" i="49" s="1"/>
  <c r="H61" i="49"/>
  <c r="H93" i="49" s="1"/>
  <c r="J170" i="49"/>
  <c r="J204" i="49" s="1"/>
  <c r="B170" i="49"/>
  <c r="E170" i="49"/>
  <c r="E204" i="49" s="1"/>
  <c r="B116" i="49"/>
  <c r="G170" i="49"/>
  <c r="G204" i="49" s="1"/>
  <c r="D116" i="49"/>
  <c r="D148" i="49" s="1"/>
  <c r="C61" i="49"/>
  <c r="C93" i="49" s="1"/>
  <c r="F170" i="49"/>
  <c r="F204" i="49" s="1"/>
  <c r="H170" i="49"/>
  <c r="H204" i="49" s="1"/>
  <c r="C170" i="49"/>
  <c r="C204" i="49" s="1"/>
  <c r="I116" i="49"/>
  <c r="I148" i="49" s="1"/>
  <c r="E116" i="49"/>
  <c r="E148" i="49" s="1"/>
  <c r="F61" i="49"/>
  <c r="F93" i="49" s="1"/>
  <c r="B61" i="49"/>
  <c r="F116" i="49"/>
  <c r="F148" i="49" s="1"/>
  <c r="G61" i="49"/>
  <c r="G93" i="49" s="1"/>
  <c r="I170" i="49"/>
  <c r="I204" i="49" s="1"/>
  <c r="G116" i="49"/>
  <c r="G148" i="49" s="1"/>
  <c r="D61" i="49"/>
  <c r="D93" i="49" s="1"/>
  <c r="N114" i="42"/>
  <c r="T114" i="42" s="1"/>
  <c r="U114" i="42" s="1"/>
  <c r="V114" i="42" s="1"/>
  <c r="H196" i="41"/>
  <c r="N115" i="52" s="1"/>
  <c r="S115" i="52" s="1"/>
  <c r="T115" i="52" s="1"/>
  <c r="U115" i="52" s="1"/>
  <c r="AN632" i="49" l="1"/>
  <c r="AN643" i="49"/>
  <c r="AN631" i="49"/>
  <c r="AN635" i="49"/>
  <c r="AN640" i="49"/>
  <c r="AN636" i="49"/>
  <c r="AN637" i="49"/>
  <c r="AN639" i="49"/>
  <c r="AN642" i="49"/>
  <c r="AN641" i="49"/>
  <c r="AN634" i="49"/>
  <c r="AN633" i="49"/>
  <c r="AN638" i="49"/>
  <c r="AN630" i="49"/>
  <c r="AM685" i="49"/>
  <c r="AQ685" i="49" s="1"/>
  <c r="AM681" i="49"/>
  <c r="AQ681" i="49" s="1"/>
  <c r="AM691" i="49"/>
  <c r="AQ691" i="49" s="1"/>
  <c r="AM680" i="49"/>
  <c r="AQ680" i="49" s="1"/>
  <c r="AM688" i="49"/>
  <c r="AQ688" i="49" s="1"/>
  <c r="AM687" i="49"/>
  <c r="AQ687" i="49" s="1"/>
  <c r="AM686" i="49"/>
  <c r="AQ686" i="49" s="1"/>
  <c r="AM690" i="49"/>
  <c r="AQ690" i="49" s="1"/>
  <c r="AM692" i="49"/>
  <c r="AQ692" i="49" s="1"/>
  <c r="AM683" i="49"/>
  <c r="AQ683" i="49" s="1"/>
  <c r="AM682" i="49"/>
  <c r="AQ682" i="49" s="1"/>
  <c r="AM689" i="49"/>
  <c r="AQ689" i="49" s="1"/>
  <c r="AM679" i="49"/>
  <c r="AQ679" i="49" s="1"/>
  <c r="AM684" i="49"/>
  <c r="AQ684" i="49" s="1"/>
  <c r="N170" i="49"/>
  <c r="L61" i="49"/>
  <c r="J93" i="49"/>
  <c r="B93" i="49"/>
  <c r="B148" i="49"/>
  <c r="J116" i="49"/>
  <c r="B204" i="49"/>
  <c r="H197" i="41"/>
  <c r="N116" i="52" s="1"/>
  <c r="S116" i="52" s="1"/>
  <c r="T116" i="52" s="1"/>
  <c r="U116" i="52" s="1"/>
  <c r="N115" i="42"/>
  <c r="T115" i="42" s="1"/>
  <c r="U115" i="42" s="1"/>
  <c r="V115" i="42" s="1"/>
  <c r="AR639" i="49" l="1"/>
  <c r="AQ655" i="49" s="1"/>
  <c r="AM655" i="49"/>
  <c r="AR635" i="49"/>
  <c r="AQ651" i="49" s="1"/>
  <c r="AM651" i="49"/>
  <c r="AM653" i="49"/>
  <c r="AR637" i="49"/>
  <c r="AQ653" i="49" s="1"/>
  <c r="AM646" i="49"/>
  <c r="AR630" i="49"/>
  <c r="AQ646" i="49" s="1"/>
  <c r="AM657" i="49"/>
  <c r="AR641" i="49"/>
  <c r="AQ657" i="49" s="1"/>
  <c r="AM652" i="49"/>
  <c r="AR636" i="49"/>
  <c r="AQ652" i="49" s="1"/>
  <c r="AR643" i="49"/>
  <c r="AQ659" i="49" s="1"/>
  <c r="AM659" i="49"/>
  <c r="AM649" i="49"/>
  <c r="AR633" i="49"/>
  <c r="AQ649" i="49" s="1"/>
  <c r="AM650" i="49"/>
  <c r="AR634" i="49"/>
  <c r="AQ650" i="49" s="1"/>
  <c r="AR631" i="49"/>
  <c r="AQ647" i="49" s="1"/>
  <c r="AM647" i="49"/>
  <c r="AM654" i="49"/>
  <c r="AR638" i="49"/>
  <c r="AQ654" i="49" s="1"/>
  <c r="AR642" i="49"/>
  <c r="AQ658" i="49" s="1"/>
  <c r="AM658" i="49"/>
  <c r="AM656" i="49"/>
  <c r="AR640" i="49"/>
  <c r="AQ656" i="49" s="1"/>
  <c r="AM648" i="49"/>
  <c r="AR632" i="49"/>
  <c r="AQ648" i="49" s="1"/>
  <c r="H198" i="41"/>
  <c r="N117" i="52" s="1"/>
  <c r="S117" i="52" s="1"/>
  <c r="T117" i="52" s="1"/>
  <c r="U117" i="52" s="1"/>
  <c r="N116" i="42"/>
  <c r="T116" i="42" s="1"/>
  <c r="U116" i="42" s="1"/>
  <c r="V116" i="42" s="1"/>
  <c r="H199" i="41" l="1"/>
  <c r="N118" i="52" s="1"/>
  <c r="S118" i="52" s="1"/>
  <c r="T118" i="52" s="1"/>
  <c r="U118" i="52" s="1"/>
  <c r="N117" i="42"/>
  <c r="T117" i="42" s="1"/>
  <c r="U117" i="42" s="1"/>
  <c r="V117" i="42" s="1"/>
  <c r="H200" i="41" l="1"/>
  <c r="N119" i="52" s="1"/>
  <c r="S119" i="52" s="1"/>
  <c r="T119" i="52" s="1"/>
  <c r="U119" i="52" s="1"/>
  <c r="N118" i="42"/>
  <c r="T118" i="42" s="1"/>
  <c r="U118" i="42" s="1"/>
  <c r="V118" i="42" s="1"/>
  <c r="H201" i="41" l="1"/>
  <c r="N120" i="52" s="1"/>
  <c r="S120" i="52" s="1"/>
  <c r="T120" i="52" s="1"/>
  <c r="U120" i="52" s="1"/>
  <c r="N119" i="42"/>
  <c r="T119" i="42" s="1"/>
  <c r="U119" i="42" s="1"/>
  <c r="V119" i="42" s="1"/>
  <c r="H202" i="41" l="1"/>
  <c r="N121" i="52" s="1"/>
  <c r="S121" i="52" s="1"/>
  <c r="T121" i="52" s="1"/>
  <c r="U121" i="52" s="1"/>
  <c r="N120" i="42"/>
  <c r="T120" i="42" s="1"/>
  <c r="U120" i="42" s="1"/>
  <c r="V120" i="42" s="1"/>
  <c r="H203" i="41" l="1"/>
  <c r="N122" i="52" s="1"/>
  <c r="N121" i="42"/>
  <c r="T121" i="42" s="1"/>
  <c r="U121" i="42" s="1"/>
  <c r="V121" i="42" s="1"/>
  <c r="S122" i="52" l="1"/>
  <c r="T122" i="52" s="1"/>
  <c r="U122" i="52" s="1"/>
  <c r="U123" i="52" s="1"/>
  <c r="R161" i="52"/>
  <c r="W161" i="42" s="1"/>
  <c r="J203" i="41"/>
  <c r="H16" i="41" s="1"/>
  <c r="I16" i="41" s="1"/>
  <c r="H204" i="41" s="1"/>
  <c r="N123" i="52" s="1"/>
  <c r="N122" i="42"/>
  <c r="T122" i="42" s="1"/>
  <c r="U122" i="42" s="1"/>
  <c r="V122" i="42" s="1"/>
  <c r="V123" i="42" s="1"/>
  <c r="P214" i="49" s="1"/>
  <c r="I203" i="41"/>
  <c r="K15" i="41" s="1"/>
  <c r="L15" i="41" s="1"/>
  <c r="S161" i="52" l="1"/>
  <c r="T161" i="52" s="1"/>
  <c r="U161" i="52" s="1"/>
  <c r="E256" i="49"/>
  <c r="R165" i="52"/>
  <c r="S165" i="52" s="1"/>
  <c r="S161" i="42"/>
  <c r="H205" i="41"/>
  <c r="N124" i="52" s="1"/>
  <c r="N123" i="42"/>
  <c r="C256" i="49" l="1"/>
  <c r="D256" i="49" s="1"/>
  <c r="X161" i="42"/>
  <c r="I5" i="11"/>
  <c r="T161" i="42"/>
  <c r="U161" i="42" s="1"/>
  <c r="V161" i="42" s="1"/>
  <c r="C13" i="9"/>
  <c r="D13" i="9" s="1"/>
  <c r="E13" i="9" s="1"/>
  <c r="S165" i="42"/>
  <c r="T165" i="42" s="1"/>
  <c r="F256" i="49"/>
  <c r="H206" i="41"/>
  <c r="N125" i="52" s="1"/>
  <c r="N124" i="42"/>
  <c r="AN677" i="49" l="1"/>
  <c r="AM727" i="49"/>
  <c r="M171" i="49"/>
  <c r="M205" i="49" s="1"/>
  <c r="L171" i="49"/>
  <c r="L205" i="49" s="1"/>
  <c r="K171" i="49"/>
  <c r="K205" i="49" s="1"/>
  <c r="K62" i="49"/>
  <c r="K94" i="49" s="1"/>
  <c r="J62" i="49"/>
  <c r="J94" i="49" s="1"/>
  <c r="I62" i="49"/>
  <c r="I94" i="49" s="1"/>
  <c r="D62" i="49"/>
  <c r="D94" i="49" s="1"/>
  <c r="C62" i="49"/>
  <c r="C94" i="49" s="1"/>
  <c r="B62" i="49"/>
  <c r="B94" i="49" s="1"/>
  <c r="D37" i="49"/>
  <c r="F62" i="49"/>
  <c r="F94" i="49" s="1"/>
  <c r="G256" i="49"/>
  <c r="H62" i="49"/>
  <c r="H94" i="49" s="1"/>
  <c r="G62" i="49"/>
  <c r="G94" i="49" s="1"/>
  <c r="E62" i="49"/>
  <c r="E94" i="49" s="1"/>
  <c r="W429" i="49"/>
  <c r="W430" i="49" s="1"/>
  <c r="I6" i="11"/>
  <c r="I117" i="49"/>
  <c r="I149" i="49" s="1"/>
  <c r="J171" i="49"/>
  <c r="J205" i="49" s="1"/>
  <c r="I106" i="11"/>
  <c r="I105" i="11" s="1"/>
  <c r="I59" i="11" s="1"/>
  <c r="H207" i="41"/>
  <c r="N126" i="52" s="1"/>
  <c r="N125" i="42"/>
  <c r="AK738" i="49" l="1"/>
  <c r="AO738" i="49" s="1"/>
  <c r="AL688" i="49"/>
  <c r="AN688" i="49" s="1"/>
  <c r="W483" i="49"/>
  <c r="AM742" i="49"/>
  <c r="AQ742" i="49" s="1"/>
  <c r="AM740" i="49"/>
  <c r="AQ740" i="49" s="1"/>
  <c r="AM734" i="49"/>
  <c r="AQ734" i="49" s="1"/>
  <c r="AM737" i="49"/>
  <c r="AQ737" i="49" s="1"/>
  <c r="AM739" i="49"/>
  <c r="AQ739" i="49" s="1"/>
  <c r="AM730" i="49"/>
  <c r="AQ730" i="49" s="1"/>
  <c r="AM729" i="49"/>
  <c r="AQ729" i="49" s="1"/>
  <c r="AN690" i="49"/>
  <c r="AN679" i="49"/>
  <c r="AN687" i="49"/>
  <c r="AN692" i="49"/>
  <c r="AN689" i="49"/>
  <c r="AN684" i="49"/>
  <c r="AN680" i="49"/>
  <c r="I50" i="51"/>
  <c r="I45" i="11"/>
  <c r="I74" i="11"/>
  <c r="H208" i="41"/>
  <c r="N127" i="52" s="1"/>
  <c r="N126" i="42"/>
  <c r="AM738" i="49" l="1"/>
  <c r="AQ738" i="49" s="1"/>
  <c r="AP688" i="49"/>
  <c r="AO704" i="49" s="1"/>
  <c r="AK704" i="49"/>
  <c r="I49" i="50"/>
  <c r="AK741" i="49"/>
  <c r="AL691" i="49"/>
  <c r="W498" i="49"/>
  <c r="AL685" i="49"/>
  <c r="AK735" i="49"/>
  <c r="W469" i="49"/>
  <c r="AM696" i="49"/>
  <c r="AR680" i="49"/>
  <c r="AQ696" i="49" s="1"/>
  <c r="AR688" i="49"/>
  <c r="AQ704" i="49" s="1"/>
  <c r="AM704" i="49"/>
  <c r="AM706" i="49"/>
  <c r="AR690" i="49"/>
  <c r="AQ706" i="49" s="1"/>
  <c r="AR692" i="49"/>
  <c r="AQ708" i="49" s="1"/>
  <c r="AM708" i="49"/>
  <c r="AM700" i="49"/>
  <c r="AR684" i="49"/>
  <c r="AQ700" i="49" s="1"/>
  <c r="AR687" i="49"/>
  <c r="AQ703" i="49" s="1"/>
  <c r="AM703" i="49"/>
  <c r="AR689" i="49"/>
  <c r="AQ705" i="49" s="1"/>
  <c r="AM705" i="49"/>
  <c r="AR679" i="49"/>
  <c r="AQ695" i="49" s="1"/>
  <c r="AM695" i="49"/>
  <c r="C139" i="49"/>
  <c r="H117" i="49"/>
  <c r="H149" i="49" s="1"/>
  <c r="F139" i="49"/>
  <c r="H196" i="49"/>
  <c r="H171" i="49"/>
  <c r="H205" i="49" s="1"/>
  <c r="K9" i="18"/>
  <c r="I88" i="11" s="1"/>
  <c r="B402" i="49"/>
  <c r="I31" i="11"/>
  <c r="C402" i="49"/>
  <c r="I36" i="11"/>
  <c r="I50" i="11"/>
  <c r="I196" i="49"/>
  <c r="I171" i="49"/>
  <c r="I205" i="49" s="1"/>
  <c r="C196" i="49"/>
  <c r="C171" i="49"/>
  <c r="C205" i="49" s="1"/>
  <c r="I26" i="11"/>
  <c r="H209" i="41"/>
  <c r="N128" i="52" s="1"/>
  <c r="N127" i="42"/>
  <c r="D385" i="49"/>
  <c r="I35" i="50" l="1"/>
  <c r="I59" i="50" s="1"/>
  <c r="AL686" i="49"/>
  <c r="AK736" i="49"/>
  <c r="W474" i="49"/>
  <c r="AL681" i="49"/>
  <c r="AK731" i="49"/>
  <c r="AO741" i="49"/>
  <c r="AM741" i="49"/>
  <c r="AQ741" i="49" s="1"/>
  <c r="AO735" i="49"/>
  <c r="AM735" i="49"/>
  <c r="AQ735" i="49" s="1"/>
  <c r="I32" i="51"/>
  <c r="AK733" i="49"/>
  <c r="AL683" i="49"/>
  <c r="AK707" i="49"/>
  <c r="AP691" i="49"/>
  <c r="AO707" i="49" s="1"/>
  <c r="AN691" i="49"/>
  <c r="AP685" i="49"/>
  <c r="AO701" i="49" s="1"/>
  <c r="AK701" i="49"/>
  <c r="AN685" i="49"/>
  <c r="AL682" i="49"/>
  <c r="AK732" i="49"/>
  <c r="K402" i="49"/>
  <c r="I84" i="11"/>
  <c r="I101" i="11" s="1"/>
  <c r="H139" i="49"/>
  <c r="C117" i="49"/>
  <c r="C149" i="49" s="1"/>
  <c r="G117" i="49"/>
  <c r="G149" i="49" s="1"/>
  <c r="D139" i="49"/>
  <c r="E139" i="49"/>
  <c r="F117" i="49"/>
  <c r="F149" i="49" s="1"/>
  <c r="W459" i="49"/>
  <c r="B171" i="49"/>
  <c r="W449" i="49"/>
  <c r="W454" i="49"/>
  <c r="E196" i="49"/>
  <c r="E171" i="49"/>
  <c r="E205" i="49" s="1"/>
  <c r="F196" i="49"/>
  <c r="F171" i="49"/>
  <c r="F205" i="49" s="1"/>
  <c r="G196" i="49"/>
  <c r="G171" i="49"/>
  <c r="G205" i="49" s="1"/>
  <c r="D196" i="49"/>
  <c r="D171" i="49"/>
  <c r="D205" i="49" s="1"/>
  <c r="I12" i="11"/>
  <c r="N128" i="42"/>
  <c r="H210" i="41"/>
  <c r="N129" i="52" s="1"/>
  <c r="AO731" i="49" l="1"/>
  <c r="AM731" i="49"/>
  <c r="AQ731" i="49" s="1"/>
  <c r="AO732" i="49"/>
  <c r="AM732" i="49"/>
  <c r="AQ732" i="49" s="1"/>
  <c r="AP682" i="49"/>
  <c r="AO698" i="49" s="1"/>
  <c r="AK698" i="49"/>
  <c r="AN682" i="49"/>
  <c r="AM707" i="49"/>
  <c r="AR691" i="49"/>
  <c r="AQ707" i="49" s="1"/>
  <c r="AM701" i="49"/>
  <c r="AR685" i="49"/>
  <c r="AQ701" i="49" s="1"/>
  <c r="AO736" i="49"/>
  <c r="AM736" i="49"/>
  <c r="AQ736" i="49" s="1"/>
  <c r="AK702" i="49"/>
  <c r="AP686" i="49"/>
  <c r="AO702" i="49" s="1"/>
  <c r="AN686" i="49"/>
  <c r="AK699" i="49"/>
  <c r="AP683" i="49"/>
  <c r="AO699" i="49" s="1"/>
  <c r="AN683" i="49"/>
  <c r="AK697" i="49"/>
  <c r="AP681" i="49"/>
  <c r="AO697" i="49" s="1"/>
  <c r="AN681" i="49"/>
  <c r="AO733" i="49"/>
  <c r="AM733" i="49"/>
  <c r="AQ733" i="49" s="1"/>
  <c r="W508" i="49"/>
  <c r="N171" i="49"/>
  <c r="G139" i="49"/>
  <c r="D117" i="49"/>
  <c r="D149" i="49" s="1"/>
  <c r="E117" i="49"/>
  <c r="E149" i="49" s="1"/>
  <c r="B117" i="49"/>
  <c r="I60" i="51"/>
  <c r="B196" i="49"/>
  <c r="B205" i="49"/>
  <c r="H211" i="41"/>
  <c r="N130" i="52" s="1"/>
  <c r="N129" i="42"/>
  <c r="AR682" i="49" l="1"/>
  <c r="AQ698" i="49" s="1"/>
  <c r="AM698" i="49"/>
  <c r="AM697" i="49"/>
  <c r="AR681" i="49"/>
  <c r="AQ697" i="49" s="1"/>
  <c r="AR683" i="49"/>
  <c r="AQ699" i="49" s="1"/>
  <c r="AM699" i="49"/>
  <c r="AR686" i="49"/>
  <c r="AQ702" i="49" s="1"/>
  <c r="AM702" i="49"/>
  <c r="I111" i="11"/>
  <c r="I116" i="11" s="1"/>
  <c r="J106" i="49"/>
  <c r="J117" i="49"/>
  <c r="E37" i="49"/>
  <c r="H212" i="41"/>
  <c r="N131" i="52" s="1"/>
  <c r="N130" i="42"/>
  <c r="H213" i="41" l="1"/>
  <c r="N132" i="52" s="1"/>
  <c r="N131" i="42"/>
  <c r="L62" i="49" l="1"/>
  <c r="H214" i="41"/>
  <c r="N133" i="52" s="1"/>
  <c r="N132" i="42"/>
  <c r="H215" i="41" l="1"/>
  <c r="N134" i="52" s="1"/>
  <c r="R162" i="52" s="1"/>
  <c r="N133" i="42"/>
  <c r="E257" i="49" l="1"/>
  <c r="W162" i="42"/>
  <c r="J215" i="41"/>
  <c r="H17" i="41" s="1"/>
  <c r="I17" i="41" s="1"/>
  <c r="H216" i="41" s="1"/>
  <c r="N135" i="52" s="1"/>
  <c r="N134" i="42"/>
  <c r="I215" i="41"/>
  <c r="K16" i="41" s="1"/>
  <c r="L16" i="41" s="1"/>
  <c r="S162" i="42" l="1"/>
  <c r="X162" i="42" s="1"/>
  <c r="H217" i="41"/>
  <c r="N136" i="52" s="1"/>
  <c r="N135" i="42"/>
  <c r="C257" i="49" l="1"/>
  <c r="F257" i="49" s="1"/>
  <c r="N172" i="42"/>
  <c r="S172" i="42" s="1"/>
  <c r="J5" i="11"/>
  <c r="J8" i="11" s="1"/>
  <c r="C14" i="9"/>
  <c r="G14" i="9" s="1"/>
  <c r="G70" i="9" s="1"/>
  <c r="G74" i="9" s="1"/>
  <c r="H218" i="41"/>
  <c r="N137" i="52" s="1"/>
  <c r="N136" i="42"/>
  <c r="AN727" i="49" l="1"/>
  <c r="AN742" i="49" s="1"/>
  <c r="AM777" i="49"/>
  <c r="N173" i="42"/>
  <c r="S173" i="42" s="1"/>
  <c r="X429" i="49"/>
  <c r="X433" i="49" s="1"/>
  <c r="X435" i="49" s="1"/>
  <c r="H219" i="41"/>
  <c r="N138" i="52" s="1"/>
  <c r="N137" i="42"/>
  <c r="K78" i="9"/>
  <c r="M78" i="9"/>
  <c r="L78" i="9"/>
  <c r="H78" i="9"/>
  <c r="B352" i="49" s="1"/>
  <c r="I78" i="9"/>
  <c r="O78" i="9"/>
  <c r="J78" i="9"/>
  <c r="S78" i="9"/>
  <c r="AN739" i="49" l="1"/>
  <c r="AM755" i="49" s="1"/>
  <c r="AN740" i="49"/>
  <c r="AR740" i="49" s="1"/>
  <c r="AQ756" i="49" s="1"/>
  <c r="AM789" i="49"/>
  <c r="AQ789" i="49" s="1"/>
  <c r="AM792" i="49"/>
  <c r="AQ792" i="49" s="1"/>
  <c r="AM784" i="49"/>
  <c r="AQ784" i="49" s="1"/>
  <c r="AM790" i="49"/>
  <c r="AQ790" i="49" s="1"/>
  <c r="AN734" i="49"/>
  <c r="AR734" i="49" s="1"/>
  <c r="AQ750" i="49" s="1"/>
  <c r="AR742" i="49"/>
  <c r="AQ758" i="49" s="1"/>
  <c r="AM758" i="49"/>
  <c r="N174" i="42"/>
  <c r="S174" i="42" s="1"/>
  <c r="I70" i="9"/>
  <c r="J21" i="11" s="1"/>
  <c r="C352" i="49"/>
  <c r="C358" i="49" s="1"/>
  <c r="K70" i="9"/>
  <c r="J30" i="11" s="1"/>
  <c r="E352" i="49"/>
  <c r="E358" i="49" s="1"/>
  <c r="S70" i="9"/>
  <c r="J10" i="18" s="1"/>
  <c r="B358" i="49"/>
  <c r="J70" i="9"/>
  <c r="B10" i="18" s="1"/>
  <c r="D352" i="49"/>
  <c r="D358" i="49" s="1"/>
  <c r="L70" i="9"/>
  <c r="J35" i="11" s="1"/>
  <c r="J31" i="51" s="1"/>
  <c r="F352" i="49"/>
  <c r="F358" i="49" s="1"/>
  <c r="O70" i="9"/>
  <c r="J54" i="11" s="1"/>
  <c r="I352" i="49"/>
  <c r="I358" i="49" s="1"/>
  <c r="M70" i="9"/>
  <c r="J44" i="11" s="1"/>
  <c r="G352" i="49"/>
  <c r="G358" i="49" s="1"/>
  <c r="T78" i="9"/>
  <c r="H70" i="9"/>
  <c r="H220" i="41"/>
  <c r="N139" i="52" s="1"/>
  <c r="N138" i="42"/>
  <c r="AR739" i="49" l="1"/>
  <c r="AQ755" i="49" s="1"/>
  <c r="AM756" i="49"/>
  <c r="AM750" i="49"/>
  <c r="AK787" i="49"/>
  <c r="AL737" i="49"/>
  <c r="J106" i="11"/>
  <c r="J105" i="11" s="1"/>
  <c r="J59" i="11" s="1"/>
  <c r="D13" i="53" s="1"/>
  <c r="E66" i="53" s="1"/>
  <c r="G66" i="53" s="1"/>
  <c r="G421" i="49"/>
  <c r="AK780" i="49"/>
  <c r="AL730" i="49"/>
  <c r="N358" i="49"/>
  <c r="N352" i="49"/>
  <c r="X468" i="49"/>
  <c r="G172" i="49"/>
  <c r="I172" i="49"/>
  <c r="I206" i="49" s="1"/>
  <c r="X478" i="49"/>
  <c r="N175" i="42"/>
  <c r="S175" i="42" s="1"/>
  <c r="J29" i="50"/>
  <c r="J40" i="51"/>
  <c r="C10" i="53"/>
  <c r="C28" i="53" s="1"/>
  <c r="E28" i="53" s="1"/>
  <c r="J45" i="51"/>
  <c r="J39" i="50"/>
  <c r="J26" i="51"/>
  <c r="J24" i="50"/>
  <c r="C6" i="53"/>
  <c r="C24" i="53" s="1"/>
  <c r="E24" i="53" s="1"/>
  <c r="J15" i="50"/>
  <c r="J17" i="51"/>
  <c r="C12" i="53"/>
  <c r="H206" i="49"/>
  <c r="X453" i="49"/>
  <c r="C8" i="53"/>
  <c r="X458" i="49"/>
  <c r="C9" i="53"/>
  <c r="E10" i="18"/>
  <c r="B421" i="49"/>
  <c r="J58" i="11"/>
  <c r="H10" i="18"/>
  <c r="J25" i="11"/>
  <c r="D10" i="18"/>
  <c r="D421" i="49" s="1"/>
  <c r="X444" i="49"/>
  <c r="C172" i="49"/>
  <c r="C206" i="49" s="1"/>
  <c r="C10" i="18"/>
  <c r="C421" i="49" s="1"/>
  <c r="E172" i="49"/>
  <c r="E206" i="49" s="1"/>
  <c r="F172" i="49"/>
  <c r="F206" i="49" s="1"/>
  <c r="T70" i="9"/>
  <c r="J87" i="11" s="1"/>
  <c r="J17" i="11"/>
  <c r="J26" i="11"/>
  <c r="H221" i="41"/>
  <c r="N140" i="52" s="1"/>
  <c r="N139" i="42"/>
  <c r="X482" i="49" l="1"/>
  <c r="J83" i="11"/>
  <c r="AP730" i="49"/>
  <c r="AO746" i="49" s="1"/>
  <c r="AK746" i="49"/>
  <c r="AN730" i="49"/>
  <c r="AP737" i="49"/>
  <c r="AO753" i="49" s="1"/>
  <c r="AK753" i="49"/>
  <c r="AN737" i="49"/>
  <c r="J74" i="11"/>
  <c r="D16" i="53" s="1"/>
  <c r="E69" i="53" s="1"/>
  <c r="G69" i="53" s="1"/>
  <c r="I421" i="49"/>
  <c r="AK781" i="49"/>
  <c r="AL731" i="49"/>
  <c r="X483" i="49"/>
  <c r="AK788" i="49"/>
  <c r="AL738" i="49"/>
  <c r="AK779" i="49"/>
  <c r="AL729" i="49"/>
  <c r="J50" i="51"/>
  <c r="AM780" i="49"/>
  <c r="AQ780" i="49" s="1"/>
  <c r="AO780" i="49"/>
  <c r="AO787" i="49"/>
  <c r="AM787" i="49"/>
  <c r="AQ787" i="49" s="1"/>
  <c r="J45" i="11"/>
  <c r="E421" i="49"/>
  <c r="N176" i="42"/>
  <c r="S176" i="42" s="1"/>
  <c r="J49" i="51"/>
  <c r="J100" i="11"/>
  <c r="E84" i="53"/>
  <c r="G84" i="53" s="1"/>
  <c r="C13" i="53"/>
  <c r="C31" i="53" s="1"/>
  <c r="E31" i="53" s="1"/>
  <c r="D7" i="53"/>
  <c r="E59" i="53" s="1"/>
  <c r="J22" i="51"/>
  <c r="J20" i="50"/>
  <c r="C5" i="53"/>
  <c r="C23" i="53" s="1"/>
  <c r="C40" i="53" s="1"/>
  <c r="J13" i="51"/>
  <c r="J11" i="50"/>
  <c r="J19" i="50"/>
  <c r="J21" i="51"/>
  <c r="C45" i="53"/>
  <c r="E45" i="53" s="1"/>
  <c r="G45" i="53" s="1"/>
  <c r="X448" i="49"/>
  <c r="C7" i="53"/>
  <c r="G24" i="53"/>
  <c r="C26" i="53"/>
  <c r="E26" i="53" s="1"/>
  <c r="C30" i="53"/>
  <c r="E30" i="53" s="1"/>
  <c r="C41" i="53"/>
  <c r="E41" i="53" s="1"/>
  <c r="G41" i="53" s="1"/>
  <c r="C27" i="53"/>
  <c r="E27" i="53" s="1"/>
  <c r="G28" i="53"/>
  <c r="J172" i="49"/>
  <c r="J206" i="49" s="1"/>
  <c r="G206" i="49"/>
  <c r="K10" i="18"/>
  <c r="J88" i="11" s="1"/>
  <c r="D172" i="49"/>
  <c r="D206" i="49" s="1"/>
  <c r="J31" i="11"/>
  <c r="X449" i="49"/>
  <c r="J36" i="11"/>
  <c r="B172" i="49"/>
  <c r="X440" i="49"/>
  <c r="J50" i="11"/>
  <c r="J10" i="11"/>
  <c r="J12" i="11" s="1"/>
  <c r="U70" i="9"/>
  <c r="H222" i="41"/>
  <c r="N141" i="52" s="1"/>
  <c r="N140" i="42"/>
  <c r="J35" i="50" l="1"/>
  <c r="AL736" i="49"/>
  <c r="AK786" i="49"/>
  <c r="X474" i="49"/>
  <c r="K421" i="49"/>
  <c r="J32" i="51"/>
  <c r="AK783" i="49"/>
  <c r="AL733" i="49"/>
  <c r="AL732" i="49"/>
  <c r="AK782" i="49"/>
  <c r="AO788" i="49"/>
  <c r="AM788" i="49"/>
  <c r="AQ788" i="49" s="1"/>
  <c r="AK745" i="49"/>
  <c r="AP729" i="49"/>
  <c r="AO745" i="49" s="1"/>
  <c r="AN729" i="49"/>
  <c r="J49" i="50"/>
  <c r="AK791" i="49"/>
  <c r="AL741" i="49"/>
  <c r="X498" i="49"/>
  <c r="AR730" i="49"/>
  <c r="AQ746" i="49" s="1"/>
  <c r="AM746" i="49"/>
  <c r="AM779" i="49"/>
  <c r="AQ779" i="49" s="1"/>
  <c r="AO779" i="49"/>
  <c r="AP731" i="49"/>
  <c r="AO747" i="49" s="1"/>
  <c r="AK747" i="49"/>
  <c r="AN731" i="49"/>
  <c r="AM753" i="49"/>
  <c r="AR737" i="49"/>
  <c r="AQ753" i="49" s="1"/>
  <c r="X469" i="49"/>
  <c r="AK785" i="49"/>
  <c r="AL735" i="49"/>
  <c r="AP738" i="49"/>
  <c r="AO754" i="49" s="1"/>
  <c r="AK754" i="49"/>
  <c r="AN738" i="49"/>
  <c r="AM781" i="49"/>
  <c r="AQ781" i="49" s="1"/>
  <c r="AO781" i="49"/>
  <c r="X507" i="49"/>
  <c r="N172" i="49"/>
  <c r="D10" i="53"/>
  <c r="E63" i="53" s="1"/>
  <c r="G63" i="53" s="1"/>
  <c r="J41" i="51"/>
  <c r="J30" i="50"/>
  <c r="N177" i="42"/>
  <c r="S177" i="42" s="1"/>
  <c r="J84" i="11"/>
  <c r="J101" i="11" s="1"/>
  <c r="J58" i="50"/>
  <c r="J59" i="51"/>
  <c r="E87" i="53"/>
  <c r="G87" i="53" s="1"/>
  <c r="D11" i="53"/>
  <c r="E64" i="53" s="1"/>
  <c r="G64" i="53" s="1"/>
  <c r="D9" i="53"/>
  <c r="E62" i="53" s="1"/>
  <c r="E80" i="53" s="1"/>
  <c r="G80" i="53" s="1"/>
  <c r="J27" i="51"/>
  <c r="J25" i="50"/>
  <c r="E98" i="53"/>
  <c r="E115" i="53" s="1"/>
  <c r="G115" i="53" s="1"/>
  <c r="C18" i="53"/>
  <c r="C48" i="53"/>
  <c r="E48" i="53" s="1"/>
  <c r="G48" i="53" s="1"/>
  <c r="D8" i="53"/>
  <c r="E40" i="53"/>
  <c r="G30" i="53"/>
  <c r="C44" i="53"/>
  <c r="E44" i="53" s="1"/>
  <c r="G44" i="53" s="1"/>
  <c r="G59" i="53"/>
  <c r="E77" i="53"/>
  <c r="G77" i="53" s="1"/>
  <c r="C43" i="53"/>
  <c r="E43" i="53" s="1"/>
  <c r="G43" i="53" s="1"/>
  <c r="E58" i="53"/>
  <c r="G27" i="53"/>
  <c r="E23" i="53"/>
  <c r="G26" i="53"/>
  <c r="C25" i="53"/>
  <c r="E25" i="53" s="1"/>
  <c r="G31" i="53"/>
  <c r="C47" i="53"/>
  <c r="E47" i="53" s="1"/>
  <c r="G47" i="53" s="1"/>
  <c r="E94" i="53"/>
  <c r="B38" i="49"/>
  <c r="B206" i="49"/>
  <c r="X459" i="49"/>
  <c r="X454" i="49"/>
  <c r="H223" i="41"/>
  <c r="N142" i="52" s="1"/>
  <c r="N141" i="42"/>
  <c r="AO786" i="49" l="1"/>
  <c r="AM786" i="49"/>
  <c r="AQ786" i="49" s="1"/>
  <c r="AK752" i="49"/>
  <c r="AP736" i="49"/>
  <c r="AO752" i="49" s="1"/>
  <c r="AN736" i="49"/>
  <c r="AP732" i="49"/>
  <c r="AO748" i="49" s="1"/>
  <c r="AK748" i="49"/>
  <c r="AN732" i="49"/>
  <c r="AK751" i="49"/>
  <c r="AP735" i="49"/>
  <c r="AO751" i="49" s="1"/>
  <c r="AN735" i="49"/>
  <c r="AM745" i="49"/>
  <c r="AR729" i="49"/>
  <c r="AQ745" i="49" s="1"/>
  <c r="AK749" i="49"/>
  <c r="AP733" i="49"/>
  <c r="AO749" i="49" s="1"/>
  <c r="AN733" i="49"/>
  <c r="AM754" i="49"/>
  <c r="AR738" i="49"/>
  <c r="AQ754" i="49" s="1"/>
  <c r="AO785" i="49"/>
  <c r="AM785" i="49"/>
  <c r="AQ785" i="49" s="1"/>
  <c r="AM747" i="49"/>
  <c r="AR731" i="49"/>
  <c r="AQ747" i="49" s="1"/>
  <c r="AK757" i="49"/>
  <c r="AP741" i="49"/>
  <c r="AO757" i="49" s="1"/>
  <c r="AN741" i="49"/>
  <c r="AO783" i="49"/>
  <c r="AM783" i="49"/>
  <c r="AQ783" i="49" s="1"/>
  <c r="AO791" i="49"/>
  <c r="AM791" i="49"/>
  <c r="AQ791" i="49" s="1"/>
  <c r="AO782" i="49"/>
  <c r="AM782" i="49"/>
  <c r="AQ782" i="49" s="1"/>
  <c r="X508" i="49"/>
  <c r="E81" i="53"/>
  <c r="G81" i="53" s="1"/>
  <c r="D38" i="49"/>
  <c r="E38" i="49" s="1"/>
  <c r="C38" i="49"/>
  <c r="N178" i="42"/>
  <c r="S178" i="42" s="1"/>
  <c r="J59" i="50"/>
  <c r="J110" i="11"/>
  <c r="J60" i="51"/>
  <c r="G98" i="53"/>
  <c r="E97" i="53"/>
  <c r="G97" i="53" s="1"/>
  <c r="G62" i="53"/>
  <c r="E82" i="53"/>
  <c r="G82" i="53" s="1"/>
  <c r="E65" i="53"/>
  <c r="G65" i="53" s="1"/>
  <c r="E101" i="53"/>
  <c r="G101" i="53" s="1"/>
  <c r="E100" i="53"/>
  <c r="G100" i="53" s="1"/>
  <c r="E96" i="53"/>
  <c r="E113" i="53" s="1"/>
  <c r="G113" i="53" s="1"/>
  <c r="E60" i="53"/>
  <c r="D18" i="53"/>
  <c r="C42" i="53"/>
  <c r="E57" i="53"/>
  <c r="G23" i="53"/>
  <c r="E36" i="53"/>
  <c r="E93" i="53"/>
  <c r="E111" i="53"/>
  <c r="G111" i="53" s="1"/>
  <c r="G94" i="53"/>
  <c r="G25" i="53"/>
  <c r="C36" i="53"/>
  <c r="G40" i="53"/>
  <c r="G58" i="53"/>
  <c r="E76" i="53"/>
  <c r="G76" i="53" s="1"/>
  <c r="N142" i="42"/>
  <c r="H224" i="41"/>
  <c r="N143" i="52" s="1"/>
  <c r="J115" i="11" l="1"/>
  <c r="AR736" i="49"/>
  <c r="AQ752" i="49" s="1"/>
  <c r="AM752" i="49"/>
  <c r="AR733" i="49"/>
  <c r="AQ749" i="49" s="1"/>
  <c r="AM749" i="49"/>
  <c r="AR732" i="49"/>
  <c r="AQ748" i="49" s="1"/>
  <c r="AM748" i="49"/>
  <c r="AR735" i="49"/>
  <c r="AQ751" i="49" s="1"/>
  <c r="AM751" i="49"/>
  <c r="AR741" i="49"/>
  <c r="AQ757" i="49" s="1"/>
  <c r="AM757" i="49"/>
  <c r="N179" i="42"/>
  <c r="S179" i="42" s="1"/>
  <c r="J111" i="11"/>
  <c r="J116" i="11" s="1"/>
  <c r="E114" i="53"/>
  <c r="G114" i="53" s="1"/>
  <c r="E83" i="53"/>
  <c r="G83" i="53" s="1"/>
  <c r="E118" i="53"/>
  <c r="G118" i="53" s="1"/>
  <c r="G96" i="53"/>
  <c r="E117" i="53"/>
  <c r="G117" i="53" s="1"/>
  <c r="G57" i="53"/>
  <c r="E75" i="53"/>
  <c r="G75" i="53" s="1"/>
  <c r="E110" i="53"/>
  <c r="G93" i="53"/>
  <c r="E42" i="53"/>
  <c r="C53" i="53"/>
  <c r="G60" i="53"/>
  <c r="E78" i="53"/>
  <c r="G78" i="53" s="1"/>
  <c r="G36" i="53"/>
  <c r="H225" i="41"/>
  <c r="N144" i="52" s="1"/>
  <c r="N143" i="42"/>
  <c r="N180" i="42" l="1"/>
  <c r="S180" i="42" s="1"/>
  <c r="G89" i="53"/>
  <c r="C130" i="53" s="1"/>
  <c r="G71" i="53"/>
  <c r="C129" i="53" s="1"/>
  <c r="G110" i="53"/>
  <c r="G42" i="53"/>
  <c r="G53" i="53" s="1"/>
  <c r="C127" i="53" s="1"/>
  <c r="E53" i="53"/>
  <c r="E95" i="53"/>
  <c r="H226" i="41"/>
  <c r="N145" i="52" s="1"/>
  <c r="N144" i="42"/>
  <c r="N181" i="42" l="1"/>
  <c r="S181" i="42" s="1"/>
  <c r="E112" i="53"/>
  <c r="G95" i="53"/>
  <c r="G106" i="53" s="1"/>
  <c r="C128" i="53" s="1"/>
  <c r="E106" i="53"/>
  <c r="H227" i="41"/>
  <c r="N146" i="52" s="1"/>
  <c r="N145" i="42"/>
  <c r="R150" i="52" l="1"/>
  <c r="R163" i="52"/>
  <c r="W163" i="42" s="1"/>
  <c r="N182" i="42"/>
  <c r="S182" i="42" s="1"/>
  <c r="G112" i="53"/>
  <c r="G123" i="53" s="1"/>
  <c r="C131" i="53" s="1"/>
  <c r="C134" i="53" s="1"/>
  <c r="E123" i="53"/>
  <c r="J227" i="41"/>
  <c r="N146" i="42"/>
  <c r="H228" i="41"/>
  <c r="I227" i="41"/>
  <c r="K17" i="41" s="1"/>
  <c r="L17" i="41" s="1"/>
  <c r="R167" i="52" l="1"/>
  <c r="S167" i="52" s="1"/>
  <c r="E258" i="49"/>
  <c r="S150" i="42"/>
  <c r="N183" i="42"/>
  <c r="S183" i="42" s="1"/>
  <c r="T183" i="42" s="1"/>
  <c r="C259" i="49" s="1"/>
  <c r="E259" i="49" s="1"/>
  <c r="F259" i="49" s="1"/>
  <c r="S163" i="42" l="1"/>
  <c r="C258" i="49" l="1"/>
  <c r="F258" i="49" s="1"/>
  <c r="AN777" i="49" s="1"/>
  <c r="AN790" i="49" s="1"/>
  <c r="X163" i="42"/>
  <c r="S167" i="42"/>
  <c r="T167" i="42" s="1"/>
  <c r="C15" i="9"/>
  <c r="G15" i="9" s="1"/>
  <c r="G71" i="9" s="1"/>
  <c r="G75" i="9" s="1"/>
  <c r="K5" i="11"/>
  <c r="K8" i="11" s="1"/>
  <c r="AN792" i="49"/>
  <c r="AN784" i="49" l="1"/>
  <c r="AR784" i="49" s="1"/>
  <c r="AQ800" i="49" s="1"/>
  <c r="AN789" i="49"/>
  <c r="Y429" i="49"/>
  <c r="Y433" i="49" s="1"/>
  <c r="Y435" i="49" s="1"/>
  <c r="AR792" i="49"/>
  <c r="AQ808" i="49" s="1"/>
  <c r="AM808" i="49"/>
  <c r="AM805" i="49"/>
  <c r="AR789" i="49"/>
  <c r="AQ805" i="49" s="1"/>
  <c r="AR790" i="49"/>
  <c r="AQ806" i="49" s="1"/>
  <c r="AM806" i="49"/>
  <c r="H79" i="9"/>
  <c r="B353" i="49" s="1"/>
  <c r="L79" i="9"/>
  <c r="K79" i="9"/>
  <c r="S79" i="9"/>
  <c r="J79" i="9"/>
  <c r="I79" i="9"/>
  <c r="M79" i="9"/>
  <c r="O79" i="9"/>
  <c r="AM800" i="49" l="1"/>
  <c r="B359" i="49"/>
  <c r="M71" i="9"/>
  <c r="K44" i="11" s="1"/>
  <c r="G353" i="49"/>
  <c r="G359" i="49" s="1"/>
  <c r="K71" i="9"/>
  <c r="K30" i="11" s="1"/>
  <c r="E353" i="49"/>
  <c r="E359" i="49" s="1"/>
  <c r="I71" i="9"/>
  <c r="K21" i="11" s="1"/>
  <c r="C353" i="49"/>
  <c r="C359" i="49" s="1"/>
  <c r="L71" i="9"/>
  <c r="F353" i="49"/>
  <c r="F359" i="49" s="1"/>
  <c r="J71" i="9"/>
  <c r="K25" i="11" s="1"/>
  <c r="D353" i="49"/>
  <c r="D359" i="49" s="1"/>
  <c r="O71" i="9"/>
  <c r="I353" i="49"/>
  <c r="I359" i="49" s="1"/>
  <c r="S71" i="9"/>
  <c r="J11" i="18" s="1"/>
  <c r="T79" i="9"/>
  <c r="H71" i="9"/>
  <c r="D11" i="18" l="1"/>
  <c r="D422" i="49" s="1"/>
  <c r="AL780" i="49"/>
  <c r="AN780" i="49" s="1"/>
  <c r="K106" i="11"/>
  <c r="K105" i="11" s="1"/>
  <c r="K59" i="11" s="1"/>
  <c r="K50" i="51" s="1"/>
  <c r="G422" i="49"/>
  <c r="AP780" i="49"/>
  <c r="AO796" i="49" s="1"/>
  <c r="N359" i="49"/>
  <c r="N353" i="49"/>
  <c r="G173" i="49"/>
  <c r="Y468" i="49"/>
  <c r="K40" i="51"/>
  <c r="K29" i="50"/>
  <c r="C10" i="54"/>
  <c r="C28" i="54" s="1"/>
  <c r="E28" i="54" s="1"/>
  <c r="K24" i="50"/>
  <c r="K26" i="51"/>
  <c r="K21" i="51"/>
  <c r="K19" i="50"/>
  <c r="C6" i="54"/>
  <c r="C24" i="54" s="1"/>
  <c r="K15" i="50"/>
  <c r="K17" i="51"/>
  <c r="K54" i="11"/>
  <c r="Y453" i="49"/>
  <c r="C8" i="54"/>
  <c r="C26" i="54" s="1"/>
  <c r="Y448" i="49"/>
  <c r="C7" i="54"/>
  <c r="E11" i="18"/>
  <c r="K35" i="11"/>
  <c r="B11" i="18"/>
  <c r="K58" i="11"/>
  <c r="Y482" i="49" s="1"/>
  <c r="H11" i="18"/>
  <c r="K50" i="11"/>
  <c r="C11" i="18"/>
  <c r="C422" i="49" s="1"/>
  <c r="Y444" i="49"/>
  <c r="C173" i="49"/>
  <c r="C207" i="49" s="1"/>
  <c r="D173" i="49"/>
  <c r="D207" i="49" s="1"/>
  <c r="E173" i="49"/>
  <c r="E207" i="49" s="1"/>
  <c r="T71" i="9"/>
  <c r="K87" i="11" s="1"/>
  <c r="K17" i="11"/>
  <c r="D13" i="54" l="1"/>
  <c r="E66" i="54" s="1"/>
  <c r="E84" i="54" s="1"/>
  <c r="G84" i="54" s="1"/>
  <c r="K36" i="11"/>
  <c r="Y459" i="49" s="1"/>
  <c r="AK796" i="49"/>
  <c r="AL787" i="49"/>
  <c r="AK803" i="49" s="1"/>
  <c r="AL779" i="49"/>
  <c r="AN779" i="49" s="1"/>
  <c r="K35" i="50"/>
  <c r="AL786" i="49"/>
  <c r="Y474" i="49"/>
  <c r="K74" i="11"/>
  <c r="D16" i="54" s="1"/>
  <c r="E69" i="54" s="1"/>
  <c r="G69" i="54" s="1"/>
  <c r="I422" i="49"/>
  <c r="AR780" i="49"/>
  <c r="AQ796" i="49" s="1"/>
  <c r="AM796" i="49"/>
  <c r="Y483" i="49"/>
  <c r="AL788" i="49"/>
  <c r="K45" i="11"/>
  <c r="D10" i="54" s="1"/>
  <c r="E63" i="54" s="1"/>
  <c r="G63" i="54" s="1"/>
  <c r="E422" i="49"/>
  <c r="I173" i="49"/>
  <c r="I207" i="49" s="1"/>
  <c r="Y478" i="49"/>
  <c r="K31" i="51"/>
  <c r="K49" i="51"/>
  <c r="K83" i="11"/>
  <c r="K100" i="11" s="1"/>
  <c r="K45" i="51"/>
  <c r="K39" i="50"/>
  <c r="D11" i="54"/>
  <c r="E64" i="54" s="1"/>
  <c r="E82" i="54" s="1"/>
  <c r="G82" i="54" s="1"/>
  <c r="C13" i="54"/>
  <c r="C31" i="54" s="1"/>
  <c r="E31" i="54" s="1"/>
  <c r="E24" i="54"/>
  <c r="G24" i="54" s="1"/>
  <c r="C41" i="54"/>
  <c r="E41" i="54" s="1"/>
  <c r="G41" i="54" s="1"/>
  <c r="C5" i="54"/>
  <c r="C23" i="54" s="1"/>
  <c r="K11" i="50"/>
  <c r="K13" i="51"/>
  <c r="C45" i="54"/>
  <c r="E45" i="54" s="1"/>
  <c r="G45" i="54" s="1"/>
  <c r="C43" i="54"/>
  <c r="E43" i="54" s="1"/>
  <c r="G43" i="54" s="1"/>
  <c r="E26" i="54"/>
  <c r="Y458" i="49"/>
  <c r="C9" i="54"/>
  <c r="C12" i="54"/>
  <c r="H207" i="49"/>
  <c r="C25" i="54"/>
  <c r="E25" i="54" s="1"/>
  <c r="G28" i="54"/>
  <c r="J173" i="49"/>
  <c r="J207" i="49" s="1"/>
  <c r="K11" i="18"/>
  <c r="K88" i="11" s="1"/>
  <c r="B422" i="49"/>
  <c r="G207" i="49"/>
  <c r="F173" i="49"/>
  <c r="F207" i="49" s="1"/>
  <c r="K26" i="11"/>
  <c r="AL781" i="49" s="1"/>
  <c r="K31" i="11"/>
  <c r="AL782" i="49" s="1"/>
  <c r="B173" i="49"/>
  <c r="Y440" i="49"/>
  <c r="K10" i="11"/>
  <c r="K12" i="11" s="1"/>
  <c r="U71" i="9"/>
  <c r="G66" i="54" l="1"/>
  <c r="AP779" i="49"/>
  <c r="AO795" i="49" s="1"/>
  <c r="AL783" i="49"/>
  <c r="AK799" i="49" s="1"/>
  <c r="D9" i="54"/>
  <c r="E62" i="54" s="1"/>
  <c r="E80" i="54" s="1"/>
  <c r="G80" i="54" s="1"/>
  <c r="K32" i="51"/>
  <c r="AK795" i="49"/>
  <c r="AN787" i="49"/>
  <c r="AM803" i="49" s="1"/>
  <c r="AP787" i="49"/>
  <c r="AO803" i="49" s="1"/>
  <c r="AP786" i="49"/>
  <c r="AO802" i="49" s="1"/>
  <c r="AK802" i="49"/>
  <c r="AN786" i="49"/>
  <c r="AN782" i="49"/>
  <c r="AK798" i="49"/>
  <c r="AP782" i="49"/>
  <c r="AO798" i="49" s="1"/>
  <c r="AK804" i="49"/>
  <c r="AN788" i="49"/>
  <c r="AP788" i="49"/>
  <c r="AO804" i="49" s="1"/>
  <c r="AM795" i="49"/>
  <c r="AR779" i="49"/>
  <c r="AQ795" i="49" s="1"/>
  <c r="Y469" i="49"/>
  <c r="AL785" i="49"/>
  <c r="AK797" i="49"/>
  <c r="AP781" i="49"/>
  <c r="AO797" i="49" s="1"/>
  <c r="AN781" i="49"/>
  <c r="K49" i="50"/>
  <c r="AL791" i="49"/>
  <c r="Y498" i="49"/>
  <c r="Y507" i="49"/>
  <c r="K422" i="49"/>
  <c r="B207" i="49"/>
  <c r="N173" i="49"/>
  <c r="K41" i="51"/>
  <c r="K30" i="50"/>
  <c r="K84" i="11"/>
  <c r="K101" i="11" s="1"/>
  <c r="K58" i="50"/>
  <c r="E87" i="54"/>
  <c r="G87" i="54" s="1"/>
  <c r="K59" i="51"/>
  <c r="G64" i="54"/>
  <c r="E81" i="54"/>
  <c r="G81" i="54" s="1"/>
  <c r="K25" i="50"/>
  <c r="K27" i="51"/>
  <c r="D8" i="54"/>
  <c r="E60" i="54" s="1"/>
  <c r="E78" i="54" s="1"/>
  <c r="G78" i="54" s="1"/>
  <c r="E94" i="54"/>
  <c r="E111" i="54" s="1"/>
  <c r="G111" i="54" s="1"/>
  <c r="D7" i="54"/>
  <c r="E59" i="54" s="1"/>
  <c r="K22" i="51"/>
  <c r="K20" i="50"/>
  <c r="E58" i="54"/>
  <c r="G58" i="54" s="1"/>
  <c r="E98" i="54"/>
  <c r="E115" i="54" s="1"/>
  <c r="G115" i="54" s="1"/>
  <c r="C42" i="54"/>
  <c r="E42" i="54" s="1"/>
  <c r="G42" i="54" s="1"/>
  <c r="C30" i="54"/>
  <c r="E30" i="54" s="1"/>
  <c r="G31" i="54"/>
  <c r="G26" i="54"/>
  <c r="E96" i="54"/>
  <c r="C27" i="54"/>
  <c r="E27" i="54" s="1"/>
  <c r="C18" i="54"/>
  <c r="E23" i="54"/>
  <c r="G25" i="54"/>
  <c r="C48" i="54"/>
  <c r="E48" i="54" s="1"/>
  <c r="G48" i="54" s="1"/>
  <c r="C40" i="54"/>
  <c r="Y449" i="49"/>
  <c r="B39" i="49"/>
  <c r="Y454" i="49"/>
  <c r="G62" i="54" l="1"/>
  <c r="AN783" i="49"/>
  <c r="AR783" i="49" s="1"/>
  <c r="AQ799" i="49" s="1"/>
  <c r="AP783" i="49"/>
  <c r="AO799" i="49" s="1"/>
  <c r="AR787" i="49"/>
  <c r="AQ803" i="49" s="1"/>
  <c r="AM802" i="49"/>
  <c r="AR786" i="49"/>
  <c r="AQ802" i="49" s="1"/>
  <c r="AM797" i="49"/>
  <c r="AR781" i="49"/>
  <c r="AQ797" i="49" s="1"/>
  <c r="AN791" i="49"/>
  <c r="AK807" i="49"/>
  <c r="AP791" i="49"/>
  <c r="AO807" i="49" s="1"/>
  <c r="AR788" i="49"/>
  <c r="AQ804" i="49" s="1"/>
  <c r="AM804" i="49"/>
  <c r="AP785" i="49"/>
  <c r="AO801" i="49" s="1"/>
  <c r="AK801" i="49"/>
  <c r="AN785" i="49"/>
  <c r="AR782" i="49"/>
  <c r="AQ798" i="49" s="1"/>
  <c r="AM798" i="49"/>
  <c r="Y508" i="49"/>
  <c r="C39" i="49"/>
  <c r="D39" i="49"/>
  <c r="E39" i="49" s="1"/>
  <c r="K59" i="50"/>
  <c r="K110" i="11"/>
  <c r="K60" i="51"/>
  <c r="G60" i="54"/>
  <c r="G94" i="54"/>
  <c r="E76" i="54"/>
  <c r="G76" i="54" s="1"/>
  <c r="D18" i="54"/>
  <c r="G98" i="54"/>
  <c r="E95" i="54"/>
  <c r="E112" i="54" s="1"/>
  <c r="G112" i="54" s="1"/>
  <c r="C36" i="54"/>
  <c r="C44" i="54"/>
  <c r="E44" i="54" s="1"/>
  <c r="G44" i="54" s="1"/>
  <c r="C47" i="54"/>
  <c r="E47" i="54" s="1"/>
  <c r="G47" i="54" s="1"/>
  <c r="E40" i="54"/>
  <c r="E57" i="54" s="1"/>
  <c r="G23" i="54"/>
  <c r="E36" i="54"/>
  <c r="G27" i="54"/>
  <c r="E65" i="54"/>
  <c r="G30" i="54"/>
  <c r="G59" i="54"/>
  <c r="E77" i="54"/>
  <c r="G77" i="54" s="1"/>
  <c r="E113" i="54"/>
  <c r="G113" i="54" s="1"/>
  <c r="G96" i="54"/>
  <c r="E101" i="54"/>
  <c r="AM799" i="49" l="1"/>
  <c r="AR785" i="49"/>
  <c r="AQ801" i="49" s="1"/>
  <c r="AM801" i="49"/>
  <c r="AR791" i="49"/>
  <c r="AQ807" i="49" s="1"/>
  <c r="AM807" i="49"/>
  <c r="K115" i="11"/>
  <c r="K111" i="11"/>
  <c r="C53" i="54"/>
  <c r="G95" i="54"/>
  <c r="E100" i="54"/>
  <c r="E117" i="54" s="1"/>
  <c r="G117" i="54" s="1"/>
  <c r="E97" i="54"/>
  <c r="G97" i="54" s="1"/>
  <c r="G101" i="54"/>
  <c r="E118" i="54"/>
  <c r="G118" i="54" s="1"/>
  <c r="G65" i="54"/>
  <c r="E83" i="54"/>
  <c r="G83" i="54" s="1"/>
  <c r="E93" i="54"/>
  <c r="G40" i="54"/>
  <c r="G53" i="54" s="1"/>
  <c r="E53" i="54"/>
  <c r="E75" i="54"/>
  <c r="G75" i="54" s="1"/>
  <c r="G57" i="54"/>
  <c r="G36" i="54"/>
  <c r="K116" i="11" l="1"/>
  <c r="G89" i="54"/>
  <c r="C130" i="54" s="1"/>
  <c r="E114" i="54"/>
  <c r="G114" i="54" s="1"/>
  <c r="G100" i="54"/>
  <c r="C127" i="54"/>
  <c r="G71" i="54"/>
  <c r="C129" i="54" s="1"/>
  <c r="G93" i="54"/>
  <c r="E110" i="54"/>
  <c r="E106" i="54"/>
  <c r="G106" i="54" l="1"/>
  <c r="C128" i="54" s="1"/>
  <c r="G110" i="54"/>
  <c r="G123" i="54" s="1"/>
  <c r="C131" i="54" s="1"/>
  <c r="E123" i="54"/>
  <c r="C134" i="54" l="1"/>
  <c r="I90" i="11" l="1"/>
  <c r="I94" i="11" s="1"/>
  <c r="J90" i="11" l="1"/>
  <c r="J94" i="11" s="1"/>
  <c r="K90" i="11" l="1"/>
  <c r="K94" i="11" s="1"/>
  <c r="I92" i="11" l="1"/>
  <c r="I96" i="11" s="1"/>
  <c r="I91" i="11" l="1"/>
  <c r="I95" i="11" s="1"/>
  <c r="J92" i="11"/>
  <c r="J96" i="11" s="1"/>
  <c r="K92" i="11" l="1"/>
  <c r="K96" i="11" s="1"/>
  <c r="J91" i="11"/>
  <c r="J95" i="11" s="1"/>
  <c r="K91" i="11" l="1"/>
  <c r="K95" i="11" s="1"/>
  <c r="B101" i="11" l="1"/>
  <c r="B139" i="49" l="1"/>
  <c r="I58" i="51"/>
  <c r="I109" i="11" s="1"/>
  <c r="I114" i="11" l="1"/>
  <c r="I119" i="11"/>
  <c r="J130" i="49"/>
  <c r="B149" i="49"/>
  <c r="P23" i="49" l="1"/>
  <c r="P24" i="49" s="1"/>
  <c r="R23" i="49" l="1"/>
  <c r="R24" i="49" s="1"/>
  <c r="Q23" i="49"/>
  <c r="Q24" i="49" s="1"/>
  <c r="T23" i="49" l="1"/>
  <c r="T24" i="49" s="1"/>
  <c r="U23" i="49"/>
  <c r="S23" i="49"/>
  <c r="S24" i="49" s="1"/>
  <c r="W23" i="49" l="1"/>
  <c r="AC764" i="49" l="1"/>
  <c r="C73" i="55"/>
  <c r="D73" i="55" s="1"/>
  <c r="E73" i="55" s="1"/>
  <c r="B90" i="55"/>
  <c r="AD714" i="49"/>
  <c r="AE714" i="49" s="1"/>
  <c r="AF714" i="49" s="1"/>
  <c r="C79" i="55"/>
  <c r="D79" i="55" s="1"/>
  <c r="E79" i="55" s="1"/>
  <c r="B96" i="55"/>
  <c r="AD720" i="49"/>
  <c r="AE720" i="49" s="1"/>
  <c r="AF720" i="49" s="1"/>
  <c r="AC770" i="49"/>
  <c r="AC769" i="49" l="1"/>
  <c r="B95" i="55"/>
  <c r="AD719" i="49"/>
  <c r="AE719" i="49" s="1"/>
  <c r="AF719" i="49" s="1"/>
  <c r="C78" i="55"/>
  <c r="D78" i="55" s="1"/>
  <c r="E78" i="55" s="1"/>
  <c r="B93" i="55"/>
  <c r="AC767" i="49"/>
  <c r="AD717" i="49"/>
  <c r="AE717" i="49" s="1"/>
  <c r="AF717" i="49" s="1"/>
  <c r="C76" i="55"/>
  <c r="D76" i="55" s="1"/>
  <c r="E76" i="55" s="1"/>
  <c r="C74" i="55" l="1"/>
  <c r="D74" i="55" s="1"/>
  <c r="E74" i="55" s="1"/>
  <c r="AD715" i="49"/>
  <c r="AE715" i="49" s="1"/>
  <c r="AF715" i="49" s="1"/>
  <c r="AC765" i="49"/>
  <c r="B91" i="55"/>
  <c r="AD721" i="49"/>
  <c r="AE721" i="49" s="1"/>
  <c r="AF721" i="49" s="1"/>
  <c r="AC771" i="49"/>
  <c r="B97" i="55"/>
  <c r="C80" i="55"/>
  <c r="D80" i="55" s="1"/>
  <c r="E80" i="55" s="1"/>
  <c r="B94" i="55"/>
  <c r="AC768" i="49"/>
  <c r="AD718" i="49"/>
  <c r="AE718" i="49" s="1"/>
  <c r="AF718" i="49" s="1"/>
  <c r="C77" i="55"/>
  <c r="D77" i="55" s="1"/>
  <c r="E77" i="55" s="1"/>
  <c r="C72" i="55"/>
  <c r="AC763" i="49"/>
  <c r="B89" i="55"/>
  <c r="AD713" i="49"/>
  <c r="D72" i="55" l="1"/>
  <c r="E72" i="55" s="1"/>
  <c r="AE713" i="49"/>
  <c r="C75" i="55"/>
  <c r="D75" i="55" s="1"/>
  <c r="E75" i="55" s="1"/>
  <c r="AD716" i="49"/>
  <c r="AE716" i="49" s="1"/>
  <c r="AF716" i="49" s="1"/>
  <c r="AC766" i="49"/>
  <c r="B92" i="55"/>
  <c r="AF713" i="49" l="1"/>
  <c r="C96" i="55" l="1"/>
  <c r="D96" i="55" s="1"/>
  <c r="E96" i="55" s="1"/>
  <c r="AD770" i="49"/>
  <c r="AE770" i="49" s="1"/>
  <c r="AF770" i="49" s="1"/>
  <c r="B113" i="55"/>
  <c r="AD767" i="49"/>
  <c r="AE767" i="49" s="1"/>
  <c r="AF767" i="49" s="1"/>
  <c r="B110" i="55"/>
  <c r="C93" i="55"/>
  <c r="D93" i="55" s="1"/>
  <c r="E93" i="55" s="1"/>
  <c r="B112" i="55"/>
  <c r="AD769" i="49"/>
  <c r="AE769" i="49" s="1"/>
  <c r="AF769" i="49" s="1"/>
  <c r="C95" i="55"/>
  <c r="D95" i="55" s="1"/>
  <c r="E95" i="55" s="1"/>
  <c r="C98" i="55" l="1"/>
  <c r="U14" i="49"/>
  <c r="B115" i="55"/>
  <c r="W14" i="49"/>
  <c r="C115" i="55" s="1"/>
  <c r="D115" i="55" s="1"/>
  <c r="E115" i="55" s="1"/>
  <c r="AD772" i="49"/>
  <c r="AD771" i="49"/>
  <c r="AE771" i="49" s="1"/>
  <c r="AF771" i="49" s="1"/>
  <c r="C97" i="55"/>
  <c r="D97" i="55" s="1"/>
  <c r="E97" i="55" s="1"/>
  <c r="B114" i="55"/>
  <c r="C89" i="55"/>
  <c r="AD763" i="49"/>
  <c r="B106" i="55"/>
  <c r="C92" i="55"/>
  <c r="D92" i="55" s="1"/>
  <c r="E92" i="55" s="1"/>
  <c r="B109" i="55"/>
  <c r="AD766" i="49"/>
  <c r="AE766" i="49" s="1"/>
  <c r="AF766" i="49" s="1"/>
  <c r="AD764" i="49"/>
  <c r="AE764" i="49" s="1"/>
  <c r="AF764" i="49" s="1"/>
  <c r="C90" i="55"/>
  <c r="D90" i="55" s="1"/>
  <c r="E90" i="55" s="1"/>
  <c r="B107" i="55"/>
  <c r="C94" i="55"/>
  <c r="D94" i="55" s="1"/>
  <c r="E94" i="55" s="1"/>
  <c r="B111" i="55"/>
  <c r="AD768" i="49"/>
  <c r="AE768" i="49" s="1"/>
  <c r="AF768" i="49" s="1"/>
  <c r="AE763" i="49" l="1"/>
  <c r="AD722" i="49"/>
  <c r="C81" i="55"/>
  <c r="AC772" i="49"/>
  <c r="AC773" i="49" s="1"/>
  <c r="B98" i="55"/>
  <c r="B100" i="55" s="1"/>
  <c r="U17" i="49"/>
  <c r="U24" i="49" s="1"/>
  <c r="AD765" i="49"/>
  <c r="AE765" i="49" s="1"/>
  <c r="AF765" i="49" s="1"/>
  <c r="C91" i="55"/>
  <c r="D91" i="55" s="1"/>
  <c r="E91" i="55" s="1"/>
  <c r="B108" i="55"/>
  <c r="B117" i="55" s="1"/>
  <c r="V17" i="49"/>
  <c r="V24" i="49" s="1"/>
  <c r="D89" i="55"/>
  <c r="E89" i="55" s="1"/>
  <c r="C100" i="55" l="1"/>
  <c r="AE772" i="49"/>
  <c r="AF772" i="49" s="1"/>
  <c r="D98" i="55"/>
  <c r="E98" i="55" s="1"/>
  <c r="D100" i="55"/>
  <c r="E100" i="55" s="1"/>
  <c r="AE722" i="49"/>
  <c r="AD723" i="49"/>
  <c r="AF763" i="49"/>
  <c r="AE773" i="49"/>
  <c r="AF773" i="49" s="1"/>
  <c r="D81" i="55"/>
  <c r="E81" i="55" s="1"/>
  <c r="C83" i="55"/>
  <c r="D83" i="55" s="1"/>
  <c r="E83" i="55" s="1"/>
  <c r="AD773" i="49"/>
  <c r="AF722" i="49" l="1"/>
  <c r="AE723" i="49"/>
  <c r="AF723" i="49" s="1"/>
  <c r="C108" i="55" l="1"/>
  <c r="D108" i="55" s="1"/>
  <c r="E108" i="55" s="1"/>
  <c r="C112" i="55"/>
  <c r="D112" i="55" s="1"/>
  <c r="E112" i="55" s="1"/>
  <c r="C114" i="55"/>
  <c r="D114" i="55" s="1"/>
  <c r="E114" i="55" s="1"/>
  <c r="C111" i="55" l="1"/>
  <c r="D111" i="55" s="1"/>
  <c r="E111" i="55" s="1"/>
  <c r="C113" i="55"/>
  <c r="D113" i="55" s="1"/>
  <c r="E113" i="55" s="1"/>
  <c r="C110" i="55" l="1"/>
  <c r="D110" i="55" s="1"/>
  <c r="E110" i="55" s="1"/>
  <c r="C109" i="55"/>
  <c r="D109" i="55" s="1"/>
  <c r="E109" i="55" s="1"/>
  <c r="C106" i="55"/>
  <c r="D106" i="55" l="1"/>
  <c r="E106" i="55" s="1"/>
  <c r="C107" i="55" l="1"/>
  <c r="W17" i="49"/>
  <c r="W24" i="49" s="1"/>
  <c r="D107" i="55" l="1"/>
  <c r="E107" i="55" s="1"/>
  <c r="C117" i="55"/>
  <c r="D117" i="55" s="1"/>
  <c r="E117" i="55" s="1"/>
</calcChain>
</file>

<file path=xl/comments1.xml><?xml version="1.0" encoding="utf-8"?>
<comments xmlns="http://schemas.openxmlformats.org/spreadsheetml/2006/main">
  <authors>
    <author>Author</author>
  </authors>
  <commentList>
    <comment ref="B3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D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total from Jean</t>
        </r>
      </text>
    </comment>
  </commentList>
</comments>
</file>

<file path=xl/sharedStrings.xml><?xml version="1.0" encoding="utf-8"?>
<sst xmlns="http://schemas.openxmlformats.org/spreadsheetml/2006/main" count="2070" uniqueCount="398">
  <si>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</si>
  <si>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</si>
  <si>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</si>
  <si>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</si>
  <si>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</si>
  <si>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</si>
  <si>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</si>
  <si>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</si>
  <si>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</si>
  <si>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</si>
  <si>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</si>
  <si>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</si>
  <si>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</si>
  <si>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</si>
  <si>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</si>
  <si>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</si>
  <si>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</si>
  <si>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</si>
  <si>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</si>
  <si>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Check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</si>
  <si>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</si>
  <si>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</si>
  <si>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</si>
  <si>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</si>
  <si>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</si>
  <si>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</si>
  <si>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</si>
  <si>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</si>
  <si>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</si>
  <si>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</si>
  <si>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</si>
  <si>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</si>
  <si>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</si>
  <si>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</si>
  <si>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</si>
  <si>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</si>
  <si>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</si>
  <si>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</si>
  <si>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</si>
  <si>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</si>
  <si>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</si>
  <si>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</si>
  <si>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</si>
  <si>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</si>
  <si>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</si>
  <si>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</si>
  <si>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</si>
  <si>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</si>
  <si>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</si>
  <si>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</si>
  <si>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</si>
  <si>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</si>
  <si>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</si>
  <si>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</si>
  <si>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</si>
  <si>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</si>
  <si>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</si>
  <si>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</si>
  <si>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</si>
  <si>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</si>
  <si>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</si>
  <si>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</si>
  <si>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r>
      <t xml:space="preserve">General Service </t>
    </r>
    <r>
      <rPr>
        <u/>
        <sz val="10"/>
        <rFont val="Arial"/>
        <family val="2"/>
      </rPr>
      <t>&gt; 50 to 999 kW</t>
    </r>
  </si>
  <si>
    <r>
      <t xml:space="preserve">General Service </t>
    </r>
    <r>
      <rPr>
        <u/>
        <sz val="10"/>
        <rFont val="Arial"/>
        <family val="2"/>
      </rPr>
      <t>&gt; 1000 to 4999 kW</t>
    </r>
  </si>
  <si>
    <t>kW/kWh</t>
  </si>
  <si>
    <t>Check totals above sould be zero</t>
  </si>
  <si>
    <t>Street Lights</t>
  </si>
  <si>
    <t xml:space="preserve">Embedded </t>
  </si>
  <si>
    <t>Waterloo</t>
  </si>
  <si>
    <t>Hydro One</t>
  </si>
  <si>
    <t>Weather Normal</t>
  </si>
  <si>
    <t>2012 Actual</t>
  </si>
  <si>
    <t>2011 Actual</t>
  </si>
  <si>
    <t>2010 Actual</t>
  </si>
  <si>
    <t>Total Annual CDM Results</t>
  </si>
  <si>
    <t>Increase over previous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</si>
  <si>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</si>
  <si>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</si>
  <si>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</si>
  <si>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</si>
  <si>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</si>
  <si>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</si>
  <si>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</si>
  <si>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</si>
  <si>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</si>
  <si>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</si>
  <si>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</si>
  <si>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</si>
  <si>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</si>
  <si>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</si>
  <si>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</si>
  <si>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</si>
  <si>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</si>
  <si>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</si>
  <si>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</si>
  <si>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</si>
  <si>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</si>
  <si>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</si>
  <si>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</si>
  <si>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</si>
  <si>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</si>
  <si>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</si>
  <si>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</si>
  <si>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</si>
  <si>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</si>
  <si>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</si>
  <si>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</si>
  <si>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</si>
  <si>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Employment Kitchener-Waterloo-Barrie (000's)</t>
  </si>
  <si>
    <t>Unemployment Kitchener-Waterloo-Barrie (000's)</t>
  </si>
  <si>
    <t>Number of Customers</t>
  </si>
  <si>
    <t>% Variance (Abs)</t>
  </si>
  <si>
    <t>Direct Market Participant</t>
  </si>
  <si>
    <t>Large User</t>
  </si>
  <si>
    <t>CDM Purchase Adjustment</t>
  </si>
  <si>
    <t>Predicted kWh Purchases after CDM</t>
  </si>
  <si>
    <t>Waterloo North kWh</t>
  </si>
  <si>
    <t>Billed kWh incl Est for Waterloo</t>
  </si>
  <si>
    <t xml:space="preserve">Billed kWh </t>
  </si>
  <si>
    <t>Est for Waterloo</t>
  </si>
  <si>
    <t>CDM Activity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</si>
  <si>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</si>
  <si>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</si>
  <si>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</si>
  <si>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</si>
  <si>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</si>
  <si>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</si>
  <si>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</si>
  <si>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</si>
  <si>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</si>
  <si>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</si>
  <si>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</si>
  <si>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</si>
  <si>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</si>
  <si>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</si>
  <si>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</si>
  <si>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4751 - Smart Metering Entity charge</t>
  </si>
  <si>
    <t xml:space="preserve"> </t>
  </si>
  <si>
    <t>General Service &lt; 50 kW</t>
  </si>
  <si>
    <t>General Service &gt; 50 to 999 kW</t>
  </si>
  <si>
    <t>General Service &gt; 1000 to 4999 kW</t>
  </si>
  <si>
    <t>Rural Rate Charge</t>
  </si>
  <si>
    <t>Rural Rate</t>
  </si>
  <si>
    <t>Purchases kWh</t>
  </si>
  <si>
    <t>2014 COS working paper</t>
  </si>
  <si>
    <t>GS 50-1000</t>
  </si>
  <si>
    <t>LU</t>
  </si>
  <si>
    <t>Loblaws</t>
  </si>
  <si>
    <t>usage_</t>
  </si>
  <si>
    <t>Account no</t>
  </si>
  <si>
    <t>Read date</t>
  </si>
  <si>
    <t>Address</t>
  </si>
  <si>
    <t>180 Holiday Inn Dr</t>
  </si>
  <si>
    <t>Billed</t>
  </si>
  <si>
    <t>200 Franklin Blvd</t>
  </si>
  <si>
    <t>400 Conestoga Blvd</t>
  </si>
  <si>
    <t>1105 Fountain St</t>
  </si>
  <si>
    <t>Rate Class</t>
  </si>
  <si>
    <t>GS&gt;50-4,999 kW</t>
  </si>
  <si>
    <t>Cons Month</t>
  </si>
  <si>
    <t>Cons Year</t>
  </si>
  <si>
    <t>Row Labels</t>
  </si>
  <si>
    <t>Grand Total</t>
  </si>
  <si>
    <t>Column Labels</t>
  </si>
  <si>
    <t>Sum of usage_</t>
  </si>
  <si>
    <t>taken from 2014 COS working paper.</t>
  </si>
  <si>
    <t>Copied Pivot Table</t>
  </si>
  <si>
    <t>Reconciliation to Detailed Monthly Loblaws Data</t>
  </si>
  <si>
    <t>WMP</t>
  </si>
  <si>
    <t>Total IESO/OPA Annual CDM Results 2011 to 2014 programs</t>
  </si>
  <si>
    <t>2017 Programs</t>
  </si>
  <si>
    <t>CND</t>
  </si>
  <si>
    <t>BCP</t>
  </si>
  <si>
    <t xml:space="preserve">2013 Actual </t>
  </si>
  <si>
    <t xml:space="preserve">2014 Actual </t>
  </si>
  <si>
    <t xml:space="preserve">2015 Actual </t>
  </si>
  <si>
    <t xml:space="preserve">2016 Actual </t>
  </si>
  <si>
    <t>2018 Bridge</t>
  </si>
  <si>
    <t>2019 Test</t>
  </si>
  <si>
    <t>2018 Programs</t>
  </si>
  <si>
    <t>2019 Programs</t>
  </si>
  <si>
    <t>Cost of Power 2019</t>
  </si>
  <si>
    <t>2019 Load Forecast</t>
  </si>
  <si>
    <t>2019 Forecasted Metered kWhs</t>
  </si>
  <si>
    <t>2019  Loss Factor</t>
  </si>
  <si>
    <t>2016 %RPP</t>
  </si>
  <si>
    <t>Cost of Power 2018</t>
  </si>
  <si>
    <t>2018 Load Forecast</t>
  </si>
  <si>
    <t>2018 Forecasted Metered kWhs</t>
  </si>
  <si>
    <t>2018  Loss Factor</t>
  </si>
  <si>
    <t>Co-generation Facility Flag</t>
  </si>
  <si>
    <t>CND Purchased kWh Incl WMP</t>
  </si>
  <si>
    <t>CND Purchased kWh Excl WMP</t>
  </si>
  <si>
    <t>BCP Purhased</t>
  </si>
  <si>
    <t>Energy+ Purchased</t>
  </si>
  <si>
    <t>Sentinel Lights</t>
  </si>
  <si>
    <t>Energy +</t>
  </si>
  <si>
    <t>Enegy+ Weather Normal Load Forecast for 2019 Rate Application</t>
  </si>
  <si>
    <t>Year</t>
  </si>
  <si>
    <t>Growth 
(GWh)</t>
  </si>
  <si>
    <t>Customer/
Connection
Count</t>
  </si>
  <si>
    <t xml:space="preserve">Growth </t>
  </si>
  <si>
    <t>Billed Energy (GWh) and Customer Count / Connections</t>
  </si>
  <si>
    <t>Number of Customers/Connections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</si>
  <si>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</si>
  <si>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</si>
  <si>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</si>
  <si>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</si>
  <si>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</si>
  <si>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</si>
  <si>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</si>
  <si>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Growth Rate in Customers/Connections</t>
  </si>
  <si>
    <t xml:space="preserve">Annual kWh Usage Per Customer/Connection </t>
  </si>
  <si>
    <t>Forecast Annual kWh Usage per Customers/Connection</t>
  </si>
  <si>
    <t>NON-normalized Weather Billed Energy Forecast (GWh)</t>
  </si>
  <si>
    <t>Weather Sensitivity</t>
  </si>
  <si>
    <t>Total Including Persistence</t>
  </si>
  <si>
    <t>Non-normalized Weather Billed Energy Forecast (GWh)</t>
  </si>
  <si>
    <t>Weather Normalized Billed Energy Forecast (GWh)</t>
  </si>
  <si>
    <t>Billed Annual kW</t>
  </si>
  <si>
    <t>Ratio of kW to kWh</t>
  </si>
  <si>
    <t>Predicted Billed kW</t>
  </si>
  <si>
    <t>Predicted kWh Purchases before CDM adjustment</t>
  </si>
  <si>
    <t>% Difference between actual and predicted purchases</t>
  </si>
  <si>
    <t>CDM Adjustment</t>
  </si>
  <si>
    <t>Total Billed After Adjustments</t>
  </si>
  <si>
    <t>Billing Determinants</t>
  </si>
  <si>
    <t>Embedded Distributor</t>
  </si>
  <si>
    <t>Billed 
Actual
(GWh)</t>
  </si>
  <si>
    <t>Billed 
Weather 
Normal
(GWh)</t>
  </si>
  <si>
    <t>Billed Energy (GWh) - Actual</t>
  </si>
  <si>
    <t>Billed Energy (GWh) - Weather Normal</t>
  </si>
  <si>
    <t>Actual Annual Energy Usage per Customer/Connection (kWh per customer/connection)</t>
  </si>
  <si>
    <t>Normalized Annual Energy Usage per Customer/Connection (kWh per customer/connection)</t>
  </si>
  <si>
    <t>Predicted 
Weather 
Normal</t>
  </si>
  <si>
    <t>Weather 
Normal Conversion 
Factor</t>
  </si>
  <si>
    <t>Actual 
Weather 
Normal</t>
  </si>
  <si>
    <t>Geometric Mean</t>
  </si>
  <si>
    <t>Forecast Number of Customers/Connections</t>
  </si>
  <si>
    <t>Weather Adjustment (GWh)</t>
  </si>
  <si>
    <t>CDM Adjustment (GWh)</t>
  </si>
  <si>
    <t>2014 
Actual</t>
  </si>
  <si>
    <t>Total Billed Before CDM Adjustments</t>
  </si>
  <si>
    <t>Difference $</t>
  </si>
  <si>
    <t>Difference %</t>
  </si>
  <si>
    <t>Billing Quantiites</t>
  </si>
  <si>
    <t>Customers / 
Connections</t>
  </si>
  <si>
    <t>Units</t>
  </si>
  <si>
    <t xml:space="preserve">Volume Weather Normal </t>
  </si>
  <si>
    <t>Annual Usage Per Customer / Connection</t>
  </si>
  <si>
    <t>Annual Usage Per Customer / Connection Weather Normal</t>
  </si>
  <si>
    <t>Variance</t>
  </si>
  <si>
    <t>Enegy+, BCP Component Weather Normal Load Forecast for 2019 Rate Application</t>
  </si>
  <si>
    <t>Enegy+: CND Component Weather Normal Load Forecast for 2019 Rate Application</t>
  </si>
  <si>
    <t>2011 Board Approved</t>
  </si>
  <si>
    <t>2014 Board Approved</t>
  </si>
  <si>
    <t>IESO/OPA Annual CDM Results 2006 to 2010 programs (kWh)</t>
  </si>
  <si>
    <t>IESO/OPA Annual CDM Results 2011 to 2014 programs  (kWh)</t>
  </si>
  <si>
    <t>IESO/OPA Annual CDM Results 2015 programs  (kWh)</t>
  </si>
  <si>
    <t>2017 Programs (kWh)</t>
  </si>
  <si>
    <t>Total Annual CDM Results  (kWh)</t>
  </si>
  <si>
    <t>Total Manual CDM Adjustment</t>
  </si>
  <si>
    <t xml:space="preserve">Number of Meter Points </t>
  </si>
  <si>
    <t>Average 2010 to 2017</t>
  </si>
  <si>
    <t>Used for Forecast</t>
  </si>
  <si>
    <t>2019 Test - 20 Yr Trend</t>
  </si>
  <si>
    <t xml:space="preserve">2017 Actual </t>
  </si>
  <si>
    <t>2019 kW - Annual</t>
  </si>
  <si>
    <t xml:space="preserve">2019 kW - Monthly </t>
  </si>
  <si>
    <t xml:space="preserve">  kW from applicable  classes</t>
  </si>
  <si>
    <t>2014 
Board Approved</t>
  </si>
  <si>
    <t>Statistical Results</t>
  </si>
  <si>
    <t>Distribution Throughput Revenue</t>
  </si>
  <si>
    <t>Other Distribution Revenue</t>
  </si>
  <si>
    <t>Specific Service Charges</t>
  </si>
  <si>
    <t>Late Payment Charges</t>
  </si>
  <si>
    <t>Other Operating Revenues</t>
  </si>
  <si>
    <t>Other Income or Deductions</t>
  </si>
  <si>
    <t>Table 3-1 is over here</t>
  </si>
  <si>
    <t>2015 
Actual</t>
  </si>
  <si>
    <t>2016 
Actual</t>
  </si>
  <si>
    <t>2019 Test at Proposed Rates</t>
  </si>
  <si>
    <t>2019 Test at Existing Rates</t>
  </si>
  <si>
    <r>
      <t xml:space="preserve">Embedded </t>
    </r>
    <r>
      <rPr>
        <u/>
        <sz val="10"/>
        <rFont val="Arial"/>
        <family val="2"/>
      </rPr>
      <t>Distributors - Hydro One, CND</t>
    </r>
  </si>
  <si>
    <t>Embedded Distributors -Waterloo - CND</t>
  </si>
  <si>
    <t>Embedded Distributors -BPI - BCP</t>
  </si>
  <si>
    <t>Embedded Distributors - Hydro One #1, BCP</t>
  </si>
  <si>
    <t>Embedded Distributors - Hydro One #2, BCP</t>
  </si>
  <si>
    <t>Embedded Distributors - Hydro One &amp; Waterloo, CND</t>
  </si>
  <si>
    <t xml:space="preserve">  Customers </t>
  </si>
  <si>
    <t>Embedded Distributor - Hydro One, CND</t>
  </si>
  <si>
    <t>Embedded Distributor - Waterloo North, CND</t>
  </si>
  <si>
    <t>Embedded Distributor - Brantford Power, BCP</t>
  </si>
  <si>
    <t>Embedded Distributor - Hydro One #1, BCP</t>
  </si>
  <si>
    <t>Embedded Distributor - Hydro One #2, BCP</t>
  </si>
  <si>
    <t>Waterloo North</t>
  </si>
  <si>
    <t>Total (BCP + CND)</t>
  </si>
  <si>
    <t>20 Year Trend</t>
  </si>
  <si>
    <t xml:space="preserve">  kW - Estimated</t>
  </si>
  <si>
    <t>Total OPA Annual CDM Results 2006 to 2010 programs</t>
  </si>
  <si>
    <t>Total IESO Annual CDM Results 2015 programs</t>
  </si>
  <si>
    <t>Total IESO Annual CDM Results 2016 programs</t>
  </si>
  <si>
    <t>PEG # of Customers</t>
  </si>
  <si>
    <t>2018 
Bridge</t>
  </si>
  <si>
    <t>Transformer Allowance</t>
  </si>
  <si>
    <t>CDM Allocation % from Heather Tripp Feb 15, 2018</t>
  </si>
  <si>
    <t>CDM Values</t>
  </si>
  <si>
    <t>2019 kWh</t>
  </si>
  <si>
    <t>IESO/OPA Annual CDM Results 2016 programs  (kWh)</t>
  </si>
  <si>
    <t>2014
Board Approved</t>
  </si>
  <si>
    <t>Weather Normal Conversion Factor</t>
  </si>
  <si>
    <t>Table 3-32: Comparison 2014 Actual to 2015 Actual</t>
  </si>
  <si>
    <t>2015
Actual</t>
  </si>
  <si>
    <t>Table 3-34: Comparison 2015 Actual to 2016 Actual</t>
  </si>
  <si>
    <t>2016
Actual</t>
  </si>
  <si>
    <t>Table 3-36: Comparison 2016 Actual to 2017 Actual</t>
  </si>
  <si>
    <t>2017
Actual</t>
  </si>
  <si>
    <t>Table 3-38: Comparison 2017 Actual to 2018 Bridge</t>
  </si>
  <si>
    <t>2018
Bridge</t>
  </si>
  <si>
    <t>Table 3-30: Comparison 2014 Board Approved to 2014 Actual</t>
  </si>
  <si>
    <t>Table 3-40: Comparison 2018 Actual to 2019 Actual</t>
  </si>
  <si>
    <t>2019 at Existing Rates
Test</t>
  </si>
  <si>
    <t>2019 at Proposed Rates
Test</t>
  </si>
  <si>
    <t>2019 
Test</t>
  </si>
  <si>
    <t>FIT/micro FIT</t>
  </si>
  <si>
    <t>Hardcoded #s are from BCP FS</t>
  </si>
  <si>
    <t>Former BCP 2014 Board Approved Proxy</t>
  </si>
  <si>
    <t>Proxy 2012</t>
  </si>
  <si>
    <t>Proxy 2013</t>
  </si>
  <si>
    <t>Proxy 2014</t>
  </si>
  <si>
    <t>IRM Factor</t>
  </si>
  <si>
    <t>USoA Description</t>
  </si>
  <si>
    <t>Former CND 2014 Board Approved</t>
  </si>
  <si>
    <t>Energy+ 2014 Board Approved Proxy</t>
  </si>
  <si>
    <t>For purposes of this table any customers &gt; 1,000 for former Brant County Power have been included in General Service &gt; 50 to 999 kW rate class for historical purposes</t>
  </si>
  <si>
    <t>information gathered from BA Draft Rate Order pdf</t>
  </si>
  <si>
    <t>BCP on pg 164/176</t>
  </si>
  <si>
    <t>CGAAP</t>
  </si>
  <si>
    <t>N/A</t>
  </si>
  <si>
    <t>Table 3-2: Summary of Operating Revenue</t>
  </si>
  <si>
    <t>Other</t>
  </si>
  <si>
    <t>Table 3-3: Summary of Load and Customer/Connection Forecast</t>
  </si>
  <si>
    <t xml:space="preserve">Table 3-4 Billed Energy by Rate Class - Brant County </t>
  </si>
  <si>
    <t>Table 3-5: Number of Customers/Connections  and Annual Normalized Usage by Rate Class - Brant County</t>
  </si>
  <si>
    <t xml:space="preserve">Table 3-6 Billed Energy by Rate Class - Cambridge and North Dumfries </t>
  </si>
  <si>
    <t xml:space="preserve">Table 3-7: Number of Customers/Connections  and Annual Normalized Usage by Rate Class - Cambridge and North Dumfries </t>
  </si>
  <si>
    <t>Table 3-8 Billed Energy by Rate Class - Enegy+ Inc</t>
  </si>
  <si>
    <t>Table 3-9: Number of Customers/Connections  and Annual Normalized Usage by Rate Class -  Enegy+ Inc</t>
  </si>
  <si>
    <t>Table 3-10: CDM Activity Variable Supporting Data</t>
  </si>
  <si>
    <t>Table 3-11: Statistical Results</t>
  </si>
  <si>
    <t>Table 3-12: Total System Purchases Excluding Wholesale Market Particpants</t>
  </si>
  <si>
    <t>Table 3-13: Historical Customer/Connection Data</t>
  </si>
  <si>
    <t>Table 3-14: Growth Rate in Customer/Connections</t>
  </si>
  <si>
    <t>Table 3-15: Customer/Connection Forecast</t>
  </si>
  <si>
    <t>Table 3-16: 2017 Actual Annual Usage per Customer</t>
  </si>
  <si>
    <t>Table 3-17: Forecast Annual kWh Usage per Customer/Connection</t>
  </si>
  <si>
    <t>Table 3-18: Non-normalized Weather Billed Energy Forecast</t>
  </si>
  <si>
    <t>Table 3-19: Weather Sensitivity by Rate Class</t>
  </si>
  <si>
    <t>Table 3-20: 2018 - 2019 Expected Full Year Total kWh Savings</t>
  </si>
  <si>
    <t>Table 3-21: 2018 - 2019 Manual CDM Adjustment with 1/2 year rule (kWh)</t>
  </si>
  <si>
    <t>Table 3-22: Rate Class CDM Allocator</t>
  </si>
  <si>
    <t>Table 3-23: Manual CDM Adjsutment by Rate Class (kWh)</t>
  </si>
  <si>
    <t>Table 3-24: 2019 LRAMVA Threshold</t>
  </si>
  <si>
    <t xml:space="preserve">Table 3-25: Alignment of Non-normal to Weather Normal Forecast </t>
  </si>
  <si>
    <t>Table 3-26: Direct Market Participant Additional Data</t>
  </si>
  <si>
    <t>Table 3-27: Embedded Distributor Waterloo North Additional Data</t>
  </si>
  <si>
    <t>Table 3-28: Historical Annual kW per Applicable Rate Class</t>
  </si>
  <si>
    <t>Table 3-29: Historical kW/KWh Ratio per Applicable Rate Class</t>
  </si>
  <si>
    <t>Table 3-30: kW Forecast by Applicable Rate Class</t>
  </si>
  <si>
    <t xml:space="preserve">Table 3-31: Forecast Summary </t>
  </si>
  <si>
    <t>Difference  $</t>
  </si>
  <si>
    <t>Difference    %</t>
  </si>
  <si>
    <t>Table 3-32: Comparison  2014 Board Approved to 2014 Actual</t>
  </si>
  <si>
    <t>Table 3-33: Comparison  2014 Board Approved to 2014 Actual</t>
  </si>
  <si>
    <t>Table 3-34: Comparison 2014 Actual to 2015 Actual</t>
  </si>
  <si>
    <t>Difference    $</t>
  </si>
  <si>
    <t>Table 3-35:  Comparison 2014 Actual to 2015 Actual</t>
  </si>
  <si>
    <t>Table 3-36: Comparison 2015 Actual to 2016 Actual</t>
  </si>
  <si>
    <t>Table 3-37:  Comparison 2015 Actual to 2016 Actual</t>
  </si>
  <si>
    <t>Table 3-38: Comparison 2016 Actual to 2017 Actual</t>
  </si>
  <si>
    <t>Table 3-39:  Comparison 2016 Actual to 2017 Actual</t>
  </si>
  <si>
    <t>Table 3-40: Comparison 2017 Actual to 2018 Bridge</t>
  </si>
  <si>
    <t>Table 3-41: Comparison 2017 Actual to 2018 Bridge</t>
  </si>
  <si>
    <t>Table 3-43: Comparison  2018 Bridge to 2019 Test</t>
  </si>
  <si>
    <t>FIT/micro FIT/Other</t>
  </si>
  <si>
    <t>FIT/Micro FIT/Other</t>
  </si>
  <si>
    <t>Other Revenue</t>
  </si>
  <si>
    <t>Total Service Revenue Requirement</t>
  </si>
  <si>
    <t>Original Table - Other Revenue Included</t>
  </si>
  <si>
    <t>CND on pg 12/217</t>
  </si>
  <si>
    <t>Base Revenue, excluding Other Revenue</t>
  </si>
  <si>
    <t>Table 3-42A: Comparison  2018 Bridge to 2019 Test @ Existing Rates</t>
  </si>
  <si>
    <t>Table 3-42A: Comparison  2018 Bridge to 2019 Test @ Proposed Rates</t>
  </si>
  <si>
    <t>2019
Test @ Proposed Rates</t>
  </si>
  <si>
    <t>2019
Test @ Existing Rates</t>
  </si>
  <si>
    <t>2017 
Forecast</t>
  </si>
  <si>
    <t>Total IESO Annual CDM Results 2017 programs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</si>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</sst>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;\(#,##0\)"/>
    <numFmt numFmtId="167" formatCode="0.0000"/>
    <numFmt numFmtId="168" formatCode="#,##0.0000"/>
    <numFmt numFmtId="169" formatCode="0.0000%"/>
    <numFmt numFmtId="170" formatCode="#,##0.0000_);\(#,##0.0000\)"/>
    <numFmt numFmtId="171" formatCode="_(* #,##0_);_(* \(#,##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_-* #,##0_-;\-* #,##0_-;_-* &quot;-&quot;??_-;_-@_-"/>
    <numFmt numFmtId="175" formatCode="&quot;$&quot;#,##0.00000_);\(&quot;$&quot;#,##0.00000\)"/>
    <numFmt numFmtId="176" formatCode="#,##0.00000_);\(#,##0.00000\)"/>
    <numFmt numFmtId="177" formatCode="&quot;$&quot;#,##0.0000_);\(&quot;$&quot;#,##0.0000\)"/>
    <numFmt numFmtId="178" formatCode="#,##0.0"/>
    <numFmt numFmtId="179" formatCode="&quot;$&quot;#,##0.00000_);[Red]\(&quot;$&quot;#,##0.00000\)"/>
    <numFmt numFmtId="180" formatCode="mm/dd/yyyy"/>
    <numFmt numFmtId="181" formatCode="0\-0"/>
    <numFmt numFmtId="182" formatCode="##\-#"/>
    <numFmt numFmtId="183" formatCode="&quot;£ &quot;#,##0.00;[Red]\-&quot;£ &quot;#,##0.00"/>
    <numFmt numFmtId="184" formatCode="#,##0.0;\(#,##0.0\)"/>
    <numFmt numFmtId="185" formatCode="0.0%;\(0.0%\)"/>
    <numFmt numFmtId="186" formatCode="0.0;\(0.0\)"/>
    <numFmt numFmtId="187" formatCode="#,##0.00000"/>
    <numFmt numFmtId="188" formatCode="0.0000%;\(0.0%\)"/>
    <numFmt numFmtId="189" formatCode="0;\(0\)"/>
    <numFmt numFmtId="190" formatCode="&quot;$&quot;#,##0;&quot;$&quot;\-#,##0"/>
    <numFmt numFmtId="191" formatCode="#,##0.0;\-#,##0.0"/>
    <numFmt numFmtId="192" formatCode="_(&quot;$&quot;* #,##0_);_(&quot;$&quot;* \(#,##0\);_(&quot;$&quot;* &quot;-&quot;??_);_(@_)"/>
    <numFmt numFmtId="193" formatCode="#,##0;\-#,##0"/>
    <numFmt numFmtId="194" formatCode="0.000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8" borderId="1" applyNumberFormat="0" applyProtection="0">
      <alignment horizontal="left"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/>
    <xf numFmtId="178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80" fontId="7" fillId="0" borderId="0"/>
    <xf numFmtId="181" fontId="7" fillId="0" borderId="0"/>
    <xf numFmtId="180" fontId="7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32" fillId="14" borderId="0" applyNumberFormat="0" applyBorder="0" applyAlignment="0" applyProtection="0"/>
    <xf numFmtId="0" fontId="36" fillId="17" borderId="30" applyNumberFormat="0" applyAlignment="0" applyProtection="0"/>
    <xf numFmtId="0" fontId="38" fillId="18" borderId="33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38" fontId="15" fillId="44" borderId="0" applyNumberFormat="0" applyBorder="0" applyAlignment="0" applyProtection="0"/>
    <xf numFmtId="38" fontId="15" fillId="44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10" fontId="15" fillId="45" borderId="1" applyNumberFormat="0" applyBorder="0" applyAlignment="0" applyProtection="0"/>
    <xf numFmtId="10" fontId="15" fillId="45" borderId="1" applyNumberFormat="0" applyBorder="0" applyAlignment="0" applyProtection="0"/>
    <xf numFmtId="0" fontId="34" fillId="16" borderId="30" applyNumberFormat="0" applyAlignment="0" applyProtection="0"/>
    <xf numFmtId="0" fontId="37" fillId="0" borderId="32" applyNumberFormat="0" applyFill="0" applyAlignment="0" applyProtection="0"/>
    <xf numFmtId="182" fontId="7" fillId="0" borderId="0"/>
    <xf numFmtId="171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33" fillId="15" borderId="0" applyNumberFormat="0" applyBorder="0" applyAlignment="0" applyProtection="0"/>
    <xf numFmtId="183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19" borderId="34" applyNumberFormat="0" applyFont="0" applyAlignment="0" applyProtection="0"/>
    <xf numFmtId="0" fontId="35" fillId="17" borderId="31" applyNumberFormat="0" applyAlignment="0" applyProtection="0"/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36">
      <alignment horizontal="center" vertical="center"/>
    </xf>
    <xf numFmtId="0" fontId="27" fillId="0" borderId="0" applyNumberFormat="0" applyFill="0" applyBorder="0" applyAlignment="0" applyProtection="0"/>
    <xf numFmtId="0" fontId="25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47" fillId="0" borderId="0" applyFont="0" applyFill="0" applyBorder="0" applyAlignment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1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/>
    <xf numFmtId="0" fontId="10" fillId="0" borderId="0" xfId="0" applyFont="1" applyAlignment="1"/>
    <xf numFmtId="3" fontId="0" fillId="2" borderId="0" xfId="0" applyNumberFormat="1" applyFill="1" applyAlignment="1">
      <alignment horizontal="center"/>
    </xf>
    <xf numFmtId="17" fontId="10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Continuous"/>
    </xf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10" fillId="0" borderId="0" xfId="0" applyNumberFormat="1" applyFont="1"/>
    <xf numFmtId="0" fontId="11" fillId="0" borderId="0" xfId="0" applyFont="1"/>
    <xf numFmtId="164" fontId="0" fillId="0" borderId="0" xfId="0" applyNumberFormat="1" applyAlignment="1">
      <alignment horizontal="center" wrapText="1"/>
    </xf>
    <xf numFmtId="0" fontId="10" fillId="0" borderId="0" xfId="0" applyFont="1" applyAlignment="1">
      <alignment horizontal="center" wrapText="1"/>
    </xf>
    <xf numFmtId="3" fontId="9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9" fontId="0" fillId="2" borderId="0" xfId="0" applyNumberFormat="1" applyFill="1" applyAlignment="1">
      <alignment horizontal="center"/>
    </xf>
    <xf numFmtId="171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10" fontId="0" fillId="0" borderId="0" xfId="2" applyNumberFormat="1" applyFont="1"/>
    <xf numFmtId="0" fontId="0" fillId="0" borderId="10" xfId="0" applyBorder="1"/>
    <xf numFmtId="3" fontId="0" fillId="0" borderId="5" xfId="0" applyNumberFormat="1" applyBorder="1"/>
    <xf numFmtId="172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0" fillId="0" borderId="8" xfId="0" applyFont="1" applyBorder="1"/>
    <xf numFmtId="0" fontId="0" fillId="4" borderId="8" xfId="0" applyFill="1" applyBorder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6" borderId="0" xfId="0" applyFill="1"/>
    <xf numFmtId="3" fontId="8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9" fontId="16" fillId="7" borderId="0" xfId="2" applyFont="1" applyFill="1" applyAlignment="1">
      <alignment horizontal="center"/>
    </xf>
    <xf numFmtId="3" fontId="18" fillId="0" borderId="0" xfId="0" applyNumberFormat="1" applyFont="1" applyAlignment="1">
      <alignment horizontal="left"/>
    </xf>
    <xf numFmtId="3" fontId="0" fillId="0" borderId="1" xfId="0" applyNumberFormat="1" applyBorder="1"/>
    <xf numFmtId="37" fontId="0" fillId="0" borderId="1" xfId="0" applyNumberFormat="1" applyFill="1" applyBorder="1"/>
    <xf numFmtId="170" fontId="0" fillId="0" borderId="1" xfId="0" applyNumberFormat="1" applyFill="1" applyBorder="1"/>
    <xf numFmtId="171" fontId="7" fillId="0" borderId="1" xfId="1" applyNumberFormat="1" applyFill="1" applyBorder="1"/>
    <xf numFmtId="0" fontId="10" fillId="0" borderId="1" xfId="0" applyFont="1" applyBorder="1" applyAlignment="1">
      <alignment horizontal="left" indent="1"/>
    </xf>
    <xf numFmtId="37" fontId="10" fillId="0" borderId="1" xfId="0" applyNumberFormat="1" applyFont="1" applyBorder="1"/>
    <xf numFmtId="0" fontId="10" fillId="0" borderId="1" xfId="0" applyFont="1" applyBorder="1"/>
    <xf numFmtId="170" fontId="0" fillId="3" borderId="1" xfId="0" applyNumberFormat="1" applyFill="1" applyBorder="1"/>
    <xf numFmtId="37" fontId="0" fillId="0" borderId="1" xfId="0" applyNumberFormat="1" applyBorder="1"/>
    <xf numFmtId="175" fontId="0" fillId="3" borderId="1" xfId="0" applyNumberFormat="1" applyFill="1" applyBorder="1"/>
    <xf numFmtId="5" fontId="0" fillId="0" borderId="1" xfId="0" applyNumberFormat="1" applyBorder="1"/>
    <xf numFmtId="176" fontId="0" fillId="0" borderId="1" xfId="0" applyNumberFormat="1" applyBorder="1"/>
    <xf numFmtId="5" fontId="10" fillId="0" borderId="1" xfId="0" applyNumberFormat="1" applyFont="1" applyFill="1" applyBorder="1"/>
    <xf numFmtId="0" fontId="10" fillId="0" borderId="0" xfId="0" applyFont="1" applyBorder="1" applyAlignment="1">
      <alignment horizontal="left" indent="1"/>
    </xf>
    <xf numFmtId="37" fontId="10" fillId="0" borderId="0" xfId="0" applyNumberFormat="1" applyFont="1" applyBorder="1"/>
    <xf numFmtId="0" fontId="10" fillId="0" borderId="0" xfId="0" applyFont="1" applyBorder="1"/>
    <xf numFmtId="176" fontId="0" fillId="0" borderId="0" xfId="0" applyNumberFormat="1" applyBorder="1"/>
    <xf numFmtId="5" fontId="10" fillId="0" borderId="0" xfId="0" applyNumberFormat="1" applyFont="1" applyFill="1" applyBorder="1"/>
    <xf numFmtId="3" fontId="0" fillId="0" borderId="16" xfId="0" applyNumberFormat="1" applyBorder="1"/>
    <xf numFmtId="170" fontId="0" fillId="0" borderId="1" xfId="0" applyNumberFormat="1" applyBorder="1" applyAlignment="1">
      <alignment horizontal="center"/>
    </xf>
    <xf numFmtId="177" fontId="0" fillId="3" borderId="1" xfId="0" applyNumberFormat="1" applyFill="1" applyBorder="1"/>
    <xf numFmtId="5" fontId="10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165" fontId="0" fillId="0" borderId="0" xfId="0" applyNumberFormat="1" applyFill="1" applyAlignment="1">
      <alignment horizontal="center"/>
    </xf>
    <xf numFmtId="43" fontId="0" fillId="0" borderId="0" xfId="1" applyFont="1" applyFill="1" applyBorder="1" applyAlignment="1"/>
    <xf numFmtId="171" fontId="0" fillId="0" borderId="0" xfId="1" applyNumberFormat="1" applyFont="1" applyFill="1" applyBorder="1" applyAlignment="1"/>
    <xf numFmtId="43" fontId="0" fillId="0" borderId="2" xfId="1" applyFont="1" applyFill="1" applyBorder="1" applyAlignment="1"/>
    <xf numFmtId="164" fontId="0" fillId="0" borderId="0" xfId="2" applyNumberFormat="1" applyFont="1" applyAlignment="1">
      <alignment horizontal="center"/>
    </xf>
    <xf numFmtId="0" fontId="7" fillId="0" borderId="0" xfId="0" applyFont="1" applyAlignment="1">
      <alignment horizontal="left"/>
    </xf>
    <xf numFmtId="37" fontId="0" fillId="0" borderId="0" xfId="0" applyNumberForma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7" fillId="0" borderId="0" xfId="0" applyFont="1"/>
    <xf numFmtId="0" fontId="10" fillId="0" borderId="0" xfId="0" applyFont="1" applyFill="1" applyAlignment="1">
      <alignment horizontal="center" wrapText="1"/>
    </xf>
    <xf numFmtId="38" fontId="0" fillId="0" borderId="0" xfId="0" applyNumberFormat="1" applyFill="1" applyAlignment="1">
      <alignment horizontal="center"/>
    </xf>
    <xf numFmtId="3" fontId="7" fillId="3" borderId="0" xfId="0" quotePrefix="1" applyNumberFormat="1" applyFont="1" applyFill="1" applyAlignment="1">
      <alignment horizontal="center" wrapText="1"/>
    </xf>
    <xf numFmtId="0" fontId="7" fillId="0" borderId="0" xfId="4"/>
    <xf numFmtId="166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7" fillId="5" borderId="0" xfId="0" applyNumberFormat="1" applyFont="1" applyFill="1" applyAlignment="1">
      <alignment horizontal="center" wrapText="1"/>
    </xf>
    <xf numFmtId="0" fontId="10" fillId="0" borderId="0" xfId="4" applyFont="1"/>
    <xf numFmtId="0" fontId="20" fillId="0" borderId="0" xfId="4" applyFont="1"/>
    <xf numFmtId="43" fontId="7" fillId="0" borderId="0" xfId="11" applyFont="1"/>
    <xf numFmtId="0" fontId="21" fillId="0" borderId="0" xfId="4" applyFont="1"/>
    <xf numFmtId="43" fontId="15" fillId="0" borderId="0" xfId="11" applyFont="1"/>
    <xf numFmtId="0" fontId="15" fillId="0" borderId="0" xfId="4" applyFont="1"/>
    <xf numFmtId="43" fontId="22" fillId="0" borderId="0" xfId="11" applyFont="1" applyAlignment="1">
      <alignment horizontal="right"/>
    </xf>
    <xf numFmtId="0" fontId="22" fillId="0" borderId="13" xfId="4" applyFont="1" applyBorder="1" applyAlignment="1">
      <alignment horizontal="right"/>
    </xf>
    <xf numFmtId="0" fontId="15" fillId="0" borderId="0" xfId="4" applyFont="1" applyAlignment="1">
      <alignment horizontal="right"/>
    </xf>
    <xf numFmtId="43" fontId="15" fillId="0" borderId="0" xfId="4" applyNumberFormat="1" applyFont="1" applyAlignment="1">
      <alignment horizontal="right"/>
    </xf>
    <xf numFmtId="43" fontId="7" fillId="0" borderId="0" xfId="4" applyNumberFormat="1"/>
    <xf numFmtId="165" fontId="8" fillId="0" borderId="0" xfId="0" applyNumberFormat="1" applyFont="1" applyFill="1" applyAlignment="1">
      <alignment horizontal="center"/>
    </xf>
    <xf numFmtId="10" fontId="0" fillId="0" borderId="0" xfId="0" applyNumberFormat="1"/>
    <xf numFmtId="10" fontId="7" fillId="3" borderId="1" xfId="2" applyNumberFormat="1" applyFill="1" applyBorder="1"/>
    <xf numFmtId="0" fontId="17" fillId="9" borderId="1" xfId="0" applyFont="1" applyFill="1" applyBorder="1"/>
    <xf numFmtId="0" fontId="10" fillId="9" borderId="1" xfId="0" applyFont="1" applyFill="1" applyBorder="1"/>
    <xf numFmtId="0" fontId="17" fillId="9" borderId="15" xfId="0" applyFont="1" applyFill="1" applyBorder="1"/>
    <xf numFmtId="0" fontId="10" fillId="9" borderId="12" xfId="0" applyFont="1" applyFill="1" applyBorder="1"/>
    <xf numFmtId="0" fontId="10" fillId="9" borderId="10" xfId="0" applyFont="1" applyFill="1" applyBorder="1" applyAlignment="1">
      <alignment horizontal="center"/>
    </xf>
    <xf numFmtId="0" fontId="10" fillId="9" borderId="10" xfId="0" applyFont="1" applyFill="1" applyBorder="1"/>
    <xf numFmtId="0" fontId="10" fillId="9" borderId="11" xfId="0" applyFont="1" applyFill="1" applyBorder="1"/>
    <xf numFmtId="0" fontId="10" fillId="9" borderId="7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0" fillId="9" borderId="10" xfId="0" applyFill="1" applyBorder="1"/>
    <xf numFmtId="0" fontId="10" fillId="9" borderId="9" xfId="0" applyFont="1" applyFill="1" applyBorder="1" applyAlignment="1">
      <alignment horizontal="center"/>
    </xf>
    <xf numFmtId="0" fontId="17" fillId="0" borderId="17" xfId="0" applyFont="1" applyBorder="1"/>
    <xf numFmtId="0" fontId="7" fillId="0" borderId="5" xfId="0" applyFont="1" applyBorder="1"/>
    <xf numFmtId="175" fontId="18" fillId="3" borderId="1" xfId="0" applyNumberFormat="1" applyFont="1" applyFill="1" applyBorder="1"/>
    <xf numFmtId="0" fontId="23" fillId="0" borderId="0" xfId="0" applyFont="1"/>
    <xf numFmtId="179" fontId="23" fillId="0" borderId="0" xfId="0" applyNumberFormat="1" applyFont="1"/>
    <xf numFmtId="9" fontId="23" fillId="0" borderId="0" xfId="0" applyNumberFormat="1" applyFont="1" applyAlignment="1">
      <alignment horizontal="center"/>
    </xf>
    <xf numFmtId="176" fontId="18" fillId="0" borderId="1" xfId="0" applyNumberFormat="1" applyFont="1" applyBorder="1"/>
    <xf numFmtId="177" fontId="18" fillId="3" borderId="1" xfId="0" applyNumberFormat="1" applyFont="1" applyFill="1" applyBorder="1"/>
    <xf numFmtId="177" fontId="24" fillId="3" borderId="1" xfId="0" applyNumberFormat="1" applyFont="1" applyFill="1" applyBorder="1"/>
    <xf numFmtId="171" fontId="0" fillId="0" borderId="2" xfId="1" applyNumberFormat="1" applyFont="1" applyFill="1" applyBorder="1" applyAlignme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1" xfId="4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12" applyBorder="1"/>
    <xf numFmtId="0" fontId="25" fillId="0" borderId="1" xfId="12" applyFont="1" applyBorder="1" applyAlignment="1">
      <alignment horizontal="center"/>
    </xf>
    <xf numFmtId="0" fontId="6" fillId="0" borderId="0" xfId="12"/>
    <xf numFmtId="17" fontId="25" fillId="0" borderId="1" xfId="12" applyNumberFormat="1" applyFont="1" applyBorder="1" applyAlignment="1">
      <alignment horizontal="center"/>
    </xf>
    <xf numFmtId="44" fontId="6" fillId="0" borderId="1" xfId="13" applyFont="1" applyBorder="1"/>
    <xf numFmtId="43" fontId="25" fillId="0" borderId="1" xfId="14" applyFont="1" applyBorder="1"/>
    <xf numFmtId="3" fontId="6" fillId="10" borderId="0" xfId="12" applyNumberFormat="1" applyFill="1" applyAlignment="1">
      <alignment horizontal="center"/>
    </xf>
    <xf numFmtId="173" fontId="6" fillId="0" borderId="0" xfId="12" applyNumberFormat="1"/>
    <xf numFmtId="43" fontId="6" fillId="0" borderId="16" xfId="14" applyFont="1" applyFill="1" applyBorder="1"/>
    <xf numFmtId="43" fontId="6" fillId="0" borderId="0" xfId="12" applyNumberFormat="1"/>
    <xf numFmtId="0" fontId="26" fillId="0" borderId="18" xfId="0" applyFont="1" applyBorder="1" applyAlignment="1">
      <alignment horizontal="center"/>
    </xf>
    <xf numFmtId="3" fontId="25" fillId="0" borderId="0" xfId="0" applyNumberFormat="1" applyFont="1"/>
    <xf numFmtId="14" fontId="0" fillId="0" borderId="0" xfId="0" applyNumberFormat="1"/>
    <xf numFmtId="0" fontId="0" fillId="0" borderId="0" xfId="0" pivotButton="1"/>
    <xf numFmtId="38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Border="1"/>
    <xf numFmtId="0" fontId="0" fillId="11" borderId="0" xfId="0" applyFill="1"/>
    <xf numFmtId="14" fontId="0" fillId="11" borderId="26" xfId="0" applyNumberFormat="1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0" fillId="11" borderId="0" xfId="0" applyFill="1" applyBorder="1"/>
    <xf numFmtId="0" fontId="0" fillId="11" borderId="26" xfId="0" applyFill="1" applyBorder="1" applyAlignment="1">
      <alignment wrapText="1"/>
    </xf>
    <xf numFmtId="0" fontId="10" fillId="12" borderId="19" xfId="0" applyFont="1" applyFill="1" applyBorder="1" applyAlignment="1">
      <alignment horizontal="centerContinuous"/>
    </xf>
    <xf numFmtId="0" fontId="0" fillId="12" borderId="20" xfId="0" applyFill="1" applyBorder="1" applyAlignment="1">
      <alignment horizontal="centerContinuous"/>
    </xf>
    <xf numFmtId="0" fontId="0" fillId="12" borderId="21" xfId="0" applyFill="1" applyBorder="1" applyAlignment="1">
      <alignment horizontal="centerContinuous"/>
    </xf>
    <xf numFmtId="0" fontId="0" fillId="0" borderId="22" xfId="0" pivotButton="1" applyBorder="1"/>
    <xf numFmtId="0" fontId="0" fillId="0" borderId="0" xfId="0" pivotButton="1" applyBorder="1"/>
    <xf numFmtId="0" fontId="0" fillId="0" borderId="22" xfId="0" applyBorder="1" applyAlignment="1">
      <alignment horizontal="left"/>
    </xf>
    <xf numFmtId="38" fontId="0" fillId="0" borderId="0" xfId="0" applyNumberFormat="1" applyBorder="1"/>
    <xf numFmtId="38" fontId="0" fillId="0" borderId="23" xfId="0" applyNumberFormat="1" applyBorder="1"/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 horizontal="left"/>
    </xf>
    <xf numFmtId="38" fontId="0" fillId="0" borderId="2" xfId="0" applyNumberFormat="1" applyBorder="1"/>
    <xf numFmtId="38" fontId="0" fillId="0" borderId="25" xfId="0" applyNumberFormat="1" applyBorder="1"/>
    <xf numFmtId="3" fontId="25" fillId="0" borderId="19" xfId="0" applyNumberFormat="1" applyFont="1" applyBorder="1"/>
    <xf numFmtId="3" fontId="6" fillId="0" borderId="22" xfId="12" applyNumberFormat="1" applyBorder="1"/>
    <xf numFmtId="38" fontId="6" fillId="0" borderId="23" xfId="12" applyNumberFormat="1" applyBorder="1"/>
    <xf numFmtId="0" fontId="6" fillId="0" borderId="2" xfId="12" applyBorder="1"/>
    <xf numFmtId="38" fontId="6" fillId="0" borderId="25" xfId="12" applyNumberFormat="1" applyBorder="1"/>
    <xf numFmtId="0" fontId="6" fillId="0" borderId="0" xfId="12" applyBorder="1"/>
    <xf numFmtId="0" fontId="6" fillId="0" borderId="23" xfId="12" applyBorder="1"/>
    <xf numFmtId="0" fontId="6" fillId="12" borderId="19" xfId="12" applyFill="1" applyBorder="1"/>
    <xf numFmtId="0" fontId="6" fillId="12" borderId="20" xfId="12" applyFill="1" applyBorder="1"/>
    <xf numFmtId="0" fontId="6" fillId="12" borderId="21" xfId="12" applyFill="1" applyBorder="1"/>
    <xf numFmtId="3" fontId="9" fillId="4" borderId="1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1" fillId="0" borderId="0" xfId="4" applyFont="1"/>
    <xf numFmtId="0" fontId="7" fillId="0" borderId="0" xfId="4" applyAlignment="1">
      <alignment wrapText="1"/>
    </xf>
    <xf numFmtId="174" fontId="7" fillId="0" borderId="0" xfId="15" applyNumberFormat="1"/>
    <xf numFmtId="174" fontId="7" fillId="0" borderId="0" xfId="4" applyNumberFormat="1"/>
    <xf numFmtId="17" fontId="7" fillId="0" borderId="0" xfId="4" applyNumberFormat="1"/>
    <xf numFmtId="0" fontId="7" fillId="0" borderId="0" xfId="4" applyAlignment="1">
      <alignment horizontal="right"/>
    </xf>
    <xf numFmtId="3" fontId="7" fillId="0" borderId="0" xfId="4" applyNumberFormat="1" applyAlignment="1">
      <alignment horizontal="center"/>
    </xf>
    <xf numFmtId="3" fontId="7" fillId="0" borderId="0" xfId="4" applyNumberFormat="1"/>
    <xf numFmtId="9" fontId="7" fillId="0" borderId="0" xfId="2" applyNumberFormat="1"/>
    <xf numFmtId="0" fontId="7" fillId="0" borderId="0" xfId="4" applyBorder="1" applyAlignment="1">
      <alignment horizontal="center"/>
    </xf>
    <xf numFmtId="164" fontId="0" fillId="0" borderId="0" xfId="2" applyNumberFormat="1" applyFont="1" applyFill="1" applyBorder="1" applyAlignment="1"/>
    <xf numFmtId="1" fontId="0" fillId="0" borderId="0" xfId="0" applyNumberFormat="1"/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/>
    </xf>
    <xf numFmtId="171" fontId="7" fillId="0" borderId="0" xfId="1" applyNumberFormat="1" applyFont="1" applyFill="1" applyAlignment="1">
      <alignment horizontal="center"/>
    </xf>
    <xf numFmtId="171" fontId="7" fillId="0" borderId="0" xfId="1" applyNumberFormat="1" applyFont="1" applyFill="1"/>
    <xf numFmtId="3" fontId="7" fillId="3" borderId="0" xfId="0" applyNumberFormat="1" applyFont="1" applyFill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43" fontId="0" fillId="0" borderId="0" xfId="1" applyNumberFormat="1" applyFont="1" applyFill="1" applyBorder="1" applyAlignment="1"/>
    <xf numFmtId="3" fontId="7" fillId="5" borderId="0" xfId="0" applyNumberFormat="1" applyFont="1" applyFill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7" fillId="0" borderId="1" xfId="4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  <xf numFmtId="3" fontId="7" fillId="0" borderId="1" xfId="4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Alignment="1">
      <alignment horizontal="center" wrapText="1"/>
    </xf>
    <xf numFmtId="0" fontId="10" fillId="9" borderId="14" xfId="0" applyNumberFormat="1" applyFont="1" applyFill="1" applyBorder="1" applyAlignment="1">
      <alignment horizontal="center"/>
    </xf>
    <xf numFmtId="5" fontId="0" fillId="5" borderId="16" xfId="0" applyNumberFormat="1" applyFill="1" applyBorder="1"/>
    <xf numFmtId="37" fontId="0" fillId="0" borderId="0" xfId="0" applyNumberFormat="1"/>
    <xf numFmtId="171" fontId="0" fillId="0" borderId="0" xfId="0" applyNumberForma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4" applyNumberFormat="1" applyFill="1"/>
    <xf numFmtId="0" fontId="7" fillId="0" borderId="0" xfId="4" applyFill="1"/>
    <xf numFmtId="3" fontId="8" fillId="0" borderId="0" xfId="0" applyNumberFormat="1" applyFont="1" applyFill="1" applyAlignment="1">
      <alignment horizontal="center"/>
    </xf>
    <xf numFmtId="191" fontId="8" fillId="0" borderId="0" xfId="0" applyNumberFormat="1" applyFont="1" applyFill="1" applyAlignment="1">
      <alignment horizontal="center"/>
    </xf>
    <xf numFmtId="191" fontId="0" fillId="0" borderId="0" xfId="0" applyNumberFormat="1" applyFill="1" applyAlignment="1">
      <alignment horizontal="center"/>
    </xf>
    <xf numFmtId="0" fontId="22" fillId="2" borderId="0" xfId="0" applyFont="1" applyFill="1"/>
    <xf numFmtId="4" fontId="15" fillId="2" borderId="0" xfId="0" applyNumberFormat="1" applyFont="1" applyFill="1"/>
    <xf numFmtId="0" fontId="0" fillId="2" borderId="0" xfId="0" applyFill="1"/>
    <xf numFmtId="2" fontId="0" fillId="0" borderId="0" xfId="0" applyNumberFormat="1"/>
    <xf numFmtId="9" fontId="0" fillId="0" borderId="0" xfId="2" applyFont="1" applyAlignment="1">
      <alignment horizontal="center"/>
    </xf>
    <xf numFmtId="0" fontId="0" fillId="4" borderId="1" xfId="0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left"/>
    </xf>
    <xf numFmtId="37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191" fontId="8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8" xfId="4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10" fillId="0" borderId="7" xfId="4" applyFont="1" applyBorder="1" applyAlignment="1"/>
    <xf numFmtId="0" fontId="10" fillId="0" borderId="13" xfId="4" applyFont="1" applyBorder="1" applyAlignment="1"/>
    <xf numFmtId="0" fontId="10" fillId="0" borderId="0" xfId="4" applyFont="1" applyBorder="1" applyAlignment="1"/>
    <xf numFmtId="10" fontId="10" fillId="0" borderId="1" xfId="2" applyNumberFormat="1" applyFont="1" applyBorder="1"/>
    <xf numFmtId="171" fontId="0" fillId="0" borderId="1" xfId="1" applyNumberFormat="1" applyFont="1" applyBorder="1"/>
    <xf numFmtId="171" fontId="10" fillId="0" borderId="1" xfId="1" applyNumberFormat="1" applyFont="1" applyBorder="1"/>
    <xf numFmtId="171" fontId="10" fillId="0" borderId="1" xfId="1" applyNumberFormat="1" applyFont="1" applyFill="1" applyBorder="1" applyAlignment="1">
      <alignment horizontal="right" vertical="center"/>
    </xf>
    <xf numFmtId="10" fontId="10" fillId="0" borderId="13" xfId="2" applyNumberFormat="1" applyFont="1" applyBorder="1" applyAlignment="1"/>
    <xf numFmtId="10" fontId="10" fillId="0" borderId="4" xfId="2" applyNumberFormat="1" applyFont="1" applyFill="1" applyBorder="1" applyAlignment="1">
      <alignment vertical="center" wrapText="1"/>
    </xf>
    <xf numFmtId="10" fontId="0" fillId="0" borderId="1" xfId="2" applyNumberFormat="1" applyFont="1" applyBorder="1"/>
    <xf numFmtId="0" fontId="0" fillId="46" borderId="0" xfId="0" applyFont="1" applyFill="1" applyBorder="1"/>
    <xf numFmtId="0" fontId="48" fillId="46" borderId="0" xfId="0" applyFont="1" applyFill="1" applyBorder="1" applyProtection="1">
      <protection locked="0"/>
    </xf>
    <xf numFmtId="0" fontId="48" fillId="46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48" fillId="0" borderId="17" xfId="0" applyFont="1" applyFill="1" applyBorder="1" applyProtection="1">
      <protection locked="0"/>
    </xf>
    <xf numFmtId="0" fontId="48" fillId="0" borderId="1" xfId="0" applyFont="1" applyFill="1" applyBorder="1" applyProtection="1">
      <protection locked="0"/>
    </xf>
    <xf numFmtId="0" fontId="48" fillId="47" borderId="18" xfId="0" applyFont="1" applyFill="1" applyBorder="1" applyProtection="1">
      <protection locked="0"/>
    </xf>
    <xf numFmtId="0" fontId="48" fillId="47" borderId="18" xfId="0" applyFont="1" applyFill="1" applyBorder="1" applyAlignment="1" applyProtection="1">
      <alignment horizontal="center" wrapText="1"/>
      <protection locked="0"/>
    </xf>
    <xf numFmtId="0" fontId="48" fillId="47" borderId="18" xfId="0" applyFont="1" applyFill="1" applyBorder="1" applyAlignment="1" applyProtection="1">
      <alignment horizontal="center" vertical="center" wrapText="1"/>
      <protection locked="0"/>
    </xf>
    <xf numFmtId="0" fontId="48" fillId="47" borderId="37" xfId="0" applyFont="1" applyFill="1" applyBorder="1" applyAlignment="1" applyProtection="1">
      <alignment horizontal="center" vertical="center" wrapText="1"/>
      <protection locked="0"/>
    </xf>
    <xf numFmtId="0" fontId="25" fillId="47" borderId="16" xfId="0" applyFont="1" applyFill="1" applyBorder="1" applyAlignment="1" applyProtection="1">
      <alignment horizontal="center" vertical="center"/>
      <protection locked="0"/>
    </xf>
    <xf numFmtId="0" fontId="25" fillId="47" borderId="0" xfId="0" applyFont="1" applyFill="1" applyBorder="1" applyAlignment="1" applyProtection="1">
      <alignment horizontal="center" vertical="center"/>
      <protection locked="0"/>
    </xf>
    <xf numFmtId="10" fontId="25" fillId="47" borderId="38" xfId="2" applyNumberFormat="1" applyFont="1" applyFill="1" applyBorder="1" applyAlignment="1" applyProtection="1">
      <alignment horizontal="center" vertical="center"/>
      <protection locked="0"/>
    </xf>
    <xf numFmtId="10" fontId="25" fillId="47" borderId="2" xfId="2" applyNumberFormat="1" applyFont="1" applyFill="1" applyBorder="1" applyAlignment="1" applyProtection="1">
      <alignment horizontal="center" vertical="center"/>
      <protection locked="0"/>
    </xf>
    <xf numFmtId="171" fontId="0" fillId="0" borderId="1" xfId="0" applyNumberFormat="1" applyBorder="1"/>
    <xf numFmtId="43" fontId="0" fillId="0" borderId="0" xfId="0" applyNumberFormat="1"/>
    <xf numFmtId="10" fontId="7" fillId="0" borderId="1" xfId="2" applyNumberFormat="1" applyFont="1" applyBorder="1" applyAlignment="1">
      <alignment horizontal="center"/>
    </xf>
    <xf numFmtId="0" fontId="0" fillId="46" borderId="0" xfId="0" applyFill="1"/>
    <xf numFmtId="0" fontId="49" fillId="46" borderId="0" xfId="0" applyFont="1" applyFill="1"/>
    <xf numFmtId="43" fontId="0" fillId="46" borderId="0" xfId="0" applyNumberFormat="1" applyFill="1"/>
    <xf numFmtId="0" fontId="23" fillId="0" borderId="0" xfId="4" applyFont="1"/>
    <xf numFmtId="0" fontId="23" fillId="0" borderId="0" xfId="4" applyFont="1" applyAlignment="1">
      <alignment horizontal="center"/>
    </xf>
    <xf numFmtId="0" fontId="23" fillId="0" borderId="0" xfId="4" applyFont="1" applyAlignment="1"/>
    <xf numFmtId="0" fontId="23" fillId="0" borderId="1" xfId="4" applyFont="1" applyFill="1" applyBorder="1" applyAlignment="1">
      <alignment horizontal="left" vertical="center" wrapText="1"/>
    </xf>
    <xf numFmtId="171" fontId="23" fillId="0" borderId="1" xfId="1" applyNumberFormat="1" applyFont="1" applyBorder="1"/>
    <xf numFmtId="171" fontId="23" fillId="0" borderId="1" xfId="1" applyNumberFormat="1" applyFont="1" applyFill="1" applyBorder="1"/>
    <xf numFmtId="0" fontId="23" fillId="0" borderId="0" xfId="4" applyFont="1" applyFill="1"/>
    <xf numFmtId="3" fontId="23" fillId="0" borderId="1" xfId="4" applyNumberFormat="1" applyFont="1" applyFill="1" applyBorder="1" applyAlignment="1">
      <alignment horizontal="left" vertical="center" wrapText="1"/>
    </xf>
    <xf numFmtId="0" fontId="48" fillId="0" borderId="1" xfId="4" applyFont="1" applyFill="1" applyBorder="1" applyAlignment="1">
      <alignment horizontal="left" vertical="center" wrapText="1"/>
    </xf>
    <xf numFmtId="192" fontId="48" fillId="0" borderId="1" xfId="105" applyNumberFormat="1" applyFont="1" applyFill="1" applyBorder="1" applyAlignment="1">
      <alignment horizontal="right" vertical="center"/>
    </xf>
    <xf numFmtId="0" fontId="48" fillId="0" borderId="0" xfId="4" applyFont="1"/>
    <xf numFmtId="0" fontId="48" fillId="0" borderId="0" xfId="4" applyFont="1" applyFill="1" applyBorder="1" applyAlignment="1">
      <alignment horizontal="left" vertical="center"/>
    </xf>
    <xf numFmtId="171" fontId="23" fillId="0" borderId="0" xfId="1" applyNumberFormat="1" applyFont="1"/>
    <xf numFmtId="190" fontId="23" fillId="0" borderId="0" xfId="4" applyNumberFormat="1" applyFont="1"/>
    <xf numFmtId="0" fontId="48" fillId="0" borderId="0" xfId="99" applyFont="1" applyFill="1" applyBorder="1" applyAlignment="1">
      <alignment horizontal="center" vertical="center" wrapText="1"/>
    </xf>
    <xf numFmtId="171" fontId="23" fillId="0" borderId="0" xfId="4" applyNumberFormat="1" applyFont="1"/>
    <xf numFmtId="0" fontId="23" fillId="0" borderId="1" xfId="4" applyFont="1" applyFill="1" applyBorder="1" applyAlignment="1">
      <alignment horizontal="left" vertical="center"/>
    </xf>
    <xf numFmtId="178" fontId="23" fillId="0" borderId="1" xfId="100" applyNumberFormat="1" applyFont="1" applyFill="1" applyBorder="1" applyAlignment="1">
      <alignment horizontal="center" vertical="center"/>
    </xf>
    <xf numFmtId="186" fontId="23" fillId="0" borderId="1" xfId="0" applyNumberFormat="1" applyFont="1" applyFill="1" applyBorder="1" applyAlignment="1">
      <alignment horizontal="center" vertical="center"/>
    </xf>
    <xf numFmtId="37" fontId="23" fillId="0" borderId="1" xfId="4" applyNumberFormat="1" applyFont="1" applyFill="1" applyBorder="1" applyAlignment="1">
      <alignment horizontal="center" vertical="center"/>
    </xf>
    <xf numFmtId="189" fontId="23" fillId="0" borderId="1" xfId="0" applyNumberFormat="1" applyFont="1" applyFill="1" applyBorder="1" applyAlignment="1">
      <alignment horizontal="center" vertical="center"/>
    </xf>
    <xf numFmtId="189" fontId="23" fillId="0" borderId="0" xfId="0" applyNumberFormat="1" applyFont="1" applyFill="1" applyBorder="1" applyAlignment="1">
      <alignment horizontal="center" vertical="center"/>
    </xf>
    <xf numFmtId="164" fontId="23" fillId="0" borderId="0" xfId="2" applyNumberFormat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left" vertical="center"/>
    </xf>
    <xf numFmtId="178" fontId="23" fillId="0" borderId="0" xfId="0" applyNumberFormat="1" applyFont="1"/>
    <xf numFmtId="178" fontId="23" fillId="0" borderId="1" xfId="4" applyNumberFormat="1" applyFont="1" applyFill="1" applyBorder="1" applyAlignment="1">
      <alignment horizontal="center" vertical="center"/>
    </xf>
    <xf numFmtId="187" fontId="23" fillId="0" borderId="0" xfId="4" applyNumberFormat="1" applyFont="1"/>
    <xf numFmtId="0" fontId="23" fillId="0" borderId="0" xfId="4" applyFont="1" applyFill="1" applyBorder="1" applyAlignment="1">
      <alignment horizontal="left" vertical="center" wrapText="1"/>
    </xf>
    <xf numFmtId="178" fontId="23" fillId="0" borderId="0" xfId="100" applyNumberFormat="1" applyFont="1" applyFill="1" applyBorder="1" applyAlignment="1">
      <alignment horizontal="center" vertical="center"/>
    </xf>
    <xf numFmtId="178" fontId="23" fillId="0" borderId="0" xfId="4" applyNumberFormat="1" applyFont="1" applyFill="1" applyBorder="1" applyAlignment="1">
      <alignment horizontal="center" vertical="center"/>
    </xf>
    <xf numFmtId="3" fontId="48" fillId="0" borderId="0" xfId="99" applyNumberFormat="1" applyFont="1" applyFill="1" applyBorder="1" applyAlignment="1">
      <alignment horizontal="center" vertical="center" wrapText="1"/>
    </xf>
    <xf numFmtId="3" fontId="23" fillId="0" borderId="1" xfId="100" applyNumberFormat="1" applyFont="1" applyFill="1" applyBorder="1" applyAlignment="1">
      <alignment horizontal="center" vertical="center"/>
    </xf>
    <xf numFmtId="3" fontId="23" fillId="0" borderId="9" xfId="100" applyNumberFormat="1" applyFont="1" applyFill="1" applyBorder="1" applyAlignment="1">
      <alignment horizontal="center" vertical="center"/>
    </xf>
    <xf numFmtId="3" fontId="23" fillId="0" borderId="0" xfId="100" applyNumberFormat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left" vertical="center" wrapText="1"/>
    </xf>
    <xf numFmtId="3" fontId="23" fillId="0" borderId="1" xfId="4" applyNumberFormat="1" applyFont="1" applyFill="1" applyBorder="1" applyAlignment="1">
      <alignment horizontal="center" vertical="center"/>
    </xf>
    <xf numFmtId="3" fontId="23" fillId="0" borderId="0" xfId="4" applyNumberFormat="1" applyFont="1"/>
    <xf numFmtId="0" fontId="48" fillId="0" borderId="0" xfId="4" applyFont="1" applyFill="1" applyBorder="1" applyAlignment="1">
      <alignment vertical="center"/>
    </xf>
    <xf numFmtId="3" fontId="23" fillId="0" borderId="0" xfId="4" applyNumberFormat="1" applyFont="1" applyFill="1" applyBorder="1" applyAlignment="1">
      <alignment horizontal="center" vertical="center"/>
    </xf>
    <xf numFmtId="0" fontId="23" fillId="0" borderId="7" xfId="4" applyFont="1" applyFill="1" applyBorder="1" applyAlignment="1">
      <alignment horizontal="left" vertical="center"/>
    </xf>
    <xf numFmtId="178" fontId="23" fillId="0" borderId="17" xfId="100" applyNumberFormat="1" applyFont="1" applyFill="1" applyBorder="1" applyAlignment="1">
      <alignment horizontal="center" vertical="center"/>
    </xf>
    <xf numFmtId="178" fontId="23" fillId="0" borderId="17" xfId="4" applyNumberFormat="1" applyFont="1" applyFill="1" applyBorder="1" applyAlignment="1">
      <alignment horizontal="center" vertical="center"/>
    </xf>
    <xf numFmtId="0" fontId="48" fillId="0" borderId="8" xfId="4" applyFont="1" applyFill="1" applyBorder="1" applyAlignment="1">
      <alignment vertical="center"/>
    </xf>
    <xf numFmtId="0" fontId="48" fillId="0" borderId="4" xfId="4" applyFont="1" applyFill="1" applyBorder="1" applyAlignment="1">
      <alignment vertical="center"/>
    </xf>
    <xf numFmtId="0" fontId="48" fillId="0" borderId="9" xfId="4" applyFont="1" applyFill="1" applyBorder="1" applyAlignment="1">
      <alignment vertical="center"/>
    </xf>
    <xf numFmtId="0" fontId="23" fillId="0" borderId="7" xfId="4" applyFont="1" applyFill="1" applyBorder="1" applyAlignment="1">
      <alignment horizontal="left" vertical="center" wrapText="1"/>
    </xf>
    <xf numFmtId="3" fontId="23" fillId="0" borderId="17" xfId="4" applyNumberFormat="1" applyFont="1" applyFill="1" applyBorder="1" applyAlignment="1">
      <alignment horizontal="center" vertical="center"/>
    </xf>
    <xf numFmtId="0" fontId="23" fillId="0" borderId="0" xfId="4" applyFont="1" applyFill="1" applyAlignment="1">
      <alignment vertical="center"/>
    </xf>
    <xf numFmtId="164" fontId="23" fillId="0" borderId="1" xfId="100" applyNumberFormat="1" applyFont="1" applyFill="1" applyBorder="1" applyAlignment="1">
      <alignment horizontal="center" vertical="center"/>
    </xf>
    <xf numFmtId="165" fontId="23" fillId="0" borderId="1" xfId="100" applyNumberFormat="1" applyFont="1" applyFill="1" applyBorder="1" applyAlignment="1">
      <alignment horizontal="center" vertical="center"/>
    </xf>
    <xf numFmtId="1" fontId="23" fillId="0" borderId="1" xfId="4" applyNumberFormat="1" applyFont="1" applyFill="1" applyBorder="1" applyAlignment="1">
      <alignment horizontal="left" vertical="center" indent="1"/>
    </xf>
    <xf numFmtId="186" fontId="23" fillId="0" borderId="1" xfId="100" applyNumberFormat="1" applyFont="1" applyFill="1" applyBorder="1" applyAlignment="1">
      <alignment horizontal="center" vertical="center"/>
    </xf>
    <xf numFmtId="1" fontId="23" fillId="0" borderId="0" xfId="4" applyNumberFormat="1" applyFont="1" applyFill="1" applyBorder="1" applyAlignment="1">
      <alignment horizontal="left" vertical="center" indent="1"/>
    </xf>
    <xf numFmtId="186" fontId="23" fillId="0" borderId="0" xfId="100" applyNumberFormat="1" applyFont="1" applyFill="1" applyBorder="1" applyAlignment="1">
      <alignment horizontal="center" vertical="center"/>
    </xf>
    <xf numFmtId="185" fontId="23" fillId="0" borderId="1" xfId="100" applyNumberFormat="1" applyFont="1" applyFill="1" applyBorder="1" applyAlignment="1">
      <alignment horizontal="center" vertical="center"/>
    </xf>
    <xf numFmtId="167" fontId="23" fillId="0" borderId="1" xfId="4" applyNumberFormat="1" applyFont="1" applyBorder="1" applyAlignment="1">
      <alignment horizontal="center"/>
    </xf>
    <xf numFmtId="0" fontId="23" fillId="0" borderId="1" xfId="4" applyFont="1" applyFill="1" applyBorder="1"/>
    <xf numFmtId="0" fontId="48" fillId="0" borderId="7" xfId="4" applyFont="1" applyFill="1" applyBorder="1" applyAlignment="1">
      <alignment vertical="center"/>
    </xf>
    <xf numFmtId="0" fontId="48" fillId="0" borderId="13" xfId="4" applyFont="1" applyFill="1" applyBorder="1" applyAlignment="1">
      <alignment vertical="center"/>
    </xf>
    <xf numFmtId="3" fontId="23" fillId="0" borderId="1" xfId="4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 vertical="center"/>
    </xf>
    <xf numFmtId="3" fontId="23" fillId="0" borderId="0" xfId="4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185" fontId="23" fillId="0" borderId="1" xfId="4" applyNumberFormat="1" applyFont="1" applyFill="1" applyBorder="1" applyAlignment="1">
      <alignment horizontal="center" vertical="center" wrapText="1"/>
    </xf>
    <xf numFmtId="184" fontId="48" fillId="0" borderId="0" xfId="4" applyNumberFormat="1" applyFont="1" applyFill="1" applyBorder="1" applyAlignment="1">
      <alignment horizontal="center" vertical="center" wrapText="1"/>
    </xf>
    <xf numFmtId="3" fontId="23" fillId="0" borderId="17" xfId="4" applyNumberFormat="1" applyFont="1" applyFill="1" applyBorder="1" applyAlignment="1">
      <alignment horizontal="center" vertical="center" wrapText="1"/>
    </xf>
    <xf numFmtId="178" fontId="23" fillId="0" borderId="17" xfId="4" applyNumberFormat="1" applyFont="1" applyFill="1" applyBorder="1" applyAlignment="1">
      <alignment horizontal="center" vertical="center" wrapText="1"/>
    </xf>
    <xf numFmtId="178" fontId="23" fillId="0" borderId="1" xfId="4" applyNumberFormat="1" applyFont="1" applyFill="1" applyBorder="1" applyAlignment="1">
      <alignment horizontal="center" vertical="center" wrapText="1"/>
    </xf>
    <xf numFmtId="9" fontId="23" fillId="0" borderId="1" xfId="4" applyNumberFormat="1" applyFont="1" applyFill="1" applyBorder="1" applyAlignment="1">
      <alignment horizontal="center" vertical="center" wrapText="1"/>
    </xf>
    <xf numFmtId="9" fontId="23" fillId="0" borderId="0" xfId="4" applyNumberFormat="1" applyFont="1" applyFill="1" applyBorder="1" applyAlignment="1">
      <alignment horizontal="center" vertical="center" wrapText="1"/>
    </xf>
    <xf numFmtId="0" fontId="25" fillId="0" borderId="0" xfId="104" applyFont="1" applyFill="1" applyBorder="1" applyAlignment="1">
      <alignment wrapText="1"/>
    </xf>
    <xf numFmtId="0" fontId="25" fillId="0" borderId="0" xfId="104" applyFont="1" applyFill="1" applyBorder="1" applyAlignment="1"/>
    <xf numFmtId="0" fontId="1" fillId="0" borderId="1" xfId="104" applyFont="1" applyFill="1" applyBorder="1" applyAlignment="1">
      <alignment horizontal="left"/>
    </xf>
    <xf numFmtId="0" fontId="1" fillId="0" borderId="8" xfId="104" applyFont="1" applyFill="1" applyBorder="1" applyAlignment="1">
      <alignment horizontal="left" wrapText="1"/>
    </xf>
    <xf numFmtId="0" fontId="1" fillId="0" borderId="1" xfId="104" applyFont="1" applyFill="1" applyBorder="1" applyAlignment="1">
      <alignment horizontal="left" wrapText="1"/>
    </xf>
    <xf numFmtId="186" fontId="23" fillId="0" borderId="1" xfId="4" applyNumberFormat="1" applyFont="1" applyFill="1" applyBorder="1" applyAlignment="1">
      <alignment horizontal="center" vertical="center" wrapText="1"/>
    </xf>
    <xf numFmtId="184" fontId="23" fillId="0" borderId="1" xfId="4" applyNumberFormat="1" applyFont="1" applyFill="1" applyBorder="1" applyAlignment="1">
      <alignment horizontal="center" vertical="center" wrapText="1"/>
    </xf>
    <xf numFmtId="184" fontId="23" fillId="0" borderId="0" xfId="4" applyNumberFormat="1" applyFont="1" applyFill="1" applyBorder="1" applyAlignment="1">
      <alignment horizontal="center" vertical="center" wrapText="1"/>
    </xf>
    <xf numFmtId="186" fontId="23" fillId="0" borderId="0" xfId="4" applyNumberFormat="1" applyFont="1" applyFill="1" applyBorder="1" applyAlignment="1">
      <alignment horizontal="center" vertical="center" wrapText="1"/>
    </xf>
    <xf numFmtId="166" fontId="23" fillId="0" borderId="1" xfId="4" applyNumberFormat="1" applyFont="1" applyFill="1" applyBorder="1" applyAlignment="1">
      <alignment horizontal="center" vertical="center" wrapText="1"/>
    </xf>
    <xf numFmtId="166" fontId="23" fillId="0" borderId="0" xfId="4" applyNumberFormat="1" applyFont="1" applyFill="1" applyBorder="1" applyAlignment="1">
      <alignment horizontal="center" vertical="center" wrapText="1"/>
    </xf>
    <xf numFmtId="188" fontId="23" fillId="0" borderId="1" xfId="4" applyNumberFormat="1" applyFont="1" applyFill="1" applyBorder="1" applyAlignment="1">
      <alignment horizontal="center" vertical="center" wrapText="1"/>
    </xf>
    <xf numFmtId="3" fontId="48" fillId="0" borderId="0" xfId="4" applyNumberFormat="1" applyFont="1" applyFill="1" applyBorder="1" applyAlignment="1">
      <alignment horizontal="center" vertical="center" wrapText="1"/>
    </xf>
    <xf numFmtId="0" fontId="23" fillId="0" borderId="8" xfId="4" applyFont="1" applyBorder="1" applyAlignment="1">
      <alignment horizontal="left" wrapText="1"/>
    </xf>
    <xf numFmtId="0" fontId="23" fillId="0" borderId="8" xfId="4" applyFont="1" applyBorder="1"/>
    <xf numFmtId="185" fontId="48" fillId="0" borderId="1" xfId="100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vertical="center"/>
    </xf>
    <xf numFmtId="0" fontId="23" fillId="0" borderId="1" xfId="4" applyFont="1" applyBorder="1"/>
    <xf numFmtId="167" fontId="23" fillId="0" borderId="1" xfId="4" applyNumberFormat="1" applyFont="1" applyFill="1" applyBorder="1" applyAlignment="1">
      <alignment horizontal="center" vertical="center"/>
    </xf>
    <xf numFmtId="3" fontId="23" fillId="0" borderId="1" xfId="4" applyNumberFormat="1" applyFont="1" applyFill="1" applyBorder="1" applyAlignment="1">
      <alignment horizontal="left" vertical="center"/>
    </xf>
    <xf numFmtId="3" fontId="23" fillId="0" borderId="1" xfId="4" applyNumberFormat="1" applyFont="1" applyBorder="1" applyAlignment="1">
      <alignment horizontal="center"/>
    </xf>
    <xf numFmtId="0" fontId="23" fillId="0" borderId="8" xfId="4" applyFont="1" applyBorder="1" applyAlignment="1">
      <alignment horizontal="left"/>
    </xf>
    <xf numFmtId="3" fontId="23" fillId="0" borderId="0" xfId="4" applyNumberFormat="1" applyFont="1" applyBorder="1" applyAlignment="1">
      <alignment horizontal="left"/>
    </xf>
    <xf numFmtId="3" fontId="23" fillId="0" borderId="0" xfId="4" applyNumberFormat="1" applyFont="1" applyBorder="1" applyAlignment="1">
      <alignment horizontal="center"/>
    </xf>
    <xf numFmtId="3" fontId="23" fillId="0" borderId="0" xfId="4" applyNumberFormat="1" applyFont="1" applyBorder="1" applyAlignment="1">
      <alignment horizontal="center" wrapText="1"/>
    </xf>
    <xf numFmtId="3" fontId="23" fillId="0" borderId="0" xfId="91" applyNumberFormat="1" applyFont="1" applyBorder="1" applyAlignment="1">
      <alignment horizontal="center"/>
    </xf>
    <xf numFmtId="0" fontId="23" fillId="0" borderId="0" xfId="4" applyFont="1" applyBorder="1"/>
    <xf numFmtId="0" fontId="48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3" fontId="23" fillId="0" borderId="1" xfId="4" applyNumberFormat="1" applyFont="1" applyBorder="1" applyAlignment="1">
      <alignment horizontal="left"/>
    </xf>
    <xf numFmtId="171" fontId="23" fillId="0" borderId="1" xfId="1" applyNumberFormat="1" applyFont="1" applyBorder="1" applyAlignment="1">
      <alignment horizontal="center"/>
    </xf>
    <xf numFmtId="10" fontId="23" fillId="0" borderId="1" xfId="2" applyNumberFormat="1" applyFont="1" applyBorder="1" applyAlignment="1">
      <alignment horizontal="center"/>
    </xf>
    <xf numFmtId="0" fontId="48" fillId="0" borderId="1" xfId="4" applyFont="1" applyBorder="1" applyAlignment="1">
      <alignment horizontal="left"/>
    </xf>
    <xf numFmtId="171" fontId="48" fillId="0" borderId="1" xfId="1" applyNumberFormat="1" applyFont="1" applyBorder="1" applyAlignment="1">
      <alignment horizontal="center"/>
    </xf>
    <xf numFmtId="10" fontId="48" fillId="0" borderId="1" xfId="2" applyNumberFormat="1" applyFont="1" applyBorder="1" applyAlignment="1">
      <alignment horizontal="center"/>
    </xf>
    <xf numFmtId="167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center" wrapText="1"/>
    </xf>
    <xf numFmtId="0" fontId="23" fillId="0" borderId="1" xfId="4" applyFont="1" applyFill="1" applyBorder="1" applyAlignment="1">
      <alignment horizontal="center" vertical="center"/>
    </xf>
    <xf numFmtId="3" fontId="23" fillId="0" borderId="1" xfId="4" applyNumberFormat="1" applyFont="1" applyBorder="1" applyAlignment="1">
      <alignment horizontal="center" wrapText="1"/>
    </xf>
    <xf numFmtId="3" fontId="23" fillId="0" borderId="1" xfId="91" applyNumberFormat="1" applyFont="1" applyBorder="1" applyAlignment="1">
      <alignment horizontal="center"/>
    </xf>
    <xf numFmtId="3" fontId="23" fillId="0" borderId="1" xfId="4" applyNumberFormat="1" applyFont="1" applyBorder="1"/>
    <xf numFmtId="0" fontId="48" fillId="0" borderId="0" xfId="4" applyFont="1" applyFill="1" applyBorder="1" applyAlignment="1">
      <alignment horizontal="left" vertical="center"/>
    </xf>
    <xf numFmtId="10" fontId="7" fillId="0" borderId="1" xfId="2" applyNumberFormat="1" applyFont="1" applyBorder="1" applyAlignment="1">
      <alignment horizontal="right"/>
    </xf>
    <xf numFmtId="0" fontId="10" fillId="47" borderId="1" xfId="0" applyFont="1" applyFill="1" applyBorder="1" applyAlignment="1">
      <alignment horizontal="center" vertical="center" wrapText="1"/>
    </xf>
    <xf numFmtId="10" fontId="10" fillId="47" borderId="1" xfId="2" applyNumberFormat="1" applyFont="1" applyFill="1" applyBorder="1" applyAlignment="1">
      <alignment horizontal="center" vertical="center" wrapText="1"/>
    </xf>
    <xf numFmtId="0" fontId="48" fillId="47" borderId="1" xfId="0" applyFont="1" applyFill="1" applyBorder="1" applyAlignment="1">
      <alignment horizontal="center" vertical="center" wrapText="1"/>
    </xf>
    <xf numFmtId="0" fontId="48" fillId="47" borderId="8" xfId="0" applyFont="1" applyFill="1" applyBorder="1" applyAlignment="1">
      <alignment horizontal="left" vertical="center" wrapText="1"/>
    </xf>
    <xf numFmtId="0" fontId="48" fillId="47" borderId="8" xfId="0" applyFont="1" applyFill="1" applyBorder="1" applyAlignment="1">
      <alignment horizontal="center" vertical="center" wrapText="1"/>
    </xf>
    <xf numFmtId="3" fontId="48" fillId="47" borderId="1" xfId="0" applyNumberFormat="1" applyFont="1" applyFill="1" applyBorder="1" applyAlignment="1">
      <alignment horizontal="center" vertical="center" wrapText="1"/>
    </xf>
    <xf numFmtId="0" fontId="48" fillId="47" borderId="1" xfId="0" applyFont="1" applyFill="1" applyBorder="1" applyAlignment="1">
      <alignment horizontal="left" vertical="center" wrapText="1"/>
    </xf>
    <xf numFmtId="171" fontId="0" fillId="0" borderId="0" xfId="0" applyNumberFormat="1"/>
    <xf numFmtId="171" fontId="0" fillId="0" borderId="39" xfId="0" applyNumberFormat="1" applyBorder="1"/>
    <xf numFmtId="171" fontId="0" fillId="0" borderId="17" xfId="105" applyNumberFormat="1" applyFont="1" applyFill="1" applyBorder="1" applyProtection="1">
      <protection locked="0"/>
    </xf>
    <xf numFmtId="0" fontId="0" fillId="0" borderId="0" xfId="0" applyFont="1" applyFill="1"/>
    <xf numFmtId="171" fontId="2" fillId="0" borderId="17" xfId="105" applyNumberFormat="1" applyFont="1" applyFill="1" applyBorder="1" applyProtection="1">
      <protection locked="0"/>
    </xf>
    <xf numFmtId="171" fontId="23" fillId="0" borderId="17" xfId="1" applyNumberFormat="1" applyFont="1" applyFill="1" applyBorder="1" applyAlignment="1" applyProtection="1">
      <alignment vertical="center" wrapText="1"/>
      <protection locked="0"/>
    </xf>
    <xf numFmtId="171" fontId="0" fillId="0" borderId="1" xfId="105" applyNumberFormat="1" applyFont="1" applyFill="1" applyBorder="1" applyProtection="1">
      <protection locked="0"/>
    </xf>
    <xf numFmtId="171" fontId="2" fillId="0" borderId="1" xfId="105" applyNumberFormat="1" applyFont="1" applyFill="1" applyBorder="1" applyProtection="1">
      <protection locked="0"/>
    </xf>
    <xf numFmtId="171" fontId="23" fillId="0" borderId="1" xfId="1" applyNumberFormat="1" applyFont="1" applyFill="1" applyBorder="1" applyAlignment="1" applyProtection="1">
      <alignment vertical="center" wrapText="1"/>
      <protection locked="0"/>
    </xf>
    <xf numFmtId="193" fontId="8" fillId="0" borderId="1" xfId="0" applyNumberFormat="1" applyFont="1" applyFill="1" applyBorder="1" applyAlignment="1">
      <alignment horizontal="center"/>
    </xf>
    <xf numFmtId="43" fontId="0" fillId="0" borderId="0" xfId="1" applyFont="1"/>
    <xf numFmtId="43" fontId="0" fillId="0" borderId="2" xfId="1" applyNumberFormat="1" applyFont="1" applyFill="1" applyBorder="1" applyAlignment="1"/>
    <xf numFmtId="194" fontId="0" fillId="0" borderId="0" xfId="0" applyNumberFormat="1"/>
    <xf numFmtId="166" fontId="23" fillId="0" borderId="1" xfId="4" applyNumberFormat="1" applyFont="1" applyBorder="1" applyAlignment="1">
      <alignment horizontal="center"/>
    </xf>
    <xf numFmtId="0" fontId="23" fillId="0" borderId="1" xfId="4" applyFont="1" applyBorder="1" applyAlignment="1">
      <alignment horizontal="center"/>
    </xf>
    <xf numFmtId="0" fontId="48" fillId="47" borderId="8" xfId="0" applyFont="1" applyFill="1" applyBorder="1" applyAlignment="1">
      <alignment horizontal="center" vertical="center" wrapText="1"/>
    </xf>
    <xf numFmtId="0" fontId="48" fillId="47" borderId="9" xfId="0" applyFont="1" applyFill="1" applyBorder="1" applyAlignment="1">
      <alignment horizontal="center" vertical="center" wrapText="1"/>
    </xf>
    <xf numFmtId="0" fontId="48" fillId="0" borderId="1" xfId="4" applyFont="1" applyBorder="1" applyAlignment="1">
      <alignment horizontal="left" vertical="center"/>
    </xf>
    <xf numFmtId="0" fontId="48" fillId="0" borderId="1" xfId="4" applyFont="1" applyFill="1" applyBorder="1" applyAlignment="1">
      <alignment horizontal="center" vertical="center" wrapText="1"/>
    </xf>
    <xf numFmtId="0" fontId="48" fillId="0" borderId="8" xfId="4" applyFont="1" applyFill="1" applyBorder="1" applyAlignment="1">
      <alignment horizontal="left" vertical="center" wrapText="1"/>
    </xf>
    <xf numFmtId="0" fontId="48" fillId="0" borderId="4" xfId="4" applyFont="1" applyFill="1" applyBorder="1" applyAlignment="1">
      <alignment horizontal="left" vertical="center" wrapText="1"/>
    </xf>
    <xf numFmtId="0" fontId="48" fillId="0" borderId="1" xfId="4" applyFont="1" applyFill="1" applyBorder="1" applyAlignment="1">
      <alignment horizontal="left" vertical="center" wrapText="1"/>
    </xf>
    <xf numFmtId="0" fontId="48" fillId="0" borderId="1" xfId="4" applyFont="1" applyFill="1" applyBorder="1" applyAlignment="1">
      <alignment horizontal="left" vertical="center"/>
    </xf>
    <xf numFmtId="0" fontId="48" fillId="0" borderId="8" xfId="4" applyFont="1" applyFill="1" applyBorder="1" applyAlignment="1">
      <alignment horizontal="left" vertical="center"/>
    </xf>
    <xf numFmtId="0" fontId="48" fillId="0" borderId="4" xfId="4" applyFont="1" applyFill="1" applyBorder="1" applyAlignment="1">
      <alignment horizontal="left" vertical="center"/>
    </xf>
    <xf numFmtId="0" fontId="48" fillId="0" borderId="9" xfId="4" applyFont="1" applyFill="1" applyBorder="1" applyAlignment="1">
      <alignment horizontal="left" vertical="center"/>
    </xf>
    <xf numFmtId="0" fontId="25" fillId="0" borderId="7" xfId="104" applyFont="1" applyFill="1" applyBorder="1" applyAlignment="1">
      <alignment horizontal="left" wrapText="1"/>
    </xf>
    <xf numFmtId="0" fontId="25" fillId="0" borderId="13" xfId="104" applyFont="1" applyFill="1" applyBorder="1" applyAlignment="1">
      <alignment horizontal="left" wrapText="1"/>
    </xf>
    <xf numFmtId="0" fontId="48" fillId="0" borderId="0" xfId="4" applyFont="1" applyFill="1" applyBorder="1" applyAlignment="1">
      <alignment horizontal="left" vertical="center"/>
    </xf>
    <xf numFmtId="0" fontId="48" fillId="0" borderId="13" xfId="4" applyFont="1" applyBorder="1" applyAlignment="1">
      <alignment horizontal="left"/>
    </xf>
    <xf numFmtId="0" fontId="48" fillId="0" borderId="13" xfId="4" applyFont="1" applyFill="1" applyBorder="1" applyAlignment="1">
      <alignment horizontal="left" vertical="center" wrapText="1"/>
    </xf>
    <xf numFmtId="0" fontId="48" fillId="0" borderId="13" xfId="4" applyFont="1" applyFill="1" applyBorder="1" applyAlignment="1">
      <alignment horizontal="left" vertical="center"/>
    </xf>
    <xf numFmtId="0" fontId="48" fillId="0" borderId="0" xfId="4" applyFont="1" applyFill="1" applyBorder="1" applyAlignment="1">
      <alignment horizontal="left" vertical="center" wrapText="1"/>
    </xf>
    <xf numFmtId="0" fontId="23" fillId="0" borderId="10" xfId="4" applyFont="1" applyBorder="1" applyAlignment="1">
      <alignment horizontal="center"/>
    </xf>
    <xf numFmtId="0" fontId="23" fillId="0" borderId="5" xfId="4" applyFont="1" applyBorder="1" applyAlignment="1">
      <alignment horizontal="center"/>
    </xf>
    <xf numFmtId="0" fontId="48" fillId="0" borderId="8" xfId="4" applyFont="1" applyBorder="1" applyAlignment="1">
      <alignment horizontal="left" wrapText="1"/>
    </xf>
    <xf numFmtId="0" fontId="48" fillId="0" borderId="4" xfId="4" applyFont="1" applyBorder="1" applyAlignment="1">
      <alignment horizontal="left" wrapText="1"/>
    </xf>
    <xf numFmtId="0" fontId="48" fillId="0" borderId="9" xfId="4" applyFont="1" applyBorder="1" applyAlignment="1">
      <alignment horizontal="left" wrapText="1"/>
    </xf>
    <xf numFmtId="0" fontId="23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48" fillId="0" borderId="10" xfId="4" applyFont="1" applyFill="1" applyBorder="1" applyAlignment="1">
      <alignment horizontal="left" vertical="center"/>
    </xf>
    <xf numFmtId="0" fontId="48" fillId="0" borderId="11" xfId="4" applyFont="1" applyFill="1" applyBorder="1" applyAlignment="1">
      <alignment horizontal="left" vertical="center"/>
    </xf>
    <xf numFmtId="0" fontId="48" fillId="0" borderId="12" xfId="4" applyFont="1" applyFill="1" applyBorder="1" applyAlignment="1">
      <alignment horizontal="left" vertical="center"/>
    </xf>
    <xf numFmtId="0" fontId="48" fillId="0" borderId="5" xfId="4" applyFont="1" applyFill="1" applyBorder="1" applyAlignment="1">
      <alignment horizontal="left" vertical="center"/>
    </xf>
    <xf numFmtId="0" fontId="48" fillId="0" borderId="7" xfId="4" applyFont="1" applyFill="1" applyBorder="1" applyAlignment="1">
      <alignment horizontal="left" vertical="center"/>
    </xf>
    <xf numFmtId="0" fontId="48" fillId="0" borderId="8" xfId="4" applyFont="1" applyBorder="1" applyAlignment="1">
      <alignment horizontal="center" wrapText="1"/>
    </xf>
    <xf numFmtId="0" fontId="48" fillId="0" borderId="4" xfId="4" applyFont="1" applyBorder="1" applyAlignment="1">
      <alignment horizontal="center" wrapText="1"/>
    </xf>
    <xf numFmtId="0" fontId="48" fillId="0" borderId="9" xfId="4" applyFont="1" applyBorder="1" applyAlignment="1">
      <alignment horizontal="center" wrapText="1"/>
    </xf>
    <xf numFmtId="3" fontId="48" fillId="0" borderId="8" xfId="4" applyNumberFormat="1" applyFont="1" applyFill="1" applyBorder="1" applyAlignment="1">
      <alignment horizontal="left" vertical="center"/>
    </xf>
    <xf numFmtId="0" fontId="48" fillId="47" borderId="1" xfId="0" applyFont="1" applyFill="1" applyBorder="1" applyAlignment="1">
      <alignment horizontal="left" vertical="center" wrapText="1"/>
    </xf>
    <xf numFmtId="0" fontId="48" fillId="0" borderId="7" xfId="4" applyFont="1" applyBorder="1" applyAlignment="1">
      <alignment horizontal="center"/>
    </xf>
    <xf numFmtId="0" fontId="48" fillId="0" borderId="13" xfId="4" applyFont="1" applyBorder="1" applyAlignment="1">
      <alignment horizontal="center"/>
    </xf>
    <xf numFmtId="0" fontId="48" fillId="0" borderId="8" xfId="0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25" fillId="47" borderId="15" xfId="0" applyFont="1" applyFill="1" applyBorder="1" applyAlignment="1" applyProtection="1">
      <alignment horizontal="center" wrapText="1"/>
      <protection locked="0"/>
    </xf>
    <xf numFmtId="0" fontId="25" fillId="47" borderId="16" xfId="0" applyFont="1" applyFill="1" applyBorder="1" applyAlignment="1" applyProtection="1">
      <alignment horizontal="center" wrapText="1"/>
      <protection locked="0"/>
    </xf>
    <xf numFmtId="0" fontId="25" fillId="47" borderId="38" xfId="0" applyFont="1" applyFill="1" applyBorder="1" applyAlignment="1" applyProtection="1">
      <alignment horizontal="center" wrapText="1"/>
      <protection locked="0"/>
    </xf>
    <xf numFmtId="0" fontId="7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10" fillId="9" borderId="7" xfId="0" applyNumberFormat="1" applyFont="1" applyFill="1" applyBorder="1" applyAlignment="1">
      <alignment horizontal="center"/>
    </xf>
    <xf numFmtId="0" fontId="10" fillId="9" borderId="13" xfId="0" applyNumberFormat="1" applyFont="1" applyFill="1" applyBorder="1" applyAlignment="1">
      <alignment horizontal="center"/>
    </xf>
    <xf numFmtId="0" fontId="10" fillId="9" borderId="14" xfId="0" applyNumberFormat="1" applyFont="1" applyFill="1" applyBorder="1" applyAlignment="1">
      <alignment horizontal="center"/>
    </xf>
    <xf numFmtId="0" fontId="10" fillId="9" borderId="6" xfId="0" applyNumberFormat="1" applyFont="1" applyFill="1" applyBorder="1" applyAlignment="1">
      <alignment horizontal="center"/>
    </xf>
    <xf numFmtId="0" fontId="10" fillId="9" borderId="5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9" borderId="15" xfId="0" applyNumberFormat="1" applyFont="1" applyFill="1" applyBorder="1" applyAlignment="1">
      <alignment horizontal="center" wrapText="1"/>
    </xf>
    <xf numFmtId="0" fontId="10" fillId="9" borderId="16" xfId="0" applyNumberFormat="1" applyFont="1" applyFill="1" applyBorder="1" applyAlignment="1">
      <alignment horizontal="center" wrapText="1"/>
    </xf>
    <xf numFmtId="0" fontId="10" fillId="9" borderId="15" xfId="0" applyFont="1" applyFill="1" applyBorder="1" applyAlignment="1">
      <alignment horizontal="center" wrapText="1"/>
    </xf>
    <xf numFmtId="0" fontId="10" fillId="9" borderId="17" xfId="0" applyFont="1" applyFill="1" applyBorder="1" applyAlignment="1">
      <alignment horizontal="center" wrapText="1"/>
    </xf>
    <xf numFmtId="0" fontId="10" fillId="9" borderId="10" xfId="0" applyNumberFormat="1" applyFont="1" applyFill="1" applyBorder="1" applyAlignment="1">
      <alignment horizontal="center"/>
    </xf>
    <xf numFmtId="0" fontId="10" fillId="9" borderId="11" xfId="0" applyNumberFormat="1" applyFont="1" applyFill="1" applyBorder="1" applyAlignment="1">
      <alignment horizontal="center"/>
    </xf>
    <xf numFmtId="0" fontId="10" fillId="9" borderId="12" xfId="0" applyNumberFormat="1" applyFont="1" applyFill="1" applyBorder="1" applyAlignment="1">
      <alignment horizontal="center"/>
    </xf>
  </cellXfs>
  <cellStyles count="106">
    <cellStyle name="$" xfId="16"/>
    <cellStyle name="$.00" xfId="17"/>
    <cellStyle name="$_9. Rev2Cost_GDPIPI" xfId="18"/>
    <cellStyle name="$_lists" xfId="19"/>
    <cellStyle name="$_lists_4. Current Monthly Fixed Charge" xfId="20"/>
    <cellStyle name="$_Sheet4" xfId="21"/>
    <cellStyle name="$M" xfId="22"/>
    <cellStyle name="$M.00" xfId="23"/>
    <cellStyle name="$M_9. Rev2Cost_GDPIPI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Calculation 2" xfId="50"/>
    <cellStyle name="Check Cell 2" xfId="51"/>
    <cellStyle name="Comma" xfId="1" builtinId="3"/>
    <cellStyle name="Comma 2" xfId="5"/>
    <cellStyle name="Comma 3" xfId="6"/>
    <cellStyle name="Comma 3 2" xfId="52"/>
    <cellStyle name="Comma 3 2 5" xfId="102"/>
    <cellStyle name="Comma 4" xfId="14"/>
    <cellStyle name="Comma 5" xfId="53"/>
    <cellStyle name="Comma 6" xfId="54"/>
    <cellStyle name="Comma_CDM monthly amounts 2" xfId="15"/>
    <cellStyle name="Comma_Horizon 2011 Load Forecast Model  June 25, 2010" xfId="11"/>
    <cellStyle name="Comma0" xfId="7"/>
    <cellStyle name="Currency" xfId="105" builtinId="4"/>
    <cellStyle name="Currency 2" xfId="13"/>
    <cellStyle name="Currency 3" xfId="55"/>
    <cellStyle name="Currency 4" xfId="56"/>
    <cellStyle name="Currency0" xfId="8"/>
    <cellStyle name="Date" xfId="9"/>
    <cellStyle name="Explanatory Text 2" xfId="57"/>
    <cellStyle name="Fixed" xfId="10"/>
    <cellStyle name="Good 2" xfId="58"/>
    <cellStyle name="Grey" xfId="59"/>
    <cellStyle name="Grey 2" xfId="60"/>
    <cellStyle name="Heading 1 2" xfId="61"/>
    <cellStyle name="Heading 2 2" xfId="62"/>
    <cellStyle name="Heading 3 2" xfId="63"/>
    <cellStyle name="Heading 4 2" xfId="64"/>
    <cellStyle name="Input [yellow]" xfId="65"/>
    <cellStyle name="Input [yellow] 2" xfId="66"/>
    <cellStyle name="Input 2" xfId="67"/>
    <cellStyle name="Linked Cell 2" xfId="68"/>
    <cellStyle name="M" xfId="69"/>
    <cellStyle name="M.00" xfId="70"/>
    <cellStyle name="M_9. Rev2Cost_GDPIPI" xfId="71"/>
    <cellStyle name="M_lists" xfId="72"/>
    <cellStyle name="M_lists_4. Current Monthly Fixed Charge" xfId="73"/>
    <cellStyle name="M_Sheet4" xfId="74"/>
    <cellStyle name="Neutral 2" xfId="75"/>
    <cellStyle name="Normal" xfId="0" builtinId="0"/>
    <cellStyle name="Normal - Style1" xfId="76"/>
    <cellStyle name="Normal 2" xfId="4"/>
    <cellStyle name="Normal 2 2" xfId="77"/>
    <cellStyle name="Normal 3" xfId="12"/>
    <cellStyle name="Normal 4" xfId="78"/>
    <cellStyle name="Normal 5" xfId="79"/>
    <cellStyle name="Normal 5 2" xfId="80"/>
    <cellStyle name="Normal 5 2 3" xfId="81"/>
    <cellStyle name="Normal 5 2 3 2" xfId="101"/>
    <cellStyle name="Normal 5 2 3 3" xfId="104"/>
    <cellStyle name="Normal 6" xfId="82"/>
    <cellStyle name="Normal 7" xfId="83"/>
    <cellStyle name="Normal_OEB Trial Balance - Regulatory-July24-07" xfId="100"/>
    <cellStyle name="Normal_Sheet2" xfId="99"/>
    <cellStyle name="Note 2" xfId="84"/>
    <cellStyle name="Output 2" xfId="85"/>
    <cellStyle name="Percent" xfId="2" builtinId="5"/>
    <cellStyle name="Percent [2]" xfId="86"/>
    <cellStyle name="Percent 2" xfId="87"/>
    <cellStyle name="Percent 3" xfId="88"/>
    <cellStyle name="Percent 3 2" xfId="89"/>
    <cellStyle name="Percent 3 2 3" xfId="103"/>
    <cellStyle name="Percent 4" xfId="90"/>
    <cellStyle name="Percent 5" xfId="91"/>
    <cellStyle name="Style 23" xfId="3"/>
    <cellStyle name="STYLE1" xfId="92"/>
    <cellStyle name="STYLE2" xfId="93"/>
    <cellStyle name="STYLE4" xfId="94"/>
    <cellStyle name="Subtotal" xfId="95"/>
    <cellStyle name="Title 2" xfId="96"/>
    <cellStyle name="Total 2" xfId="97"/>
    <cellStyle name="Warning Text 2" xfId="98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16566</xdr:colOff>
      <xdr:row>2</xdr:row>
      <xdr:rowOff>265044</xdr:rowOff>
    </xdr:from>
    <xdr:to>
      <xdr:col>12</xdr:col>
      <xdr:colOff>745434</xdr:colOff>
      <xdr:row>2</xdr:row>
      <xdr:rowOff>265044</xdr:rowOff>
    </xdr:to>
    <xdr:cxnSp macro="">
      <xdr:nvCxnSpPr>
        <xdr:cNvPr id="3" name="Straight Arrow Connector 2"/>
        <xdr:cNvCxnSpPr/>
      </xdr:nvCxnSpPr>
      <xdr:spPr>
        <a:xfrm>
          <a:off x="4348370" y="596348"/>
          <a:ext cx="6013173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Lakeland/2013%20Rate%20Appl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Norfolk/2011%20Rates/Evidence/Documents%20and%20Settings/dg/Desktop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Norfolk/2011%20Rates/Evidence/LDC%20FTY%20-%20LF/CostAlloc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mmaw/Local%20Settings/Temporary%20Internet%20Files/OLKBC/Exhibit%203%20Distribution%20Revenue%20Throughputs%20-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9%20Energy+%20Load%20Forecast%20Model_V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84.528916087962" createdVersion="5" refreshedVersion="5" minRefreshableVersion="3" recordCount="1047487">
  <cacheSource type="worksheet">
    <worksheetSource ref="A1:H1048576" sheet="WMP historical data" r:id="rId2"/>
  </cacheSource>
  <cacheFields count="8">
    <cacheField name="Address" numFmtId="0">
      <sharedItems containsBlank="1"/>
    </cacheField>
    <cacheField name="Rate Class" numFmtId="0">
      <sharedItems containsBlank="1" count="3">
        <s v="LU"/>
        <s v="GS&gt;50-4,999 kW"/>
        <m/>
      </sharedItems>
    </cacheField>
    <cacheField name="Cons Year" numFmtId="0">
      <sharedItems containsString="0" containsBlank="1" containsNumber="1" containsInteger="1" minValue="2005" maxValue="2012" count="9">
        <n v="2005"/>
        <n v="2006"/>
        <n v="2007"/>
        <n v="2008"/>
        <n v="2009"/>
        <n v="2010"/>
        <n v="2011"/>
        <n v="2012"/>
        <m/>
      </sharedItems>
    </cacheField>
    <cacheField name="Cons Month" numFmtId="0">
      <sharedItems containsString="0" containsBlank="1" containsNumber="1" containsInteger="1" minValue="1" maxValue="12" count="13">
        <n v="12"/>
        <n v="1"/>
        <n v="2"/>
        <n v="3"/>
        <n v="4"/>
        <n v="5"/>
        <n v="6"/>
        <n v="7"/>
        <n v="8"/>
        <n v="9"/>
        <n v="10"/>
        <n v="11"/>
        <m/>
      </sharedItems>
    </cacheField>
    <cacheField name="Read date" numFmtId="0">
      <sharedItems containsNonDate="0" containsDate="1" containsString="0" containsBlank="1" minDate="2006-01-01T00:00:00" maxDate="2013-01-02T00:00:00"/>
    </cacheField>
    <cacheField name="usage_" numFmtId="0">
      <sharedItems containsString="0" containsBlank="1" containsNumber="1" minValue="205953.86" maxValue="3318222.39"/>
    </cacheField>
    <cacheField name="Account no" numFmtId="0">
      <sharedItems containsString="0" containsBlank="1" containsNumber="1" containsInteger="1" minValue="9743" maxValue="49997"/>
    </cacheField>
    <cacheField name="Billed" numFmtId="0">
      <sharedItems containsString="0" containsBlank="1" containsNumber="1" minValue="214103.59" maxValue="3378945.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7487">
  <r>
    <s v="1105 Fountain St"/>
    <x v="0"/>
    <x v="0"/>
    <x v="0"/>
    <d v="2006-01-01T00:00:00"/>
    <n v="2381295.56"/>
    <n v="45485"/>
    <n v="2440351.69"/>
  </r>
  <r>
    <s v="1105 Fountain St"/>
    <x v="0"/>
    <x v="1"/>
    <x v="1"/>
    <d v="2006-02-01T00:00:00"/>
    <n v="2352629.7799999998"/>
    <n v="45485"/>
    <n v="2410974.9900000002"/>
  </r>
  <r>
    <s v="1105 Fountain St"/>
    <x v="0"/>
    <x v="1"/>
    <x v="2"/>
    <d v="2006-03-01T00:00:00"/>
    <n v="2111513.52"/>
    <n v="45485"/>
    <n v="2163879.06"/>
  </r>
  <r>
    <s v="1105 Fountain St"/>
    <x v="0"/>
    <x v="1"/>
    <x v="3"/>
    <d v="2006-04-01T00:00:00"/>
    <n v="2336512.73"/>
    <n v="45485"/>
    <n v="2394458.25"/>
  </r>
  <r>
    <s v="1105 Fountain St"/>
    <x v="0"/>
    <x v="1"/>
    <x v="4"/>
    <d v="2006-05-01T00:00:00"/>
    <n v="2282493.7000000002"/>
    <n v="45485"/>
    <n v="2339099.54"/>
  </r>
  <r>
    <s v="1105 Fountain St"/>
    <x v="0"/>
    <x v="1"/>
    <x v="5"/>
    <d v="2006-06-01T00:00:00"/>
    <n v="2496581.63"/>
    <n v="45485"/>
    <n v="2575223.9500000002"/>
  </r>
  <r>
    <s v="1105 Fountain St"/>
    <x v="0"/>
    <x v="1"/>
    <x v="6"/>
    <d v="2006-07-01T00:00:00"/>
    <n v="2557542.91"/>
    <n v="45485"/>
    <n v="2638105.5099999998"/>
  </r>
  <r>
    <s v="1105 Fountain St"/>
    <x v="0"/>
    <x v="1"/>
    <x v="7"/>
    <d v="2006-08-01T00:00:00"/>
    <n v="2820256.11"/>
    <n v="45485"/>
    <n v="2909094.18"/>
  </r>
  <r>
    <s v="1105 Fountain St"/>
    <x v="0"/>
    <x v="1"/>
    <x v="8"/>
    <d v="2006-09-01T00:00:00"/>
    <n v="2676935.79"/>
    <n v="45485"/>
    <n v="2761259.27"/>
  </r>
  <r>
    <s v="1105 Fountain St"/>
    <x v="0"/>
    <x v="1"/>
    <x v="9"/>
    <d v="2006-10-01T00:00:00"/>
    <n v="2425889.27"/>
    <n v="45485"/>
    <n v="2502304.7799999998"/>
  </r>
  <r>
    <s v="1105 Fountain St"/>
    <x v="0"/>
    <x v="1"/>
    <x v="10"/>
    <d v="2006-11-01T00:00:00"/>
    <n v="2369985.73"/>
    <n v="45485"/>
    <n v="2444640.2799999998"/>
  </r>
  <r>
    <s v="1105 Fountain St"/>
    <x v="0"/>
    <x v="1"/>
    <x v="11"/>
    <d v="2006-12-01T00:00:00"/>
    <n v="2209706.0699999998"/>
    <n v="45485"/>
    <n v="2279311.81"/>
  </r>
  <r>
    <s v="1105 Fountain St"/>
    <x v="0"/>
    <x v="1"/>
    <x v="0"/>
    <d v="2007-01-01T00:00:00"/>
    <n v="2255139.1"/>
    <n v="45485"/>
    <n v="2326175.98"/>
  </r>
  <r>
    <s v="1105 Fountain St"/>
    <x v="0"/>
    <x v="2"/>
    <x v="1"/>
    <d v="2007-02-01T00:00:00"/>
    <n v="2251091.42"/>
    <n v="45485"/>
    <n v="2322000.7999999998"/>
  </r>
  <r>
    <s v="1105 Fountain St"/>
    <x v="0"/>
    <x v="2"/>
    <x v="2"/>
    <d v="2007-03-01T00:00:00"/>
    <n v="2016992.14"/>
    <n v="45485"/>
    <n v="2080527.39"/>
  </r>
  <r>
    <s v="1105 Fountain St"/>
    <x v="0"/>
    <x v="2"/>
    <x v="3"/>
    <d v="2007-04-01T00:00:00"/>
    <n v="2301318.81"/>
    <n v="45485"/>
    <n v="2373810.35"/>
  </r>
  <r>
    <s v="1105 Fountain St"/>
    <x v="0"/>
    <x v="2"/>
    <x v="4"/>
    <d v="2007-05-01T00:00:00"/>
    <n v="2216954.69"/>
    <n v="45485"/>
    <n v="2286788.7599999998"/>
  </r>
  <r>
    <s v="1105 Fountain St"/>
    <x v="0"/>
    <x v="2"/>
    <x v="5"/>
    <d v="2007-06-01T00:00:00"/>
    <n v="2383481.1"/>
    <n v="45485"/>
    <n v="2458560.75"/>
  </r>
  <r>
    <s v="1105 Fountain St"/>
    <x v="0"/>
    <x v="2"/>
    <x v="6"/>
    <d v="2007-07-01T00:00:00"/>
    <n v="2564032.9300000002"/>
    <n v="45485"/>
    <n v="2644799.9700000002"/>
  </r>
  <r>
    <s v="1105 Fountain St"/>
    <x v="0"/>
    <x v="2"/>
    <x v="7"/>
    <d v="2007-08-01T00:00:00"/>
    <n v="2653374.13"/>
    <n v="45485"/>
    <n v="2736955.42"/>
  </r>
  <r>
    <s v="1105 Fountain St"/>
    <x v="0"/>
    <x v="2"/>
    <x v="8"/>
    <d v="2007-09-01T00:00:00"/>
    <n v="2770716.71"/>
    <n v="45485"/>
    <n v="2857994.29"/>
  </r>
  <r>
    <s v="1105 Fountain St"/>
    <x v="0"/>
    <x v="2"/>
    <x v="9"/>
    <d v="2007-10-01T00:00:00"/>
    <n v="2535396.9700000002"/>
    <n v="45485"/>
    <n v="2615261.9700000002"/>
  </r>
  <r>
    <s v="1105 Fountain St"/>
    <x v="0"/>
    <x v="2"/>
    <x v="10"/>
    <d v="2007-11-01T00:00:00"/>
    <n v="2509946.52"/>
    <n v="45485"/>
    <n v="2589009.84"/>
  </r>
  <r>
    <s v="1105 Fountain St"/>
    <x v="0"/>
    <x v="2"/>
    <x v="11"/>
    <d v="2007-12-01T00:00:00"/>
    <n v="2250196"/>
    <n v="45485"/>
    <n v="2321077.17"/>
  </r>
  <r>
    <s v="1105 Fountain St"/>
    <x v="0"/>
    <x v="2"/>
    <x v="0"/>
    <d v="2008-01-01T00:00:00"/>
    <n v="2274715.33"/>
    <n v="45485"/>
    <n v="2346368.86"/>
  </r>
  <r>
    <s v="1105 Fountain St"/>
    <x v="0"/>
    <x v="3"/>
    <x v="1"/>
    <d v="2008-02-01T00:00:00"/>
    <n v="2302524.36"/>
    <n v="45485"/>
    <n v="2375053.88"/>
  </r>
  <r>
    <s v="1105 Fountain St"/>
    <x v="0"/>
    <x v="3"/>
    <x v="2"/>
    <d v="2008-03-01T00:00:00"/>
    <n v="2098246.88"/>
    <n v="45485"/>
    <n v="2164341.66"/>
  </r>
  <r>
    <s v="1105 Fountain St"/>
    <x v="0"/>
    <x v="3"/>
    <x v="3"/>
    <d v="2008-04-01T00:00:00"/>
    <n v="2226410.83"/>
    <n v="45485"/>
    <n v="2296542.77"/>
  </r>
  <r>
    <s v="1105 Fountain St"/>
    <x v="0"/>
    <x v="3"/>
    <x v="4"/>
    <d v="2008-05-01T00:00:00"/>
    <n v="2254963.5299999998"/>
    <n v="45485"/>
    <n v="2325994.88"/>
  </r>
  <r>
    <s v="1105 Fountain St"/>
    <x v="0"/>
    <x v="3"/>
    <x v="5"/>
    <d v="2008-06-01T00:00:00"/>
    <n v="2401306.35"/>
    <n v="45485"/>
    <n v="2476947.5"/>
  </r>
  <r>
    <s v="1105 Fountain St"/>
    <x v="0"/>
    <x v="3"/>
    <x v="6"/>
    <d v="2008-07-01T00:00:00"/>
    <n v="2550283.7200000002"/>
    <n v="45485"/>
    <n v="2630617.66"/>
  </r>
  <r>
    <s v="1105 Fountain St"/>
    <x v="0"/>
    <x v="3"/>
    <x v="7"/>
    <d v="2008-08-01T00:00:00"/>
    <n v="2718027.7"/>
    <n v="45485"/>
    <n v="2803645.57"/>
  </r>
  <r>
    <s v="1105 Fountain St"/>
    <x v="0"/>
    <x v="3"/>
    <x v="8"/>
    <d v="2008-09-01T00:00:00"/>
    <n v="2691122.83"/>
    <n v="45485"/>
    <n v="2775893.2"/>
  </r>
  <r>
    <s v="1105 Fountain St"/>
    <x v="0"/>
    <x v="3"/>
    <x v="9"/>
    <d v="2008-10-01T00:00:00"/>
    <n v="2516322.0299999998"/>
    <n v="45485"/>
    <n v="2595586.17"/>
  </r>
  <r>
    <s v="1105 Fountain St"/>
    <x v="0"/>
    <x v="3"/>
    <x v="10"/>
    <d v="2008-11-01T00:00:00"/>
    <n v="2431597.2000000002"/>
    <n v="45485"/>
    <n v="2508192.5099999998"/>
  </r>
  <r>
    <s v="1105 Fountain St"/>
    <x v="0"/>
    <x v="3"/>
    <x v="11"/>
    <d v="2008-12-01T00:00:00"/>
    <n v="2295109.1"/>
    <n v="45485"/>
    <n v="2367405.04"/>
  </r>
  <r>
    <s v="1105 Fountain St"/>
    <x v="0"/>
    <x v="3"/>
    <x v="0"/>
    <d v="2009-01-01T00:00:00"/>
    <n v="2366536.63"/>
    <n v="45485"/>
    <n v="2441082.5299999998"/>
  </r>
  <r>
    <s v="1105 Fountain St"/>
    <x v="0"/>
    <x v="4"/>
    <x v="1"/>
    <d v="2009-02-01T00:00:00"/>
    <n v="2278971.1"/>
    <n v="45485"/>
    <n v="2350758.69"/>
  </r>
  <r>
    <s v="1105 Fountain St"/>
    <x v="0"/>
    <x v="4"/>
    <x v="2"/>
    <d v="2009-03-01T00:00:00"/>
    <n v="2108440.7599999998"/>
    <n v="45485"/>
    <n v="2174856.64"/>
  </r>
  <r>
    <s v="1105 Fountain St"/>
    <x v="0"/>
    <x v="4"/>
    <x v="3"/>
    <d v="2009-04-01T00:00:00"/>
    <n v="2411364.08"/>
    <n v="45485"/>
    <n v="2487322.0499999998"/>
  </r>
  <r>
    <s v="1105 Fountain St"/>
    <x v="0"/>
    <x v="4"/>
    <x v="4"/>
    <d v="2009-05-01T00:00:00"/>
    <n v="2326534.0499999998"/>
    <n v="45485"/>
    <n v="2399819.87"/>
  </r>
  <r>
    <s v="1105 Fountain St"/>
    <x v="0"/>
    <x v="4"/>
    <x v="5"/>
    <d v="2009-06-01T00:00:00"/>
    <n v="2504926.83"/>
    <n v="45485"/>
    <n v="2583832.0299999998"/>
  </r>
  <r>
    <s v="1105 Fountain St"/>
    <x v="0"/>
    <x v="4"/>
    <x v="6"/>
    <d v="2009-07-01T00:00:00"/>
    <n v="2490087.52"/>
    <n v="45485"/>
    <n v="2568525.2799999998"/>
  </r>
  <r>
    <s v="1105 Fountain St"/>
    <x v="0"/>
    <x v="4"/>
    <x v="7"/>
    <d v="2009-08-01T00:00:00"/>
    <n v="2575656.87"/>
    <n v="45485"/>
    <n v="2656790.06"/>
  </r>
  <r>
    <s v="1105 Fountain St"/>
    <x v="0"/>
    <x v="4"/>
    <x v="8"/>
    <d v="2009-09-01T00:00:00"/>
    <n v="2637078.38"/>
    <n v="45485"/>
    <n v="2720146.35"/>
  </r>
  <r>
    <s v="1105 Fountain St"/>
    <x v="0"/>
    <x v="4"/>
    <x v="9"/>
    <d v="2009-10-01T00:00:00"/>
    <n v="2473082.14"/>
    <n v="45485"/>
    <n v="2550984.23"/>
  </r>
  <r>
    <s v="1105 Fountain St"/>
    <x v="0"/>
    <x v="4"/>
    <x v="10"/>
    <d v="2009-11-01T00:00:00"/>
    <n v="2436162.34"/>
    <n v="45485"/>
    <n v="2512901.4500000002"/>
  </r>
  <r>
    <s v="1105 Fountain St"/>
    <x v="0"/>
    <x v="4"/>
    <x v="11"/>
    <d v="2009-12-01T00:00:00"/>
    <n v="2354430.6"/>
    <n v="45485"/>
    <n v="2428595.16"/>
  </r>
  <r>
    <s v="1105 Fountain St"/>
    <x v="0"/>
    <x v="4"/>
    <x v="0"/>
    <d v="2010-01-01T00:00:00"/>
    <n v="2348104"/>
    <n v="45485"/>
    <n v="2422069.2799999998"/>
  </r>
  <r>
    <s v="1105 Fountain St"/>
    <x v="0"/>
    <x v="5"/>
    <x v="1"/>
    <d v="2010-02-01T00:00:00"/>
    <n v="2350374.13"/>
    <n v="45485"/>
    <n v="2424410.92"/>
  </r>
  <r>
    <s v="1105 Fountain St"/>
    <x v="0"/>
    <x v="5"/>
    <x v="2"/>
    <d v="2010-03-01T00:00:00"/>
    <n v="2080664.34"/>
    <n v="45485"/>
    <n v="2146205.27"/>
  </r>
  <r>
    <s v="1105 Fountain St"/>
    <x v="0"/>
    <x v="5"/>
    <x v="3"/>
    <d v="2010-04-01T00:00:00"/>
    <n v="2324860.14"/>
    <n v="45485"/>
    <n v="2398093.23"/>
  </r>
  <r>
    <s v="1105 Fountain St"/>
    <x v="0"/>
    <x v="5"/>
    <x v="4"/>
    <d v="2010-05-01T00:00:00"/>
    <n v="2359545.69"/>
    <n v="45485"/>
    <n v="2433871.38"/>
  </r>
  <r>
    <s v="1105 Fountain St"/>
    <x v="0"/>
    <x v="5"/>
    <x v="5"/>
    <d v="2010-06-01T00:00:00"/>
    <n v="2511761.23"/>
    <n v="45485"/>
    <n v="2557726.46"/>
  </r>
  <r>
    <s v="1105 Fountain St"/>
    <x v="0"/>
    <x v="5"/>
    <x v="6"/>
    <d v="2010-07-01T00:00:00"/>
    <n v="2580321.14"/>
    <n v="45485"/>
    <n v="2627541.02"/>
  </r>
  <r>
    <s v="1105 Fountain St"/>
    <x v="0"/>
    <x v="5"/>
    <x v="7"/>
    <d v="2010-08-01T00:00:00"/>
    <n v="2833027.69"/>
    <n v="45485"/>
    <n v="2884872.1"/>
  </r>
  <r>
    <s v="1105 Fountain St"/>
    <x v="0"/>
    <x v="5"/>
    <x v="8"/>
    <d v="2010-09-01T00:00:00"/>
    <n v="2796046.35"/>
    <n v="45485"/>
    <n v="2847214"/>
  </r>
  <r>
    <s v="1105 Fountain St"/>
    <x v="0"/>
    <x v="5"/>
    <x v="9"/>
    <d v="2010-10-01T00:00:00"/>
    <n v="2567970.4500000002"/>
    <n v="45485"/>
    <n v="2614964.31"/>
  </r>
  <r>
    <s v="1105 Fountain St"/>
    <x v="0"/>
    <x v="5"/>
    <x v="10"/>
    <d v="2010-11-01T00:00:00"/>
    <n v="2502291.86"/>
    <n v="45485"/>
    <n v="2548083.7999999998"/>
  </r>
  <r>
    <s v="1105 Fountain St"/>
    <x v="0"/>
    <x v="5"/>
    <x v="11"/>
    <d v="2010-12-01T00:00:00"/>
    <n v="2340013.4"/>
    <n v="45485"/>
    <n v="2382835.65"/>
  </r>
  <r>
    <s v="1105 Fountain St"/>
    <x v="0"/>
    <x v="5"/>
    <x v="0"/>
    <d v="2011-01-01T00:00:00"/>
    <n v="2355434.11"/>
    <n v="45485"/>
    <n v="2398538.5499999998"/>
  </r>
  <r>
    <s v="1105 Fountain St"/>
    <x v="0"/>
    <x v="6"/>
    <x v="1"/>
    <d v="2011-02-01T00:00:00"/>
    <n v="2257049.94"/>
    <n v="45485"/>
    <n v="2298353.9500000002"/>
  </r>
  <r>
    <s v="1105 Fountain St"/>
    <x v="0"/>
    <x v="6"/>
    <x v="2"/>
    <d v="2011-03-01T00:00:00"/>
    <n v="2190041.08"/>
    <n v="45485"/>
    <n v="2230118.83"/>
  </r>
  <r>
    <s v="1105 Fountain St"/>
    <x v="0"/>
    <x v="6"/>
    <x v="3"/>
    <d v="2011-04-01T00:00:00"/>
    <n v="2594560.65"/>
    <n v="45485"/>
    <n v="2642041.11"/>
  </r>
  <r>
    <s v="1105 Fountain St"/>
    <x v="0"/>
    <x v="6"/>
    <x v="4"/>
    <d v="2011-05-01T00:00:00"/>
    <n v="2567441.42"/>
    <n v="45485"/>
    <n v="2614425.6000000001"/>
  </r>
  <r>
    <s v="1105 Fountain St"/>
    <x v="0"/>
    <x v="6"/>
    <x v="5"/>
    <d v="2011-06-01T00:00:00"/>
    <n v="2857072.18"/>
    <n v="45485"/>
    <n v="2909356.6"/>
  </r>
  <r>
    <s v="1105 Fountain St"/>
    <x v="0"/>
    <x v="6"/>
    <x v="6"/>
    <d v="2011-07-01T00:00:00"/>
    <n v="2998378.76"/>
    <n v="45485"/>
    <n v="3053249.09"/>
  </r>
  <r>
    <s v="1105 Fountain St"/>
    <x v="0"/>
    <x v="6"/>
    <x v="7"/>
    <d v="2011-08-01T00:00:00"/>
    <n v="3318222.39"/>
    <n v="45485"/>
    <n v="3378945.86"/>
  </r>
  <r>
    <s v="1105 Fountain St"/>
    <x v="0"/>
    <x v="6"/>
    <x v="8"/>
    <d v="2011-09-01T00:00:00"/>
    <n v="3197649.61"/>
    <n v="45485"/>
    <n v="3256166.6"/>
  </r>
  <r>
    <s v="1105 Fountain St"/>
    <x v="0"/>
    <x v="6"/>
    <x v="9"/>
    <d v="2011-10-01T00:00:00"/>
    <n v="2864394.01"/>
    <n v="45485"/>
    <n v="2916812.42"/>
  </r>
  <r>
    <s v="1105 Fountain St"/>
    <x v="0"/>
    <x v="6"/>
    <x v="10"/>
    <d v="2011-11-01T00:00:00"/>
    <n v="2642556.7000000002"/>
    <n v="45485"/>
    <n v="2643349.4700000002"/>
  </r>
  <r>
    <s v="1105 Fountain St"/>
    <x v="0"/>
    <x v="6"/>
    <x v="11"/>
    <d v="2011-12-01T00:00:00"/>
    <n v="2505724.2400000002"/>
    <n v="45485"/>
    <n v="2506475.96"/>
  </r>
  <r>
    <s v="1105 Fountain St"/>
    <x v="0"/>
    <x v="6"/>
    <x v="0"/>
    <d v="2012-01-01T00:00:00"/>
    <n v="2542688.81"/>
    <n v="45485"/>
    <n v="2543451.62"/>
  </r>
  <r>
    <s v="1105 Fountain St"/>
    <x v="0"/>
    <x v="7"/>
    <x v="1"/>
    <d v="2012-02-01T00:00:00"/>
    <n v="2468359.02"/>
    <n v="45485"/>
    <n v="2469099.5299999998"/>
  </r>
  <r>
    <s v="1105 Fountain St"/>
    <x v="0"/>
    <x v="7"/>
    <x v="2"/>
    <d v="2012-03-01T00:00:00"/>
    <n v="2270361.7999999998"/>
    <n v="45485"/>
    <n v="2271042.91"/>
  </r>
  <r>
    <s v="1105 Fountain St"/>
    <x v="0"/>
    <x v="7"/>
    <x v="3"/>
    <d v="2012-04-01T00:00:00"/>
    <n v="2554749.11"/>
    <n v="45485"/>
    <n v="2555515.5299999998"/>
  </r>
  <r>
    <s v="1105 Fountain St"/>
    <x v="0"/>
    <x v="7"/>
    <x v="4"/>
    <d v="2012-04-27T00:00:00"/>
    <n v="2122659.12"/>
    <n v="45485"/>
    <n v="2123295.92"/>
  </r>
  <r>
    <s v="1105 Fountain St"/>
    <x v="0"/>
    <x v="7"/>
    <x v="5"/>
    <d v="2012-06-01T00:00:00"/>
    <n v="3014442.9971008701"/>
    <n v="45485"/>
    <n v="3015347.33"/>
  </r>
  <r>
    <s v="1105 Fountain St"/>
    <x v="0"/>
    <x v="7"/>
    <x v="6"/>
    <d v="2012-07-01T00:00:00"/>
    <n v="2889801.28"/>
    <n v="45485"/>
    <n v="2890668.22"/>
  </r>
  <r>
    <s v="1105 Fountain St"/>
    <x v="0"/>
    <x v="7"/>
    <x v="7"/>
    <d v="2012-08-01T00:00:00"/>
    <n v="3114912.7461761474"/>
    <n v="45485"/>
    <n v="3115847.22"/>
  </r>
  <r>
    <s v="1105 Fountain St"/>
    <x v="0"/>
    <x v="7"/>
    <x v="8"/>
    <d v="2012-09-01T00:00:00"/>
    <n v="3018456.0731780464"/>
    <n v="45485"/>
    <n v="3019361.61"/>
  </r>
  <r>
    <s v="1105 Fountain St"/>
    <x v="0"/>
    <x v="7"/>
    <x v="9"/>
    <d v="2012-10-01T00:00:00"/>
    <n v="2757059.9720083973"/>
    <n v="45485"/>
    <n v="2757887.09"/>
  </r>
  <r>
    <s v="1105 Fountain St"/>
    <x v="0"/>
    <x v="7"/>
    <x v="10"/>
    <d v="2012-11-01T00:00:00"/>
    <n v="2654281.6854943521"/>
    <n v="45485"/>
    <n v="2655077.9700000002"/>
  </r>
  <r>
    <s v="1105 Fountain St"/>
    <x v="0"/>
    <x v="7"/>
    <x v="11"/>
    <d v="2012-12-01T00:00:00"/>
    <n v="2484508.7973607918"/>
    <n v="45485"/>
    <n v="2485254.15"/>
  </r>
  <r>
    <s v="1105 Fountain St"/>
    <x v="0"/>
    <x v="7"/>
    <x v="0"/>
    <d v="2013-01-01T00:00:00"/>
    <n v="2496697.7306807959"/>
    <n v="45485"/>
    <n v="2497446.7400000002"/>
  </r>
  <r>
    <s v="180 Holiday Inn Dr"/>
    <x v="1"/>
    <x v="0"/>
    <x v="0"/>
    <d v="2006-01-01T00:00:00"/>
    <n v="279174.76"/>
    <n v="9743"/>
    <n v="289001.71000000002"/>
  </r>
  <r>
    <s v="180 Holiday Inn Dr"/>
    <x v="1"/>
    <x v="1"/>
    <x v="1"/>
    <d v="2006-02-01T00:00:00"/>
    <n v="278682.90000000002"/>
    <n v="9743"/>
    <n v="288492.53999999998"/>
  </r>
  <r>
    <s v="180 Holiday Inn Dr"/>
    <x v="1"/>
    <x v="1"/>
    <x v="2"/>
    <d v="2006-03-01T00:00:00"/>
    <n v="249380.92"/>
    <n v="9743"/>
    <n v="258159.13"/>
  </r>
  <r>
    <s v="180 Holiday Inn Dr"/>
    <x v="1"/>
    <x v="1"/>
    <x v="3"/>
    <d v="2006-04-01T00:00:00"/>
    <n v="276162.18"/>
    <n v="9743"/>
    <n v="285883.09000000003"/>
  </r>
  <r>
    <s v="180 Holiday Inn Dr"/>
    <x v="1"/>
    <x v="1"/>
    <x v="4"/>
    <d v="2006-05-01T00:00:00"/>
    <n v="276803.63"/>
    <n v="9743"/>
    <n v="286547.12"/>
  </r>
  <r>
    <s v="180 Holiday Inn Dr"/>
    <x v="1"/>
    <x v="1"/>
    <x v="5"/>
    <d v="2006-06-01T00:00:00"/>
    <n v="301716.74"/>
    <n v="9743"/>
    <n v="314358.67"/>
  </r>
  <r>
    <s v="180 Holiday Inn Dr"/>
    <x v="1"/>
    <x v="1"/>
    <x v="6"/>
    <d v="2006-07-01T00:00:00"/>
    <n v="306513.96999999997"/>
    <n v="9743"/>
    <n v="319356.90999999997"/>
  </r>
  <r>
    <s v="180 Holiday Inn Dr"/>
    <x v="1"/>
    <x v="1"/>
    <x v="7"/>
    <d v="2006-08-01T00:00:00"/>
    <n v="331165.63"/>
    <n v="9743"/>
    <n v="345041.47"/>
  </r>
  <r>
    <s v="180 Holiday Inn Dr"/>
    <x v="1"/>
    <x v="1"/>
    <x v="8"/>
    <d v="2006-09-01T00:00:00"/>
    <n v="321343.68"/>
    <n v="9743"/>
    <n v="334807.98"/>
  </r>
  <r>
    <s v="180 Holiday Inn Dr"/>
    <x v="1"/>
    <x v="1"/>
    <x v="9"/>
    <d v="2006-10-01T00:00:00"/>
    <n v="293668.73"/>
    <n v="9743"/>
    <n v="305973.45"/>
  </r>
  <r>
    <s v="180 Holiday Inn Dr"/>
    <x v="1"/>
    <x v="1"/>
    <x v="10"/>
    <d v="2006-11-01T00:00:00"/>
    <n v="287289.94"/>
    <n v="9743"/>
    <n v="299327.39"/>
  </r>
  <r>
    <s v="180 Holiday Inn Dr"/>
    <x v="1"/>
    <x v="1"/>
    <x v="11"/>
    <d v="2006-12-01T00:00:00"/>
    <n v="277101.09999999998"/>
    <n v="9743"/>
    <n v="288711.64"/>
  </r>
  <r>
    <s v="180 Holiday Inn Dr"/>
    <x v="1"/>
    <x v="1"/>
    <x v="0"/>
    <d v="2007-01-01T00:00:00"/>
    <n v="282099.87"/>
    <n v="9743"/>
    <n v="293919.84999999998"/>
  </r>
  <r>
    <s v="180 Holiday Inn Dr"/>
    <x v="1"/>
    <x v="2"/>
    <x v="1"/>
    <d v="2007-02-01T00:00:00"/>
    <n v="281710.09999999998"/>
    <n v="9743"/>
    <n v="293513.75"/>
  </r>
  <r>
    <s v="180 Holiday Inn Dr"/>
    <x v="1"/>
    <x v="2"/>
    <x v="2"/>
    <d v="2007-03-01T00:00:00"/>
    <n v="251368.2"/>
    <n v="9743"/>
    <n v="261900.53"/>
  </r>
  <r>
    <s v="180 Holiday Inn Dr"/>
    <x v="1"/>
    <x v="2"/>
    <x v="3"/>
    <d v="2007-04-01T00:00:00"/>
    <n v="280390.21000000002"/>
    <n v="9743"/>
    <n v="292138.56"/>
  </r>
  <r>
    <s v="180 Holiday Inn Dr"/>
    <x v="1"/>
    <x v="2"/>
    <x v="4"/>
    <d v="2007-05-01T00:00:00"/>
    <n v="274614.34000000003"/>
    <n v="9743"/>
    <n v="286120.68"/>
  </r>
  <r>
    <s v="180 Holiday Inn Dr"/>
    <x v="1"/>
    <x v="2"/>
    <x v="5"/>
    <d v="2007-06-01T00:00:00"/>
    <n v="301985.2"/>
    <n v="9743"/>
    <n v="314638.38"/>
  </r>
  <r>
    <s v="180 Holiday Inn Dr"/>
    <x v="1"/>
    <x v="2"/>
    <x v="6"/>
    <d v="2007-07-01T00:00:00"/>
    <n v="314544.90999999997"/>
    <n v="9743"/>
    <n v="327724.34000000003"/>
  </r>
  <r>
    <s v="180 Holiday Inn Dr"/>
    <x v="1"/>
    <x v="2"/>
    <x v="7"/>
    <d v="2007-08-01T00:00:00"/>
    <n v="320432.25"/>
    <n v="9743"/>
    <n v="333858.36"/>
  </r>
  <r>
    <s v="180 Holiday Inn Dr"/>
    <x v="1"/>
    <x v="2"/>
    <x v="8"/>
    <d v="2007-09-01T00:00:00"/>
    <n v="328416.21000000002"/>
    <n v="9743"/>
    <n v="342176.85"/>
  </r>
  <r>
    <s v="180 Holiday Inn Dr"/>
    <x v="1"/>
    <x v="2"/>
    <x v="9"/>
    <d v="2007-10-01T00:00:00"/>
    <n v="306481.15000000002"/>
    <n v="9743"/>
    <n v="319322.71000000002"/>
  </r>
  <r>
    <s v="180 Holiday Inn Dr"/>
    <x v="1"/>
    <x v="2"/>
    <x v="10"/>
    <d v="2007-11-01T00:00:00"/>
    <n v="305192.71000000002"/>
    <n v="9743"/>
    <n v="317980.28000000003"/>
  </r>
  <r>
    <s v="180 Holiday Inn Dr"/>
    <x v="1"/>
    <x v="2"/>
    <x v="11"/>
    <d v="2007-12-01T00:00:00"/>
    <n v="276279.65999999997"/>
    <n v="9743"/>
    <n v="287855.78000000003"/>
  </r>
  <r>
    <s v="180 Holiday Inn Dr"/>
    <x v="1"/>
    <x v="2"/>
    <x v="0"/>
    <d v="2008-01-01T00:00:00"/>
    <n v="285213.63"/>
    <n v="9743"/>
    <n v="297164.08"/>
  </r>
  <r>
    <s v="180 Holiday Inn Dr"/>
    <x v="1"/>
    <x v="3"/>
    <x v="1"/>
    <d v="2008-02-01T00:00:00"/>
    <n v="290433.69"/>
    <n v="9743"/>
    <n v="302602.86"/>
  </r>
  <r>
    <s v="180 Holiday Inn Dr"/>
    <x v="1"/>
    <x v="3"/>
    <x v="2"/>
    <d v="2008-03-01T00:00:00"/>
    <n v="270922.93"/>
    <n v="9743"/>
    <n v="282274.59999999998"/>
  </r>
  <r>
    <s v="180 Holiday Inn Dr"/>
    <x v="1"/>
    <x v="3"/>
    <x v="3"/>
    <d v="2008-04-01T00:00:00"/>
    <n v="291492.98"/>
    <n v="9743"/>
    <n v="303706.53999999998"/>
  </r>
  <r>
    <s v="180 Holiday Inn Dr"/>
    <x v="1"/>
    <x v="3"/>
    <x v="4"/>
    <d v="2008-05-01T00:00:00"/>
    <n v="295301.31"/>
    <n v="9743"/>
    <n v="307674.43"/>
  </r>
  <r>
    <s v="180 Holiday Inn Dr"/>
    <x v="1"/>
    <x v="3"/>
    <x v="5"/>
    <d v="2008-06-01T00:00:00"/>
    <n v="303593.73"/>
    <n v="9743"/>
    <n v="316314.31"/>
  </r>
  <r>
    <s v="180 Holiday Inn Dr"/>
    <x v="1"/>
    <x v="3"/>
    <x v="6"/>
    <d v="2008-07-01T00:00:00"/>
    <n v="319208.24"/>
    <n v="9743"/>
    <n v="332583.07"/>
  </r>
  <r>
    <s v="180 Holiday Inn Dr"/>
    <x v="1"/>
    <x v="3"/>
    <x v="7"/>
    <d v="2008-08-01T00:00:00"/>
    <n v="341475.31"/>
    <n v="9743"/>
    <n v="355783.13"/>
  </r>
  <r>
    <s v="180 Holiday Inn Dr"/>
    <x v="1"/>
    <x v="3"/>
    <x v="8"/>
    <d v="2008-09-01T00:00:00"/>
    <n v="323435.65999999997"/>
    <n v="9743"/>
    <n v="336987.61"/>
  </r>
  <r>
    <s v="180 Holiday Inn Dr"/>
    <x v="1"/>
    <x v="3"/>
    <x v="9"/>
    <d v="2008-10-01T00:00:00"/>
    <n v="307211.42"/>
    <n v="9743"/>
    <n v="320083.58"/>
  </r>
  <r>
    <s v="180 Holiday Inn Dr"/>
    <x v="1"/>
    <x v="3"/>
    <x v="10"/>
    <d v="2008-11-01T00:00:00"/>
    <n v="300539.38"/>
    <n v="9743"/>
    <n v="313131.98"/>
  </r>
  <r>
    <s v="180 Holiday Inn Dr"/>
    <x v="1"/>
    <x v="3"/>
    <x v="11"/>
    <d v="2008-12-01T00:00:00"/>
    <n v="287574.73"/>
    <n v="9743"/>
    <n v="299624.11"/>
  </r>
  <r>
    <s v="180 Holiday Inn Dr"/>
    <x v="1"/>
    <x v="3"/>
    <x v="0"/>
    <d v="2009-01-01T00:00:00"/>
    <n v="294315.08"/>
    <n v="9743"/>
    <n v="306646.88"/>
  </r>
  <r>
    <s v="180 Holiday Inn Dr"/>
    <x v="1"/>
    <x v="4"/>
    <x v="1"/>
    <d v="2009-02-01T00:00:00"/>
    <n v="287603.46000000002"/>
    <n v="9743"/>
    <n v="299654.03999999998"/>
  </r>
  <r>
    <s v="180 Holiday Inn Dr"/>
    <x v="1"/>
    <x v="4"/>
    <x v="2"/>
    <d v="2009-03-01T00:00:00"/>
    <n v="262200.68"/>
    <n v="9743"/>
    <n v="273186.89"/>
  </r>
  <r>
    <s v="180 Holiday Inn Dr"/>
    <x v="1"/>
    <x v="4"/>
    <x v="3"/>
    <d v="2009-04-01T00:00:00"/>
    <n v="290466.08"/>
    <n v="9743"/>
    <n v="302636.61"/>
  </r>
  <r>
    <s v="180 Holiday Inn Dr"/>
    <x v="1"/>
    <x v="4"/>
    <x v="4"/>
    <d v="2009-05-01T00:00:00"/>
    <n v="285261.36"/>
    <n v="9743"/>
    <n v="297213.81"/>
  </r>
  <r>
    <s v="180 Holiday Inn Dr"/>
    <x v="1"/>
    <x v="4"/>
    <x v="5"/>
    <d v="2009-06-01T00:00:00"/>
    <n v="305591.25"/>
    <n v="9743"/>
    <n v="318395.52000000002"/>
  </r>
  <r>
    <s v="180 Holiday Inn Dr"/>
    <x v="1"/>
    <x v="4"/>
    <x v="6"/>
    <d v="2009-07-01T00:00:00"/>
    <n v="310253.90999999997"/>
    <n v="9743"/>
    <n v="323253.55"/>
  </r>
  <r>
    <s v="180 Holiday Inn Dr"/>
    <x v="1"/>
    <x v="4"/>
    <x v="7"/>
    <d v="2009-08-01T00:00:00"/>
    <n v="318277.51"/>
    <n v="9743"/>
    <n v="331613.34000000003"/>
  </r>
  <r>
    <s v="180 Holiday Inn Dr"/>
    <x v="1"/>
    <x v="4"/>
    <x v="8"/>
    <d v="2009-09-01T00:00:00"/>
    <n v="317326.40000000002"/>
    <n v="9743"/>
    <n v="330622.38"/>
  </r>
  <r>
    <s v="180 Holiday Inn Dr"/>
    <x v="1"/>
    <x v="4"/>
    <x v="9"/>
    <d v="2009-10-01T00:00:00"/>
    <n v="293964.32"/>
    <n v="9743"/>
    <n v="306281.43"/>
  </r>
  <r>
    <s v="180 Holiday Inn Dr"/>
    <x v="1"/>
    <x v="4"/>
    <x v="10"/>
    <d v="2009-11-01T00:00:00"/>
    <n v="303214.26"/>
    <n v="9743"/>
    <n v="315918.94"/>
  </r>
  <r>
    <s v="180 Holiday Inn Dr"/>
    <x v="1"/>
    <x v="4"/>
    <x v="11"/>
    <d v="2009-12-01T00:00:00"/>
    <n v="293214.61"/>
    <n v="9743"/>
    <n v="305500.3"/>
  </r>
  <r>
    <s v="180 Holiday Inn Dr"/>
    <x v="1"/>
    <x v="4"/>
    <x v="0"/>
    <d v="2010-01-01T00:00:00"/>
    <n v="295341.40000000002"/>
    <n v="9743"/>
    <n v="307716.2"/>
  </r>
  <r>
    <s v="180 Holiday Inn Dr"/>
    <x v="1"/>
    <x v="5"/>
    <x v="1"/>
    <d v="2010-02-01T00:00:00"/>
    <n v="289189.84999999998"/>
    <n v="9743"/>
    <n v="301306.90000000002"/>
  </r>
  <r>
    <s v="180 Holiday Inn Dr"/>
    <x v="1"/>
    <x v="5"/>
    <x v="2"/>
    <d v="2010-03-01T00:00:00"/>
    <n v="259422.51"/>
    <n v="9743"/>
    <n v="270292.31"/>
  </r>
  <r>
    <s v="180 Holiday Inn Dr"/>
    <x v="1"/>
    <x v="5"/>
    <x v="3"/>
    <d v="2010-04-01T00:00:00"/>
    <n v="296887.90000000002"/>
    <n v="9743"/>
    <n v="309327.5"/>
  </r>
  <r>
    <s v="180 Holiday Inn Dr"/>
    <x v="1"/>
    <x v="5"/>
    <x v="4"/>
    <d v="2010-05-01T00:00:00"/>
    <n v="284958.28999999998"/>
    <n v="9743"/>
    <n v="296898.03999999998"/>
  </r>
  <r>
    <s v="180 Holiday Inn Dr"/>
    <x v="1"/>
    <x v="5"/>
    <x v="5"/>
    <d v="2010-06-01T00:00:00"/>
    <n v="281469.92"/>
    <n v="9743"/>
    <n v="289519.96000000002"/>
  </r>
  <r>
    <s v="180 Holiday Inn Dr"/>
    <x v="1"/>
    <x v="5"/>
    <x v="6"/>
    <d v="2010-07-01T00:00:00"/>
    <n v="307437.90999999997"/>
    <n v="9743"/>
    <n v="316230.63"/>
  </r>
  <r>
    <s v="180 Holiday Inn Dr"/>
    <x v="1"/>
    <x v="5"/>
    <x v="7"/>
    <d v="2010-08-01T00:00:00"/>
    <n v="348077.88"/>
    <n v="9743"/>
    <n v="358032.91"/>
  </r>
  <r>
    <s v="180 Holiday Inn Dr"/>
    <x v="1"/>
    <x v="5"/>
    <x v="8"/>
    <d v="2010-09-01T00:00:00"/>
    <n v="341955.68"/>
    <n v="9743"/>
    <n v="351735.61"/>
  </r>
  <r>
    <s v="180 Holiday Inn Dr"/>
    <x v="1"/>
    <x v="5"/>
    <x v="9"/>
    <d v="2010-10-01T00:00:00"/>
    <n v="285656.23"/>
    <n v="9743"/>
    <n v="293826"/>
  </r>
  <r>
    <s v="180 Holiday Inn Dr"/>
    <x v="1"/>
    <x v="5"/>
    <x v="10"/>
    <d v="2010-11-01T00:00:00"/>
    <n v="276656.17"/>
    <n v="9743"/>
    <n v="284568.53999999998"/>
  </r>
  <r>
    <s v="180 Holiday Inn Dr"/>
    <x v="1"/>
    <x v="5"/>
    <x v="11"/>
    <d v="2010-12-01T00:00:00"/>
    <n v="257585.51"/>
    <n v="9743"/>
    <n v="264952.46000000002"/>
  </r>
  <r>
    <s v="180 Holiday Inn Dr"/>
    <x v="1"/>
    <x v="5"/>
    <x v="0"/>
    <d v="2011-01-01T00:00:00"/>
    <n v="264690.92"/>
    <n v="9743"/>
    <n v="272261.08"/>
  </r>
  <r>
    <s v="180 Holiday Inn Dr"/>
    <x v="1"/>
    <x v="6"/>
    <x v="1"/>
    <d v="2011-02-01T00:00:00"/>
    <n v="263507.8"/>
    <n v="9743"/>
    <n v="271044.12"/>
  </r>
  <r>
    <s v="180 Holiday Inn Dr"/>
    <x v="1"/>
    <x v="6"/>
    <x v="2"/>
    <d v="2011-03-01T00:00:00"/>
    <n v="236503.89"/>
    <n v="9743"/>
    <n v="243267.9"/>
  </r>
  <r>
    <s v="180 Holiday Inn Dr"/>
    <x v="1"/>
    <x v="6"/>
    <x v="3"/>
    <d v="2011-04-01T00:00:00"/>
    <n v="261138.01"/>
    <n v="9743"/>
    <n v="268606.56"/>
  </r>
  <r>
    <s v="180 Holiday Inn Dr"/>
    <x v="1"/>
    <x v="6"/>
    <x v="4"/>
    <d v="2011-05-01T00:00:00"/>
    <n v="259190.64"/>
    <n v="9743"/>
    <n v="266603.49"/>
  </r>
  <r>
    <s v="180 Holiday Inn Dr"/>
    <x v="1"/>
    <x v="6"/>
    <x v="5"/>
    <d v="2011-06-01T00:00:00"/>
    <n v="291949.05"/>
    <n v="9743"/>
    <n v="300298.78999999998"/>
  </r>
  <r>
    <s v="180 Holiday Inn Dr"/>
    <x v="1"/>
    <x v="6"/>
    <x v="6"/>
    <d v="2011-07-01T00:00:00"/>
    <n v="301773.28000000003"/>
    <n v="9743"/>
    <n v="310404"/>
  </r>
  <r>
    <s v="180 Holiday Inn Dr"/>
    <x v="1"/>
    <x v="6"/>
    <x v="7"/>
    <d v="2011-08-01T00:00:00"/>
    <n v="349261.74"/>
    <n v="9743"/>
    <n v="359250.63"/>
  </r>
  <r>
    <s v="180 Holiday Inn Dr"/>
    <x v="1"/>
    <x v="6"/>
    <x v="8"/>
    <d v="2011-09-01T00:00:00"/>
    <n v="337202.12"/>
    <n v="9743"/>
    <n v="346846.1"/>
  </r>
  <r>
    <s v="180 Holiday Inn Dr"/>
    <x v="1"/>
    <x v="6"/>
    <x v="9"/>
    <d v="2011-10-01T00:00:00"/>
    <n v="311562.53999999998"/>
    <n v="9743"/>
    <n v="320473.23"/>
  </r>
  <r>
    <s v="180 Holiday Inn Dr"/>
    <x v="1"/>
    <x v="6"/>
    <x v="10"/>
    <d v="2011-11-01T00:00:00"/>
    <n v="303527.07"/>
    <n v="9743"/>
    <n v="312207.94"/>
  </r>
  <r>
    <s v="180 Holiday Inn Dr"/>
    <x v="1"/>
    <x v="6"/>
    <x v="11"/>
    <d v="2011-12-01T00:00:00"/>
    <n v="282316.98"/>
    <n v="9743"/>
    <n v="290391.25"/>
  </r>
  <r>
    <s v="180 Holiday Inn Dr"/>
    <x v="1"/>
    <x v="6"/>
    <x v="0"/>
    <d v="2012-01-01T00:00:00"/>
    <n v="296844.56"/>
    <n v="9743"/>
    <n v="305334.31"/>
  </r>
  <r>
    <s v="180 Holiday Inn Dr"/>
    <x v="1"/>
    <x v="7"/>
    <x v="1"/>
    <d v="2012-02-01T00:00:00"/>
    <n v="281061.78000000003"/>
    <n v="9743"/>
    <n v="289100.15000000002"/>
  </r>
  <r>
    <s v="180 Holiday Inn Dr"/>
    <x v="1"/>
    <x v="7"/>
    <x v="2"/>
    <d v="2012-03-01T00:00:00"/>
    <n v="241828.78"/>
    <n v="9743"/>
    <n v="248745.08"/>
  </r>
  <r>
    <s v="180 Holiday Inn Dr"/>
    <x v="1"/>
    <x v="7"/>
    <x v="3"/>
    <d v="2012-04-01T00:00:00"/>
    <n v="250033.58"/>
    <n v="9743"/>
    <n v="257184.54"/>
  </r>
  <r>
    <s v="180 Holiday Inn Dr"/>
    <x v="1"/>
    <x v="7"/>
    <x v="4"/>
    <d v="2012-04-27T00:00:00"/>
    <n v="208150.49"/>
    <n v="9743"/>
    <n v="214103.59"/>
  </r>
  <r>
    <s v="180 Holiday Inn Dr"/>
    <x v="1"/>
    <x v="7"/>
    <x v="5"/>
    <d v="2012-06-01T00:00:00"/>
    <n v="319740.28999999998"/>
    <n v="9743"/>
    <n v="328884.86"/>
  </r>
  <r>
    <s v="180 Holiday Inn Dr"/>
    <x v="1"/>
    <x v="7"/>
    <x v="6"/>
    <d v="2012-07-01T00:00:00"/>
    <n v="294702.88741979393"/>
    <n v="9743"/>
    <n v="303131.39"/>
  </r>
  <r>
    <s v="180 Holiday Inn Dr"/>
    <x v="1"/>
    <x v="7"/>
    <x v="7"/>
    <d v="2012-08-01T00:00:00"/>
    <n v="322016.30371378572"/>
    <n v="9743"/>
    <n v="331225.96999999997"/>
  </r>
  <r>
    <s v="180 Holiday Inn Dr"/>
    <x v="1"/>
    <x v="7"/>
    <x v="8"/>
    <d v="2012-09-01T00:00:00"/>
    <n v="305573.0799144468"/>
    <n v="9743"/>
    <n v="314312.46999999997"/>
  </r>
  <r>
    <s v="180 Holiday Inn Dr"/>
    <x v="1"/>
    <x v="7"/>
    <x v="9"/>
    <d v="2012-10-01T00:00:00"/>
    <n v="267524.73264631542"/>
    <n v="9743"/>
    <n v="275175.94"/>
  </r>
  <r>
    <s v="180 Holiday Inn Dr"/>
    <x v="1"/>
    <x v="7"/>
    <x v="10"/>
    <d v="2012-11-01T00:00:00"/>
    <n v="257148.05560956639"/>
    <n v="9743"/>
    <n v="264502.49"/>
  </r>
  <r>
    <s v="180 Holiday Inn Dr"/>
    <x v="1"/>
    <x v="7"/>
    <x v="11"/>
    <d v="2012-12-01T00:00:00"/>
    <n v="240576.11"/>
    <n v="9743"/>
    <n v="247456.59"/>
  </r>
  <r>
    <s v="180 Holiday Inn Dr"/>
    <x v="1"/>
    <x v="7"/>
    <x v="0"/>
    <d v="2013-01-01T00:00:00"/>
    <n v="241453.08185883728"/>
    <n v="9743"/>
    <n v="248358.64"/>
  </r>
  <r>
    <s v="200 Franklin Blvd"/>
    <x v="1"/>
    <x v="0"/>
    <x v="0"/>
    <d v="2006-01-01T00:00:00"/>
    <n v="391216.22"/>
    <n v="49997"/>
    <n v="404987.03"/>
  </r>
  <r>
    <s v="200 Franklin Blvd"/>
    <x v="1"/>
    <x v="1"/>
    <x v="1"/>
    <d v="2006-02-01T00:00:00"/>
    <n v="374093.75"/>
    <n v="49997"/>
    <n v="387261.85"/>
  </r>
  <r>
    <s v="200 Franklin Blvd"/>
    <x v="1"/>
    <x v="1"/>
    <x v="2"/>
    <d v="2006-03-01T00:00:00"/>
    <n v="311850.03999999998"/>
    <n v="49997"/>
    <n v="322827.15999999997"/>
  </r>
  <r>
    <s v="200 Franklin Blvd"/>
    <x v="1"/>
    <x v="1"/>
    <x v="3"/>
    <d v="2006-04-01T00:00:00"/>
    <n v="386728.28"/>
    <n v="49997"/>
    <n v="400341.12"/>
  </r>
  <r>
    <s v="200 Franklin Blvd"/>
    <x v="1"/>
    <x v="1"/>
    <x v="4"/>
    <d v="2006-05-01T00:00:00"/>
    <n v="380441.05"/>
    <n v="49997"/>
    <n v="393832.57"/>
  </r>
  <r>
    <s v="200 Franklin Blvd"/>
    <x v="1"/>
    <x v="1"/>
    <x v="5"/>
    <d v="2006-06-01T00:00:00"/>
    <n v="420048.51"/>
    <n v="49997"/>
    <n v="437648.54"/>
  </r>
  <r>
    <s v="200 Franklin Blvd"/>
    <x v="1"/>
    <x v="1"/>
    <x v="6"/>
    <d v="2006-07-01T00:00:00"/>
    <n v="442722.8"/>
    <n v="49997"/>
    <n v="461272.89"/>
  </r>
  <r>
    <s v="200 Franklin Blvd"/>
    <x v="1"/>
    <x v="1"/>
    <x v="7"/>
    <d v="2006-08-01T00:00:00"/>
    <n v="475499.95"/>
    <n v="49997"/>
    <n v="495423.4"/>
  </r>
  <r>
    <s v="200 Franklin Blvd"/>
    <x v="1"/>
    <x v="1"/>
    <x v="8"/>
    <d v="2006-09-01T00:00:00"/>
    <n v="465032.7"/>
    <n v="49997"/>
    <n v="484517.57"/>
  </r>
  <r>
    <s v="200 Franklin Blvd"/>
    <x v="1"/>
    <x v="1"/>
    <x v="9"/>
    <d v="2006-10-01T00:00:00"/>
    <n v="403003.77"/>
    <n v="49997"/>
    <n v="419889.63"/>
  </r>
  <r>
    <s v="200 Franklin Blvd"/>
    <x v="1"/>
    <x v="1"/>
    <x v="10"/>
    <d v="2006-11-01T00:00:00"/>
    <n v="378779.33"/>
    <n v="49997"/>
    <n v="394650.18"/>
  </r>
  <r>
    <s v="200 Franklin Blvd"/>
    <x v="1"/>
    <x v="1"/>
    <x v="11"/>
    <d v="2006-12-01T00:00:00"/>
    <n v="363840.67"/>
    <n v="49997"/>
    <n v="379085.59"/>
  </r>
  <r>
    <s v="200 Franklin Blvd"/>
    <x v="1"/>
    <x v="1"/>
    <x v="0"/>
    <d v="2007-01-01T00:00:00"/>
    <n v="375871.24"/>
    <n v="49997"/>
    <n v="391620.24"/>
  </r>
  <r>
    <s v="200 Franklin Blvd"/>
    <x v="1"/>
    <x v="2"/>
    <x v="1"/>
    <d v="2007-02-01T00:00:00"/>
    <n v="372073.89"/>
    <n v="49997"/>
    <n v="387663.79"/>
  </r>
  <r>
    <s v="200 Franklin Blvd"/>
    <x v="1"/>
    <x v="2"/>
    <x v="2"/>
    <d v="2007-03-01T00:00:00"/>
    <n v="338906.65"/>
    <n v="49997"/>
    <n v="353106.84"/>
  </r>
  <r>
    <s v="200 Franklin Blvd"/>
    <x v="1"/>
    <x v="2"/>
    <x v="3"/>
    <d v="2007-04-01T00:00:00"/>
    <n v="374146.38"/>
    <n v="49997"/>
    <n v="389823.11"/>
  </r>
  <r>
    <s v="200 Franklin Blvd"/>
    <x v="1"/>
    <x v="2"/>
    <x v="4"/>
    <d v="2007-05-01T00:00:00"/>
    <n v="367073.5"/>
    <n v="49997"/>
    <n v="382453.88"/>
  </r>
  <r>
    <s v="200 Franklin Blvd"/>
    <x v="1"/>
    <x v="2"/>
    <x v="5"/>
    <d v="2007-06-01T00:00:00"/>
    <n v="416583.11"/>
    <n v="49997"/>
    <n v="434037.94"/>
  </r>
  <r>
    <s v="200 Franklin Blvd"/>
    <x v="1"/>
    <x v="2"/>
    <x v="6"/>
    <d v="2007-07-01T00:00:00"/>
    <n v="444145.09"/>
    <n v="49997"/>
    <n v="462754.77"/>
  </r>
  <r>
    <s v="200 Franklin Blvd"/>
    <x v="1"/>
    <x v="2"/>
    <x v="7"/>
    <d v="2007-08-01T00:00:00"/>
    <n v="434527.82"/>
    <n v="49997"/>
    <n v="452734.54"/>
  </r>
  <r>
    <s v="200 Franklin Blvd"/>
    <x v="1"/>
    <x v="2"/>
    <x v="8"/>
    <d v="2007-09-01T00:00:00"/>
    <n v="461629.87"/>
    <n v="49997"/>
    <n v="480972.16"/>
  </r>
  <r>
    <s v="200 Franklin Blvd"/>
    <x v="1"/>
    <x v="2"/>
    <x v="9"/>
    <d v="2007-10-01T00:00:00"/>
    <n v="424354.16"/>
    <n v="49997"/>
    <n v="442134.6"/>
  </r>
  <r>
    <s v="200 Franklin Blvd"/>
    <x v="1"/>
    <x v="2"/>
    <x v="10"/>
    <d v="2007-11-01T00:00:00"/>
    <n v="430188.78"/>
    <n v="49997"/>
    <n v="448213.69"/>
  </r>
  <r>
    <s v="200 Franklin Blvd"/>
    <x v="1"/>
    <x v="2"/>
    <x v="11"/>
    <d v="2007-12-01T00:00:00"/>
    <n v="388020.33"/>
    <n v="49997"/>
    <n v="404278.38"/>
  </r>
  <r>
    <s v="200 Franklin Blvd"/>
    <x v="1"/>
    <x v="2"/>
    <x v="0"/>
    <d v="2008-01-01T00:00:00"/>
    <n v="397849.04"/>
    <n v="49997"/>
    <n v="414518.91"/>
  </r>
  <r>
    <s v="200 Franklin Blvd"/>
    <x v="1"/>
    <x v="3"/>
    <x v="1"/>
    <d v="2008-02-01T00:00:00"/>
    <n v="389153.99"/>
    <n v="49997"/>
    <n v="405459.54"/>
  </r>
  <r>
    <s v="200 Franklin Blvd"/>
    <x v="1"/>
    <x v="3"/>
    <x v="2"/>
    <d v="2008-03-01T00:00:00"/>
    <n v="357941.25"/>
    <n v="49997"/>
    <n v="372938.99"/>
  </r>
  <r>
    <s v="200 Franklin Blvd"/>
    <x v="1"/>
    <x v="3"/>
    <x v="3"/>
    <d v="2008-04-01T00:00:00"/>
    <n v="379163.48"/>
    <n v="49997"/>
    <n v="395050.43"/>
  </r>
  <r>
    <s v="200 Franklin Blvd"/>
    <x v="1"/>
    <x v="3"/>
    <x v="4"/>
    <d v="2008-05-01T00:00:00"/>
    <n v="391111.2"/>
    <n v="49997"/>
    <n v="407498.76"/>
  </r>
  <r>
    <s v="200 Franklin Blvd"/>
    <x v="1"/>
    <x v="3"/>
    <x v="5"/>
    <d v="2008-06-01T00:00:00"/>
    <n v="412173.25"/>
    <n v="49997"/>
    <n v="429443.31"/>
  </r>
  <r>
    <s v="200 Franklin Blvd"/>
    <x v="1"/>
    <x v="3"/>
    <x v="6"/>
    <d v="2008-07-01T00:00:00"/>
    <n v="460670.66"/>
    <n v="49997"/>
    <n v="479972.76"/>
  </r>
  <r>
    <s v="200 Franklin Blvd"/>
    <x v="1"/>
    <x v="3"/>
    <x v="7"/>
    <d v="2008-08-01T00:00:00"/>
    <n v="479758.99"/>
    <n v="49997"/>
    <n v="499860.89"/>
  </r>
  <r>
    <s v="200 Franklin Blvd"/>
    <x v="1"/>
    <x v="3"/>
    <x v="8"/>
    <d v="2008-09-01T00:00:00"/>
    <n v="456552.79"/>
    <n v="49997"/>
    <n v="475682.35"/>
  </r>
  <r>
    <s v="200 Franklin Blvd"/>
    <x v="1"/>
    <x v="3"/>
    <x v="9"/>
    <d v="2008-10-01T00:00:00"/>
    <n v="437236.09"/>
    <n v="49997"/>
    <n v="455556.28"/>
  </r>
  <r>
    <s v="200 Franklin Blvd"/>
    <x v="1"/>
    <x v="3"/>
    <x v="10"/>
    <d v="2008-11-01T00:00:00"/>
    <n v="399593.41"/>
    <n v="49997"/>
    <n v="416336.37"/>
  </r>
  <r>
    <s v="200 Franklin Blvd"/>
    <x v="1"/>
    <x v="3"/>
    <x v="11"/>
    <d v="2008-12-01T00:00:00"/>
    <n v="383577.08"/>
    <n v="49997"/>
    <n v="399648.96"/>
  </r>
  <r>
    <s v="200 Franklin Blvd"/>
    <x v="1"/>
    <x v="3"/>
    <x v="0"/>
    <d v="2009-01-01T00:00:00"/>
    <n v="401888.62"/>
    <n v="49997"/>
    <n v="418727.75"/>
  </r>
  <r>
    <s v="200 Franklin Blvd"/>
    <x v="1"/>
    <x v="4"/>
    <x v="1"/>
    <d v="2009-02-01T00:00:00"/>
    <n v="396093.49"/>
    <n v="49997"/>
    <n v="412689.81"/>
  </r>
  <r>
    <s v="200 Franklin Blvd"/>
    <x v="1"/>
    <x v="4"/>
    <x v="2"/>
    <d v="2009-03-01T00:00:00"/>
    <n v="356692.09"/>
    <n v="49997"/>
    <n v="371637.49"/>
  </r>
  <r>
    <s v="200 Franklin Blvd"/>
    <x v="1"/>
    <x v="4"/>
    <x v="3"/>
    <d v="2009-04-01T00:00:00"/>
    <n v="395105.76"/>
    <n v="49997"/>
    <n v="411660.69"/>
  </r>
  <r>
    <s v="200 Franklin Blvd"/>
    <x v="1"/>
    <x v="4"/>
    <x v="4"/>
    <d v="2009-05-01T00:00:00"/>
    <n v="394711.89"/>
    <n v="49997"/>
    <n v="411250.32"/>
  </r>
  <r>
    <s v="200 Franklin Blvd"/>
    <x v="1"/>
    <x v="4"/>
    <x v="5"/>
    <d v="2009-06-01T00:00:00"/>
    <n v="427165.55"/>
    <n v="49997"/>
    <n v="445063.79"/>
  </r>
  <r>
    <s v="200 Franklin Blvd"/>
    <x v="1"/>
    <x v="4"/>
    <x v="6"/>
    <d v="2009-07-01T00:00:00"/>
    <n v="453063.18"/>
    <n v="49997"/>
    <n v="472046.53"/>
  </r>
  <r>
    <s v="200 Franklin Blvd"/>
    <x v="1"/>
    <x v="4"/>
    <x v="7"/>
    <d v="2009-08-01T00:00:00"/>
    <n v="473589.54"/>
    <n v="49997"/>
    <n v="493432.94"/>
  </r>
  <r>
    <s v="200 Franklin Blvd"/>
    <x v="1"/>
    <x v="4"/>
    <x v="8"/>
    <d v="2009-09-01T00:00:00"/>
    <n v="477853.38"/>
    <n v="49997"/>
    <n v="497875.44"/>
  </r>
  <r>
    <s v="200 Franklin Blvd"/>
    <x v="1"/>
    <x v="4"/>
    <x v="9"/>
    <d v="2009-10-01T00:00:00"/>
    <n v="432680.01"/>
    <n v="49997"/>
    <n v="450809.3"/>
  </r>
  <r>
    <s v="200 Franklin Blvd"/>
    <x v="1"/>
    <x v="4"/>
    <x v="10"/>
    <d v="2009-11-01T00:00:00"/>
    <n v="401269.82"/>
    <n v="49997"/>
    <n v="418083.03"/>
  </r>
  <r>
    <s v="200 Franklin Blvd"/>
    <x v="1"/>
    <x v="4"/>
    <x v="11"/>
    <d v="2009-12-01T00:00:00"/>
    <n v="386332.57"/>
    <n v="49997"/>
    <n v="402519.9"/>
  </r>
  <r>
    <s v="200 Franklin Blvd"/>
    <x v="1"/>
    <x v="4"/>
    <x v="0"/>
    <d v="2010-01-01T00:00:00"/>
    <n v="391446.63"/>
    <n v="49997"/>
    <n v="407848.24"/>
  </r>
  <r>
    <s v="200 Franklin Blvd"/>
    <x v="1"/>
    <x v="5"/>
    <x v="1"/>
    <d v="2010-02-01T00:00:00"/>
    <n v="386576.61"/>
    <n v="49997"/>
    <n v="402774.17"/>
  </r>
  <r>
    <s v="200 Franklin Blvd"/>
    <x v="1"/>
    <x v="5"/>
    <x v="2"/>
    <d v="2010-03-01T00:00:00"/>
    <n v="350368.44"/>
    <n v="49997"/>
    <n v="365048.88"/>
  </r>
  <r>
    <s v="200 Franklin Blvd"/>
    <x v="1"/>
    <x v="5"/>
    <x v="3"/>
    <d v="2010-04-01T00:00:00"/>
    <n v="397820.25"/>
    <n v="49997"/>
    <n v="414488.92"/>
  </r>
  <r>
    <s v="200 Franklin Blvd"/>
    <x v="1"/>
    <x v="5"/>
    <x v="4"/>
    <d v="2010-05-01T00:00:00"/>
    <n v="400231.94"/>
    <n v="49997"/>
    <n v="417001.66"/>
  </r>
  <r>
    <s v="200 Franklin Blvd"/>
    <x v="1"/>
    <x v="5"/>
    <x v="5"/>
    <d v="2010-06-01T00:00:00"/>
    <n v="448282.07"/>
    <n v="49997"/>
    <n v="461102.94"/>
  </r>
  <r>
    <s v="200 Franklin Blvd"/>
    <x v="1"/>
    <x v="5"/>
    <x v="6"/>
    <d v="2010-07-01T00:00:00"/>
    <n v="475957.41"/>
    <n v="49997"/>
    <n v="489569.79"/>
  </r>
  <r>
    <s v="200 Franklin Blvd"/>
    <x v="1"/>
    <x v="5"/>
    <x v="7"/>
    <d v="2010-08-01T00:00:00"/>
    <n v="508464.8"/>
    <n v="49997"/>
    <n v="523006.89"/>
  </r>
  <r>
    <s v="200 Franklin Blvd"/>
    <x v="1"/>
    <x v="5"/>
    <x v="8"/>
    <d v="2010-09-01T00:00:00"/>
    <n v="489017.21"/>
    <n v="49997"/>
    <n v="503003.1"/>
  </r>
  <r>
    <s v="200 Franklin Blvd"/>
    <x v="1"/>
    <x v="5"/>
    <x v="9"/>
    <d v="2010-10-01T00:00:00"/>
    <n v="453460.07"/>
    <n v="49997"/>
    <n v="466429.03"/>
  </r>
  <r>
    <s v="200 Franklin Blvd"/>
    <x v="1"/>
    <x v="5"/>
    <x v="10"/>
    <d v="2010-11-01T00:00:00"/>
    <n v="424368.48"/>
    <n v="49997"/>
    <n v="436505.42"/>
  </r>
  <r>
    <s v="200 Franklin Blvd"/>
    <x v="1"/>
    <x v="5"/>
    <x v="11"/>
    <d v="2010-12-01T00:00:00"/>
    <n v="394729.13"/>
    <n v="49997"/>
    <n v="406018.38"/>
  </r>
  <r>
    <s v="200 Franklin Blvd"/>
    <x v="1"/>
    <x v="5"/>
    <x v="0"/>
    <d v="2011-01-01T00:00:00"/>
    <n v="398016.12"/>
    <n v="49997"/>
    <n v="409399.38"/>
  </r>
  <r>
    <s v="200 Franklin Blvd"/>
    <x v="1"/>
    <x v="6"/>
    <x v="1"/>
    <d v="2011-02-01T00:00:00"/>
    <n v="397454.51"/>
    <n v="49997"/>
    <n v="408821.71"/>
  </r>
  <r>
    <s v="200 Franklin Blvd"/>
    <x v="1"/>
    <x v="6"/>
    <x v="2"/>
    <d v="2011-03-01T00:00:00"/>
    <n v="363199.93"/>
    <n v="49997"/>
    <n v="373587.45"/>
  </r>
  <r>
    <s v="200 Franklin Blvd"/>
    <x v="1"/>
    <x v="6"/>
    <x v="3"/>
    <d v="2011-04-01T00:00:00"/>
    <n v="408491.93"/>
    <n v="49997"/>
    <n v="420174.8"/>
  </r>
  <r>
    <s v="200 Franklin Blvd"/>
    <x v="1"/>
    <x v="6"/>
    <x v="4"/>
    <d v="2011-05-01T00:00:00"/>
    <n v="402635.21"/>
    <n v="49997"/>
    <n v="414150.58"/>
  </r>
  <r>
    <s v="200 Franklin Blvd"/>
    <x v="1"/>
    <x v="6"/>
    <x v="5"/>
    <d v="2011-06-01T00:00:00"/>
    <n v="456332.3"/>
    <n v="49997"/>
    <n v="469383.4"/>
  </r>
  <r>
    <s v="200 Franklin Blvd"/>
    <x v="1"/>
    <x v="6"/>
    <x v="6"/>
    <d v="2011-07-01T00:00:00"/>
    <n v="479639.09"/>
    <n v="49997"/>
    <n v="493356.77"/>
  </r>
  <r>
    <s v="200 Franklin Blvd"/>
    <x v="1"/>
    <x v="6"/>
    <x v="7"/>
    <d v="2011-08-01T00:00:00"/>
    <n v="576234.38"/>
    <n v="49997"/>
    <n v="592714.68000000005"/>
  </r>
  <r>
    <s v="200 Franklin Blvd"/>
    <x v="1"/>
    <x v="6"/>
    <x v="8"/>
    <d v="2011-09-01T00:00:00"/>
    <n v="553770.27"/>
    <n v="49997"/>
    <n v="569608.1"/>
  </r>
  <r>
    <s v="200 Franklin Blvd"/>
    <x v="1"/>
    <x v="6"/>
    <x v="9"/>
    <d v="2011-10-01T00:00:00"/>
    <n v="493336.03"/>
    <n v="49997"/>
    <n v="507445.44"/>
  </r>
  <r>
    <s v="200 Franklin Blvd"/>
    <x v="1"/>
    <x v="6"/>
    <x v="10"/>
    <d v="2011-11-01T00:00:00"/>
    <n v="441656.63"/>
    <n v="49997"/>
    <n v="454288.01"/>
  </r>
  <r>
    <s v="200 Franklin Blvd"/>
    <x v="1"/>
    <x v="6"/>
    <x v="11"/>
    <d v="2011-12-01T00:00:00"/>
    <n v="412085.71"/>
    <n v="49997"/>
    <n v="423871.36"/>
  </r>
  <r>
    <s v="200 Franklin Blvd"/>
    <x v="1"/>
    <x v="6"/>
    <x v="0"/>
    <d v="2012-01-01T00:00:00"/>
    <n v="416433.18"/>
    <n v="49997"/>
    <n v="428343.17"/>
  </r>
  <r>
    <s v="200 Franklin Blvd"/>
    <x v="1"/>
    <x v="7"/>
    <x v="1"/>
    <d v="2012-02-01T00:00:00"/>
    <n v="410386.51"/>
    <n v="49997"/>
    <n v="422123.56"/>
  </r>
  <r>
    <s v="200 Franklin Blvd"/>
    <x v="1"/>
    <x v="7"/>
    <x v="2"/>
    <d v="2012-03-01T00:00:00"/>
    <n v="384229.35"/>
    <n v="49997"/>
    <n v="395218.31"/>
  </r>
  <r>
    <s v="200 Franklin Blvd"/>
    <x v="1"/>
    <x v="7"/>
    <x v="3"/>
    <d v="2012-04-01T00:00:00"/>
    <n v="434399.95"/>
    <n v="49997"/>
    <n v="446823.79"/>
  </r>
  <r>
    <s v="200 Franklin Blvd"/>
    <x v="1"/>
    <x v="7"/>
    <x v="4"/>
    <d v="2012-05-01T00:00:00"/>
    <n v="405092.91"/>
    <n v="49997"/>
    <n v="416678.57"/>
  </r>
  <r>
    <s v="200 Franklin Blvd"/>
    <x v="1"/>
    <x v="7"/>
    <x v="5"/>
    <d v="2012-06-01T00:00:00"/>
    <n v="475494.05"/>
    <n v="49997"/>
    <n v="489093.18"/>
  </r>
  <r>
    <s v="200 Franklin Blvd"/>
    <x v="1"/>
    <x v="7"/>
    <x v="6"/>
    <d v="2012-06-26T00:00:00"/>
    <n v="397607.93"/>
    <n v="49997"/>
    <n v="408979.52"/>
  </r>
  <r>
    <s v="200 Franklin Blvd"/>
    <x v="1"/>
    <x v="7"/>
    <x v="7"/>
    <d v="2012-08-01T00:00:00"/>
    <n v="614020.26"/>
    <n v="49997"/>
    <n v="631581.24"/>
  </r>
  <r>
    <s v="200 Franklin Blvd"/>
    <x v="1"/>
    <x v="7"/>
    <x v="8"/>
    <d v="2012-09-01T00:00:00"/>
    <n v="516743.02"/>
    <n v="49997"/>
    <n v="531521.87"/>
  </r>
  <r>
    <s v="200 Franklin Blvd"/>
    <x v="1"/>
    <x v="7"/>
    <x v="9"/>
    <d v="2012-10-01T00:00:00"/>
    <n v="454643.34"/>
    <n v="49997"/>
    <n v="467646.14"/>
  </r>
  <r>
    <s v="200 Franklin Blvd"/>
    <x v="1"/>
    <x v="7"/>
    <x v="10"/>
    <d v="2012-11-01T00:00:00"/>
    <n v="437325.23"/>
    <n v="49997"/>
    <n v="449832.73"/>
  </r>
  <r>
    <s v="200 Franklin Blvd"/>
    <x v="1"/>
    <x v="7"/>
    <x v="11"/>
    <d v="2012-12-01T00:00:00"/>
    <n v="399541.41"/>
    <n v="49997"/>
    <n v="410968.29"/>
  </r>
  <r>
    <s v="200 Franklin Blvd"/>
    <x v="1"/>
    <x v="7"/>
    <x v="0"/>
    <d v="2013-01-01T00:00:00"/>
    <n v="415025.76"/>
    <n v="49997"/>
    <n v="426895.5"/>
  </r>
  <r>
    <s v="400 Conestoga Blvd"/>
    <x v="1"/>
    <x v="1"/>
    <x v="5"/>
    <d v="2006-06-01T00:00:00"/>
    <n v="205953.86"/>
    <n v="42695"/>
    <n v="214583.33"/>
  </r>
  <r>
    <s v="400 Conestoga Blvd"/>
    <x v="1"/>
    <x v="1"/>
    <x v="6"/>
    <d v="2006-07-01T00:00:00"/>
    <n v="367442.14"/>
    <n v="42695"/>
    <n v="382837.97"/>
  </r>
  <r>
    <s v="400 Conestoga Blvd"/>
    <x v="1"/>
    <x v="1"/>
    <x v="7"/>
    <d v="2006-08-01T00:00:00"/>
    <n v="396760.31"/>
    <n v="42695"/>
    <n v="413384.57"/>
  </r>
  <r>
    <s v="400 Conestoga Blvd"/>
    <x v="1"/>
    <x v="1"/>
    <x v="8"/>
    <d v="2006-09-01T00:00:00"/>
    <n v="385638.25"/>
    <n v="42695"/>
    <n v="401796.49"/>
  </r>
  <r>
    <s v="400 Conestoga Blvd"/>
    <x v="1"/>
    <x v="1"/>
    <x v="9"/>
    <d v="2006-10-01T00:00:00"/>
    <n v="350685.35"/>
    <n v="42695"/>
    <n v="365379.07"/>
  </r>
  <r>
    <s v="400 Conestoga Blvd"/>
    <x v="1"/>
    <x v="1"/>
    <x v="10"/>
    <d v="2006-11-01T00:00:00"/>
    <n v="343791.05"/>
    <n v="42695"/>
    <n v="358195.89"/>
  </r>
  <r>
    <s v="400 Conestoga Blvd"/>
    <x v="1"/>
    <x v="1"/>
    <x v="11"/>
    <d v="2006-12-01T00:00:00"/>
    <n v="334976.46000000002"/>
    <n v="42695"/>
    <n v="349011.97"/>
  </r>
  <r>
    <s v="400 Conestoga Blvd"/>
    <x v="1"/>
    <x v="1"/>
    <x v="0"/>
    <d v="2007-01-01T00:00:00"/>
    <n v="338567.11"/>
    <n v="42695"/>
    <n v="352753.07"/>
  </r>
  <r>
    <s v="400 Conestoga Blvd"/>
    <x v="1"/>
    <x v="2"/>
    <x v="1"/>
    <d v="2007-02-01T00:00:00"/>
    <n v="332561.74"/>
    <n v="42695"/>
    <n v="346496.08"/>
  </r>
  <r>
    <s v="400 Conestoga Blvd"/>
    <x v="1"/>
    <x v="2"/>
    <x v="2"/>
    <d v="2007-03-01T00:00:00"/>
    <n v="295939.33"/>
    <n v="42695"/>
    <n v="308339.19"/>
  </r>
  <r>
    <s v="400 Conestoga Blvd"/>
    <x v="1"/>
    <x v="2"/>
    <x v="3"/>
    <d v="2007-04-01T00:00:00"/>
    <n v="334313.77"/>
    <n v="42695"/>
    <n v="348321.52"/>
  </r>
  <r>
    <s v="400 Conestoga Blvd"/>
    <x v="1"/>
    <x v="2"/>
    <x v="4"/>
    <d v="2007-05-01T00:00:00"/>
    <n v="333745.68"/>
    <n v="42695"/>
    <n v="347729.62"/>
  </r>
  <r>
    <s v="400 Conestoga Blvd"/>
    <x v="1"/>
    <x v="2"/>
    <x v="5"/>
    <d v="2007-06-01T00:00:00"/>
    <n v="378283.63"/>
    <n v="42695"/>
    <n v="394133.71"/>
  </r>
  <r>
    <s v="400 Conestoga Blvd"/>
    <x v="1"/>
    <x v="2"/>
    <x v="6"/>
    <d v="2007-07-01T00:00:00"/>
    <n v="399804.74"/>
    <n v="42695"/>
    <n v="416556.56"/>
  </r>
  <r>
    <s v="400 Conestoga Blvd"/>
    <x v="1"/>
    <x v="2"/>
    <x v="7"/>
    <d v="2007-08-01T00:00:00"/>
    <n v="396701.7"/>
    <n v="42695"/>
    <n v="413323.5"/>
  </r>
  <r>
    <s v="400 Conestoga Blvd"/>
    <x v="1"/>
    <x v="2"/>
    <x v="8"/>
    <d v="2007-09-01T00:00:00"/>
    <n v="401391.68"/>
    <n v="42695"/>
    <n v="418209.99"/>
  </r>
  <r>
    <s v="400 Conestoga Blvd"/>
    <x v="1"/>
    <x v="2"/>
    <x v="9"/>
    <d v="2007-10-01T00:00:00"/>
    <n v="375355.61"/>
    <n v="42695"/>
    <n v="391083.01"/>
  </r>
  <r>
    <s v="400 Conestoga Blvd"/>
    <x v="1"/>
    <x v="2"/>
    <x v="10"/>
    <d v="2007-11-01T00:00:00"/>
    <n v="364048.91"/>
    <n v="42695"/>
    <n v="379302.56"/>
  </r>
  <r>
    <s v="400 Conestoga Blvd"/>
    <x v="1"/>
    <x v="2"/>
    <x v="11"/>
    <d v="2007-12-01T00:00:00"/>
    <n v="327946.34000000003"/>
    <n v="42695"/>
    <n v="341687.29"/>
  </r>
  <r>
    <s v="400 Conestoga Blvd"/>
    <x v="1"/>
    <x v="2"/>
    <x v="0"/>
    <d v="2008-01-01T00:00:00"/>
    <n v="342302.05"/>
    <n v="42695"/>
    <n v="356644.51"/>
  </r>
  <r>
    <s v="400 Conestoga Blvd"/>
    <x v="1"/>
    <x v="3"/>
    <x v="1"/>
    <d v="2008-02-01T00:00:00"/>
    <n v="337454.57"/>
    <n v="42695"/>
    <n v="351593.92"/>
  </r>
  <r>
    <s v="400 Conestoga Blvd"/>
    <x v="1"/>
    <x v="3"/>
    <x v="2"/>
    <d v="2008-03-01T00:00:00"/>
    <n v="300926.8"/>
    <n v="42695"/>
    <n v="313535.63"/>
  </r>
  <r>
    <s v="400 Conestoga Blvd"/>
    <x v="1"/>
    <x v="3"/>
    <x v="3"/>
    <d v="2008-04-01T00:00:00"/>
    <n v="317236.56"/>
    <n v="42695"/>
    <n v="330528.77"/>
  </r>
  <r>
    <s v="400 Conestoga Blvd"/>
    <x v="1"/>
    <x v="3"/>
    <x v="4"/>
    <d v="2008-05-01T00:00:00"/>
    <n v="329235.06"/>
    <n v="42695"/>
    <n v="343030.01"/>
  </r>
  <r>
    <s v="400 Conestoga Blvd"/>
    <x v="1"/>
    <x v="3"/>
    <x v="5"/>
    <d v="2008-06-01T00:00:00"/>
    <n v="348294.32"/>
    <n v="42695"/>
    <n v="362887.85"/>
  </r>
  <r>
    <s v="400 Conestoga Blvd"/>
    <x v="1"/>
    <x v="3"/>
    <x v="6"/>
    <d v="2008-07-01T00:00:00"/>
    <n v="378712.26"/>
    <n v="42695"/>
    <n v="394580.3"/>
  </r>
  <r>
    <s v="400 Conestoga Blvd"/>
    <x v="1"/>
    <x v="3"/>
    <x v="7"/>
    <d v="2008-08-01T00:00:00"/>
    <n v="394795.63"/>
    <n v="42695"/>
    <n v="411337.57"/>
  </r>
  <r>
    <s v="400 Conestoga Blvd"/>
    <x v="1"/>
    <x v="3"/>
    <x v="8"/>
    <d v="2008-09-01T00:00:00"/>
    <n v="379360.31"/>
    <n v="42695"/>
    <n v="395255.51"/>
  </r>
  <r>
    <s v="400 Conestoga Blvd"/>
    <x v="1"/>
    <x v="3"/>
    <x v="9"/>
    <d v="2008-10-01T00:00:00"/>
    <n v="364400.92"/>
    <n v="42695"/>
    <n v="379669.32"/>
  </r>
  <r>
    <s v="400 Conestoga Blvd"/>
    <x v="1"/>
    <x v="3"/>
    <x v="10"/>
    <d v="2008-11-01T00:00:00"/>
    <n v="349982.76"/>
    <n v="42695"/>
    <n v="364647.04"/>
  </r>
  <r>
    <s v="400 Conestoga Blvd"/>
    <x v="1"/>
    <x v="3"/>
    <x v="11"/>
    <d v="2008-12-01T00:00:00"/>
    <n v="332695.18"/>
    <n v="42695"/>
    <n v="346635.11"/>
  </r>
  <r>
    <s v="400 Conestoga Blvd"/>
    <x v="1"/>
    <x v="3"/>
    <x v="0"/>
    <d v="2009-01-01T00:00:00"/>
    <n v="345883.27"/>
    <n v="42695"/>
    <n v="360375.78"/>
  </r>
  <r>
    <s v="400 Conestoga Blvd"/>
    <x v="1"/>
    <x v="4"/>
    <x v="1"/>
    <d v="2009-02-01T00:00:00"/>
    <n v="336924.3"/>
    <n v="42695"/>
    <n v="351041.43"/>
  </r>
  <r>
    <s v="400 Conestoga Blvd"/>
    <x v="1"/>
    <x v="4"/>
    <x v="2"/>
    <d v="2009-03-01T00:00:00"/>
    <n v="305455.81"/>
    <n v="42695"/>
    <n v="318254.40999999997"/>
  </r>
  <r>
    <s v="400 Conestoga Blvd"/>
    <x v="1"/>
    <x v="4"/>
    <x v="3"/>
    <d v="2009-04-01T00:00:00"/>
    <n v="340323.8"/>
    <n v="42695"/>
    <n v="354583.37"/>
  </r>
  <r>
    <s v="400 Conestoga Blvd"/>
    <x v="1"/>
    <x v="4"/>
    <x v="4"/>
    <d v="2009-05-01T00:00:00"/>
    <n v="332665.46000000002"/>
    <n v="42695"/>
    <n v="346604.14"/>
  </r>
  <r>
    <s v="400 Conestoga Blvd"/>
    <x v="1"/>
    <x v="4"/>
    <x v="5"/>
    <d v="2009-06-01T00:00:00"/>
    <n v="358887.47"/>
    <n v="42695"/>
    <n v="373924.85"/>
  </r>
  <r>
    <s v="400 Conestoga Blvd"/>
    <x v="1"/>
    <x v="4"/>
    <x v="6"/>
    <d v="2009-07-01T00:00:00"/>
    <n v="368809.41"/>
    <n v="42695"/>
    <n v="384262.52"/>
  </r>
  <r>
    <s v="400 Conestoga Blvd"/>
    <x v="1"/>
    <x v="4"/>
    <x v="7"/>
    <d v="2009-08-01T00:00:00"/>
    <n v="385077.96"/>
    <n v="42695"/>
    <n v="401212.73"/>
  </r>
  <r>
    <s v="400 Conestoga Blvd"/>
    <x v="1"/>
    <x v="4"/>
    <x v="8"/>
    <d v="2009-09-01T00:00:00"/>
    <n v="408364.01"/>
    <n v="42695"/>
    <n v="425474.46"/>
  </r>
  <r>
    <s v="400 Conestoga Blvd"/>
    <x v="1"/>
    <x v="4"/>
    <x v="9"/>
    <d v="2009-10-01T00:00:00"/>
    <n v="371200.15"/>
    <n v="42695"/>
    <n v="386753.44"/>
  </r>
  <r>
    <s v="400 Conestoga Blvd"/>
    <x v="1"/>
    <x v="4"/>
    <x v="10"/>
    <d v="2009-11-01T00:00:00"/>
    <n v="349383.93"/>
    <n v="42695"/>
    <n v="364023.12"/>
  </r>
  <r>
    <s v="400 Conestoga Blvd"/>
    <x v="1"/>
    <x v="4"/>
    <x v="11"/>
    <d v="2009-12-01T00:00:00"/>
    <n v="333940.17"/>
    <n v="42695"/>
    <n v="347932.26"/>
  </r>
  <r>
    <s v="400 Conestoga Blvd"/>
    <x v="1"/>
    <x v="4"/>
    <x v="0"/>
    <d v="2010-01-01T00:00:00"/>
    <n v="326636.39"/>
    <n v="42695"/>
    <n v="340322.45"/>
  </r>
  <r>
    <s v="400 Conestoga Blvd"/>
    <x v="1"/>
    <x v="5"/>
    <x v="1"/>
    <d v="2010-02-01T00:00:00"/>
    <n v="321345.02"/>
    <n v="42695"/>
    <n v="334809.38"/>
  </r>
  <r>
    <s v="400 Conestoga Blvd"/>
    <x v="1"/>
    <x v="5"/>
    <x v="2"/>
    <d v="2010-03-01T00:00:00"/>
    <n v="298687.25"/>
    <n v="42695"/>
    <n v="311202.25"/>
  </r>
  <r>
    <s v="400 Conestoga Blvd"/>
    <x v="1"/>
    <x v="5"/>
    <x v="3"/>
    <d v="2010-04-01T00:00:00"/>
    <n v="351035.78"/>
    <n v="42695"/>
    <n v="365744.18"/>
  </r>
  <r>
    <s v="400 Conestoga Blvd"/>
    <x v="1"/>
    <x v="5"/>
    <x v="4"/>
    <d v="2010-05-01T00:00:00"/>
    <n v="350334.51"/>
    <n v="42695"/>
    <n v="365013.53"/>
  </r>
  <r>
    <s v="400 Conestoga Blvd"/>
    <x v="1"/>
    <x v="5"/>
    <x v="5"/>
    <d v="2010-06-01T00:00:00"/>
    <n v="387061.85"/>
    <n v="42695"/>
    <n v="398131.82"/>
  </r>
  <r>
    <s v="400 Conestoga Blvd"/>
    <x v="1"/>
    <x v="5"/>
    <x v="6"/>
    <d v="2010-07-01T00:00:00"/>
    <n v="397364.76"/>
    <n v="42695"/>
    <n v="408729.39"/>
  </r>
  <r>
    <s v="400 Conestoga Blvd"/>
    <x v="1"/>
    <x v="5"/>
    <x v="7"/>
    <d v="2010-08-01T00:00:00"/>
    <n v="436824.84"/>
    <n v="42695"/>
    <n v="449318.03"/>
  </r>
  <r>
    <s v="400 Conestoga Blvd"/>
    <x v="1"/>
    <x v="5"/>
    <x v="8"/>
    <d v="2010-09-01T00:00:00"/>
    <n v="425536.6"/>
    <n v="42695"/>
    <n v="437706.95"/>
  </r>
  <r>
    <s v="400 Conestoga Blvd"/>
    <x v="1"/>
    <x v="5"/>
    <x v="9"/>
    <d v="2010-10-01T00:00:00"/>
    <n v="388777.69"/>
    <n v="42695"/>
    <n v="399896.73"/>
  </r>
  <r>
    <s v="400 Conestoga Blvd"/>
    <x v="1"/>
    <x v="5"/>
    <x v="10"/>
    <d v="2010-11-01T00:00:00"/>
    <n v="381550.88"/>
    <n v="42695"/>
    <n v="392463.24"/>
  </r>
  <r>
    <s v="400 Conestoga Blvd"/>
    <x v="1"/>
    <x v="5"/>
    <x v="11"/>
    <d v="2010-12-01T00:00:00"/>
    <n v="358075.67"/>
    <n v="42695"/>
    <n v="368316.63"/>
  </r>
  <r>
    <s v="400 Conestoga Blvd"/>
    <x v="1"/>
    <x v="5"/>
    <x v="0"/>
    <d v="2011-01-01T00:00:00"/>
    <n v="356651.88"/>
    <n v="42695"/>
    <n v="366852.12"/>
  </r>
  <r>
    <s v="400 Conestoga Blvd"/>
    <x v="1"/>
    <x v="6"/>
    <x v="1"/>
    <d v="2011-02-01T00:00:00"/>
    <n v="351326.6"/>
    <n v="42695"/>
    <n v="361374.54"/>
  </r>
  <r>
    <s v="400 Conestoga Blvd"/>
    <x v="1"/>
    <x v="6"/>
    <x v="2"/>
    <d v="2011-03-01T00:00:00"/>
    <n v="318352.71000000002"/>
    <n v="42695"/>
    <n v="327457.59999999998"/>
  </r>
  <r>
    <s v="400 Conestoga Blvd"/>
    <x v="1"/>
    <x v="6"/>
    <x v="3"/>
    <d v="2011-04-01T00:00:00"/>
    <n v="357313.1"/>
    <n v="42695"/>
    <n v="367532.25"/>
  </r>
  <r>
    <s v="400 Conestoga Blvd"/>
    <x v="1"/>
    <x v="6"/>
    <x v="4"/>
    <d v="2011-05-01T00:00:00"/>
    <n v="349805.45"/>
    <n v="42695"/>
    <n v="359809.89"/>
  </r>
  <r>
    <s v="400 Conestoga Blvd"/>
    <x v="1"/>
    <x v="6"/>
    <x v="5"/>
    <d v="2011-06-01T00:00:00"/>
    <n v="375100.02"/>
    <n v="42695"/>
    <n v="385827.88"/>
  </r>
  <r>
    <s v="400 Conestoga Blvd"/>
    <x v="1"/>
    <x v="6"/>
    <x v="6"/>
    <d v="2011-07-01T00:00:00"/>
    <n v="393597.67"/>
    <n v="42695"/>
    <n v="404854.56"/>
  </r>
  <r>
    <s v="400 Conestoga Blvd"/>
    <x v="1"/>
    <x v="6"/>
    <x v="7"/>
    <d v="2011-08-01T00:00:00"/>
    <n v="479504.42"/>
    <n v="42695"/>
    <n v="493218.25"/>
  </r>
  <r>
    <s v="400 Conestoga Blvd"/>
    <x v="1"/>
    <x v="6"/>
    <x v="8"/>
    <d v="2011-09-01T00:00:00"/>
    <n v="452020.69"/>
    <n v="42695"/>
    <n v="464948.47999999998"/>
  </r>
  <r>
    <s v="400 Conestoga Blvd"/>
    <x v="1"/>
    <x v="6"/>
    <x v="9"/>
    <d v="2011-10-01T00:00:00"/>
    <n v="427006.35"/>
    <n v="42695"/>
    <n v="439218.73"/>
  </r>
  <r>
    <s v="400 Conestoga Blvd"/>
    <x v="1"/>
    <x v="6"/>
    <x v="10"/>
    <d v="2011-11-01T00:00:00"/>
    <n v="416435.98"/>
    <n v="42695"/>
    <n v="428346.05"/>
  </r>
  <r>
    <s v="400 Conestoga Blvd"/>
    <x v="1"/>
    <x v="6"/>
    <x v="11"/>
    <d v="2011-12-01T00:00:00"/>
    <n v="396665.14"/>
    <n v="42695"/>
    <n v="408009.76"/>
  </r>
  <r>
    <s v="400 Conestoga Blvd"/>
    <x v="1"/>
    <x v="6"/>
    <x v="0"/>
    <d v="2012-01-01T00:00:00"/>
    <n v="395475.21"/>
    <n v="42695"/>
    <n v="406785.8"/>
  </r>
  <r>
    <s v="400 Conestoga Blvd"/>
    <x v="1"/>
    <x v="7"/>
    <x v="1"/>
    <d v="2012-02-01T00:00:00"/>
    <n v="387620.54"/>
    <n v="42695"/>
    <n v="398706.49"/>
  </r>
  <r>
    <s v="400 Conestoga Blvd"/>
    <x v="1"/>
    <x v="7"/>
    <x v="2"/>
    <d v="2012-03-01T00:00:00"/>
    <n v="366546.58"/>
    <n v="42695"/>
    <n v="377029.81"/>
  </r>
  <r>
    <s v="400 Conestoga Blvd"/>
    <x v="1"/>
    <x v="7"/>
    <x v="3"/>
    <d v="2012-04-01T00:00:00"/>
    <n v="407286.69"/>
    <n v="42695"/>
    <n v="418935.09"/>
  </r>
  <r>
    <s v="400 Conestoga Blvd"/>
    <x v="1"/>
    <x v="7"/>
    <x v="4"/>
    <d v="2012-04-27T00:00:00"/>
    <n v="332207.05"/>
    <n v="42695"/>
    <n v="341708.17"/>
  </r>
  <r>
    <s v="400 Conestoga Blvd"/>
    <x v="1"/>
    <x v="7"/>
    <x v="5"/>
    <d v="2012-06-01T00:00:00"/>
    <n v="471112.57"/>
    <n v="42695"/>
    <n v="484586.39"/>
  </r>
  <r>
    <s v="400 Conestoga Blvd"/>
    <x v="1"/>
    <x v="7"/>
    <x v="6"/>
    <d v="2012-07-01T00:00:00"/>
    <n v="420828.61170523043"/>
    <n v="42695"/>
    <n v="432864.31"/>
  </r>
  <r>
    <s v="400 Conestoga Blvd"/>
    <x v="1"/>
    <x v="7"/>
    <x v="7"/>
    <d v="2012-08-01T00:00:00"/>
    <n v="405326.32704647095"/>
    <n v="42695"/>
    <n v="416918.66"/>
  </r>
  <r>
    <s v="400 Conestoga Blvd"/>
    <x v="1"/>
    <x v="7"/>
    <x v="8"/>
    <d v="2012-09-01T00:00:00"/>
    <n v="363696.95702897146"/>
    <n v="42695"/>
    <n v="374098.69"/>
  </r>
  <r>
    <s v="400 Conestoga Blvd"/>
    <x v="1"/>
    <x v="7"/>
    <x v="9"/>
    <d v="2012-10-01T00:00:00"/>
    <n v="344213.82461598294"/>
    <n v="42695"/>
    <n v="354058.34"/>
  </r>
  <r>
    <s v="400 Conestoga Blvd"/>
    <x v="1"/>
    <x v="7"/>
    <x v="10"/>
    <d v="2012-11-01T00:00:00"/>
    <n v="337825.78261714953"/>
    <n v="42695"/>
    <n v="347487.6"/>
  </r>
  <r>
    <s v="400 Conestoga Blvd"/>
    <x v="1"/>
    <x v="7"/>
    <x v="11"/>
    <d v="2012-12-01T00:00:00"/>
    <n v="310770.94108496985"/>
    <n v="42695"/>
    <n v="319658.99"/>
  </r>
  <r>
    <s v="400 Conestoga Blvd"/>
    <x v="1"/>
    <x v="7"/>
    <x v="0"/>
    <d v="2013-01-01T00:00:00"/>
    <n v="295334.41571067472"/>
    <n v="42695"/>
    <n v="303780.98"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3:E96" firstHeaderRow="1" firstDataRow="2" firstDataCol="1"/>
  <pivotFields count="8">
    <pivotField showAll="0"/>
    <pivotField axis="axisCol" showAll="0">
      <items count="4">
        <item x="1"/>
        <item x="0"/>
        <item x="2"/>
        <item t="default"/>
      </items>
    </pivotField>
    <pivotField axis="axisRow" multipleItemSelectionAllowed="1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0"/>
        <item x="12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92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usage_" fld="5" baseField="1" baseItem="0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8"/>
  <sheetViews>
    <sheetView topLeftCell="A304" zoomScale="70" zoomScaleNormal="70" workbookViewId="0">
      <selection activeCell="H239" sqref="H239:H241"/>
    </sheetView>
  </sheetViews>
  <sheetFormatPr defaultRowHeight="15" x14ac:dyDescent="0.25"/>
  <cols>
    <col min="1" max="1" width="20.28515625" style="302" customWidth="1"/>
    <col min="2" max="2" width="11" style="302" customWidth="1"/>
    <col min="3" max="4" width="11.140625" style="302" customWidth="1"/>
    <col min="5" max="5" width="11.28515625" style="302" customWidth="1"/>
    <col min="6" max="6" width="11.42578125" style="302" customWidth="1"/>
    <col min="7" max="13" width="11.28515625" style="302" customWidth="1"/>
    <col min="14" max="14" width="12.42578125" style="302" customWidth="1"/>
    <col min="15" max="15" width="23.28515625" style="302" customWidth="1"/>
    <col min="16" max="23" width="12.42578125" style="302" customWidth="1"/>
    <col min="24" max="24" width="14.5703125" style="302" customWidth="1"/>
    <col min="25" max="26" width="12.42578125" style="302" customWidth="1"/>
    <col min="27" max="27" width="9.140625" style="302"/>
    <col min="28" max="28" width="31" style="302" customWidth="1"/>
    <col min="29" max="29" width="12.140625" style="302" customWidth="1"/>
    <col min="30" max="30" width="11.42578125" style="302" customWidth="1"/>
    <col min="31" max="31" width="11.85546875" style="302" customWidth="1"/>
    <col min="32" max="32" width="12.28515625" style="302" bestFit="1" customWidth="1"/>
    <col min="33" max="33" width="45.85546875" style="302" customWidth="1"/>
    <col min="34" max="34" width="10.7109375" style="302" customWidth="1"/>
    <col min="35" max="35" width="9.140625" style="302"/>
    <col min="36" max="36" width="6.7109375" style="302" customWidth="1"/>
    <col min="37" max="37" width="13" style="302" customWidth="1"/>
    <col min="38" max="38" width="11.140625" style="302" bestFit="1" customWidth="1"/>
    <col min="39" max="39" width="11.7109375" style="302" customWidth="1"/>
    <col min="40" max="40" width="11.140625" style="302" bestFit="1" customWidth="1"/>
    <col min="41" max="41" width="10.5703125" style="302" customWidth="1"/>
    <col min="42" max="42" width="9.140625" style="302"/>
    <col min="43" max="43" width="11" style="302" customWidth="1"/>
    <col min="44" max="261" width="9.140625" style="302"/>
    <col min="262" max="262" width="26.85546875" style="302" customWidth="1"/>
    <col min="263" max="263" width="0" style="302" hidden="1" customWidth="1"/>
    <col min="264" max="264" width="12.42578125" style="302" customWidth="1"/>
    <col min="265" max="266" width="11.140625" style="302" customWidth="1"/>
    <col min="267" max="267" width="12.140625" style="302" customWidth="1"/>
    <col min="268" max="268" width="14" style="302" customWidth="1"/>
    <col min="269" max="269" width="12.5703125" style="302" customWidth="1"/>
    <col min="270" max="271" width="13.140625" style="302" customWidth="1"/>
    <col min="272" max="273" width="9.140625" style="302"/>
    <col min="274" max="274" width="11" style="302" customWidth="1"/>
    <col min="275" max="517" width="9.140625" style="302"/>
    <col min="518" max="518" width="26.85546875" style="302" customWidth="1"/>
    <col min="519" max="519" width="0" style="302" hidden="1" customWidth="1"/>
    <col min="520" max="520" width="12.42578125" style="302" customWidth="1"/>
    <col min="521" max="522" width="11.140625" style="302" customWidth="1"/>
    <col min="523" max="523" width="12.140625" style="302" customWidth="1"/>
    <col min="524" max="524" width="14" style="302" customWidth="1"/>
    <col min="525" max="525" width="12.5703125" style="302" customWidth="1"/>
    <col min="526" max="527" width="13.140625" style="302" customWidth="1"/>
    <col min="528" max="529" width="9.140625" style="302"/>
    <col min="530" max="530" width="11" style="302" customWidth="1"/>
    <col min="531" max="773" width="9.140625" style="302"/>
    <col min="774" max="774" width="26.85546875" style="302" customWidth="1"/>
    <col min="775" max="775" width="0" style="302" hidden="1" customWidth="1"/>
    <col min="776" max="776" width="12.42578125" style="302" customWidth="1"/>
    <col min="777" max="778" width="11.140625" style="302" customWidth="1"/>
    <col min="779" max="779" width="12.140625" style="302" customWidth="1"/>
    <col min="780" max="780" width="14" style="302" customWidth="1"/>
    <col min="781" max="781" width="12.5703125" style="302" customWidth="1"/>
    <col min="782" max="783" width="13.140625" style="302" customWidth="1"/>
    <col min="784" max="785" width="9.140625" style="302"/>
    <col min="786" max="786" width="11" style="302" customWidth="1"/>
    <col min="787" max="1029" width="9.140625" style="302"/>
    <col min="1030" max="1030" width="26.85546875" style="302" customWidth="1"/>
    <col min="1031" max="1031" width="0" style="302" hidden="1" customWidth="1"/>
    <col min="1032" max="1032" width="12.42578125" style="302" customWidth="1"/>
    <col min="1033" max="1034" width="11.140625" style="302" customWidth="1"/>
    <col min="1035" max="1035" width="12.140625" style="302" customWidth="1"/>
    <col min="1036" max="1036" width="14" style="302" customWidth="1"/>
    <col min="1037" max="1037" width="12.5703125" style="302" customWidth="1"/>
    <col min="1038" max="1039" width="13.140625" style="302" customWidth="1"/>
    <col min="1040" max="1041" width="9.140625" style="302"/>
    <col min="1042" max="1042" width="11" style="302" customWidth="1"/>
    <col min="1043" max="1285" width="9.140625" style="302"/>
    <col min="1286" max="1286" width="26.85546875" style="302" customWidth="1"/>
    <col min="1287" max="1287" width="0" style="302" hidden="1" customWidth="1"/>
    <col min="1288" max="1288" width="12.42578125" style="302" customWidth="1"/>
    <col min="1289" max="1290" width="11.140625" style="302" customWidth="1"/>
    <col min="1291" max="1291" width="12.140625" style="302" customWidth="1"/>
    <col min="1292" max="1292" width="14" style="302" customWidth="1"/>
    <col min="1293" max="1293" width="12.5703125" style="302" customWidth="1"/>
    <col min="1294" max="1295" width="13.140625" style="302" customWidth="1"/>
    <col min="1296" max="1297" width="9.140625" style="302"/>
    <col min="1298" max="1298" width="11" style="302" customWidth="1"/>
    <col min="1299" max="1541" width="9.140625" style="302"/>
    <col min="1542" max="1542" width="26.85546875" style="302" customWidth="1"/>
    <col min="1543" max="1543" width="0" style="302" hidden="1" customWidth="1"/>
    <col min="1544" max="1544" width="12.42578125" style="302" customWidth="1"/>
    <col min="1545" max="1546" width="11.140625" style="302" customWidth="1"/>
    <col min="1547" max="1547" width="12.140625" style="302" customWidth="1"/>
    <col min="1548" max="1548" width="14" style="302" customWidth="1"/>
    <col min="1549" max="1549" width="12.5703125" style="302" customWidth="1"/>
    <col min="1550" max="1551" width="13.140625" style="302" customWidth="1"/>
    <col min="1552" max="1553" width="9.140625" style="302"/>
    <col min="1554" max="1554" width="11" style="302" customWidth="1"/>
    <col min="1555" max="1797" width="9.140625" style="302"/>
    <col min="1798" max="1798" width="26.85546875" style="302" customWidth="1"/>
    <col min="1799" max="1799" width="0" style="302" hidden="1" customWidth="1"/>
    <col min="1800" max="1800" width="12.42578125" style="302" customWidth="1"/>
    <col min="1801" max="1802" width="11.140625" style="302" customWidth="1"/>
    <col min="1803" max="1803" width="12.140625" style="302" customWidth="1"/>
    <col min="1804" max="1804" width="14" style="302" customWidth="1"/>
    <col min="1805" max="1805" width="12.5703125" style="302" customWidth="1"/>
    <col min="1806" max="1807" width="13.140625" style="302" customWidth="1"/>
    <col min="1808" max="1809" width="9.140625" style="302"/>
    <col min="1810" max="1810" width="11" style="302" customWidth="1"/>
    <col min="1811" max="2053" width="9.140625" style="302"/>
    <col min="2054" max="2054" width="26.85546875" style="302" customWidth="1"/>
    <col min="2055" max="2055" width="0" style="302" hidden="1" customWidth="1"/>
    <col min="2056" max="2056" width="12.42578125" style="302" customWidth="1"/>
    <col min="2057" max="2058" width="11.140625" style="302" customWidth="1"/>
    <col min="2059" max="2059" width="12.140625" style="302" customWidth="1"/>
    <col min="2060" max="2060" width="14" style="302" customWidth="1"/>
    <col min="2061" max="2061" width="12.5703125" style="302" customWidth="1"/>
    <col min="2062" max="2063" width="13.140625" style="302" customWidth="1"/>
    <col min="2064" max="2065" width="9.140625" style="302"/>
    <col min="2066" max="2066" width="11" style="302" customWidth="1"/>
    <col min="2067" max="2309" width="9.140625" style="302"/>
    <col min="2310" max="2310" width="26.85546875" style="302" customWidth="1"/>
    <col min="2311" max="2311" width="0" style="302" hidden="1" customWidth="1"/>
    <col min="2312" max="2312" width="12.42578125" style="302" customWidth="1"/>
    <col min="2313" max="2314" width="11.140625" style="302" customWidth="1"/>
    <col min="2315" max="2315" width="12.140625" style="302" customWidth="1"/>
    <col min="2316" max="2316" width="14" style="302" customWidth="1"/>
    <col min="2317" max="2317" width="12.5703125" style="302" customWidth="1"/>
    <col min="2318" max="2319" width="13.140625" style="302" customWidth="1"/>
    <col min="2320" max="2321" width="9.140625" style="302"/>
    <col min="2322" max="2322" width="11" style="302" customWidth="1"/>
    <col min="2323" max="2565" width="9.140625" style="302"/>
    <col min="2566" max="2566" width="26.85546875" style="302" customWidth="1"/>
    <col min="2567" max="2567" width="0" style="302" hidden="1" customWidth="1"/>
    <col min="2568" max="2568" width="12.42578125" style="302" customWidth="1"/>
    <col min="2569" max="2570" width="11.140625" style="302" customWidth="1"/>
    <col min="2571" max="2571" width="12.140625" style="302" customWidth="1"/>
    <col min="2572" max="2572" width="14" style="302" customWidth="1"/>
    <col min="2573" max="2573" width="12.5703125" style="302" customWidth="1"/>
    <col min="2574" max="2575" width="13.140625" style="302" customWidth="1"/>
    <col min="2576" max="2577" width="9.140625" style="302"/>
    <col min="2578" max="2578" width="11" style="302" customWidth="1"/>
    <col min="2579" max="2821" width="9.140625" style="302"/>
    <col min="2822" max="2822" width="26.85546875" style="302" customWidth="1"/>
    <col min="2823" max="2823" width="0" style="302" hidden="1" customWidth="1"/>
    <col min="2824" max="2824" width="12.42578125" style="302" customWidth="1"/>
    <col min="2825" max="2826" width="11.140625" style="302" customWidth="1"/>
    <col min="2827" max="2827" width="12.140625" style="302" customWidth="1"/>
    <col min="2828" max="2828" width="14" style="302" customWidth="1"/>
    <col min="2829" max="2829" width="12.5703125" style="302" customWidth="1"/>
    <col min="2830" max="2831" width="13.140625" style="302" customWidth="1"/>
    <col min="2832" max="2833" width="9.140625" style="302"/>
    <col min="2834" max="2834" width="11" style="302" customWidth="1"/>
    <col min="2835" max="3077" width="9.140625" style="302"/>
    <col min="3078" max="3078" width="26.85546875" style="302" customWidth="1"/>
    <col min="3079" max="3079" width="0" style="302" hidden="1" customWidth="1"/>
    <col min="3080" max="3080" width="12.42578125" style="302" customWidth="1"/>
    <col min="3081" max="3082" width="11.140625" style="302" customWidth="1"/>
    <col min="3083" max="3083" width="12.140625" style="302" customWidth="1"/>
    <col min="3084" max="3084" width="14" style="302" customWidth="1"/>
    <col min="3085" max="3085" width="12.5703125" style="302" customWidth="1"/>
    <col min="3086" max="3087" width="13.140625" style="302" customWidth="1"/>
    <col min="3088" max="3089" width="9.140625" style="302"/>
    <col min="3090" max="3090" width="11" style="302" customWidth="1"/>
    <col min="3091" max="3333" width="9.140625" style="302"/>
    <col min="3334" max="3334" width="26.85546875" style="302" customWidth="1"/>
    <col min="3335" max="3335" width="0" style="302" hidden="1" customWidth="1"/>
    <col min="3336" max="3336" width="12.42578125" style="302" customWidth="1"/>
    <col min="3337" max="3338" width="11.140625" style="302" customWidth="1"/>
    <col min="3339" max="3339" width="12.140625" style="302" customWidth="1"/>
    <col min="3340" max="3340" width="14" style="302" customWidth="1"/>
    <col min="3341" max="3341" width="12.5703125" style="302" customWidth="1"/>
    <col min="3342" max="3343" width="13.140625" style="302" customWidth="1"/>
    <col min="3344" max="3345" width="9.140625" style="302"/>
    <col min="3346" max="3346" width="11" style="302" customWidth="1"/>
    <col min="3347" max="3589" width="9.140625" style="302"/>
    <col min="3590" max="3590" width="26.85546875" style="302" customWidth="1"/>
    <col min="3591" max="3591" width="0" style="302" hidden="1" customWidth="1"/>
    <col min="3592" max="3592" width="12.42578125" style="302" customWidth="1"/>
    <col min="3593" max="3594" width="11.140625" style="302" customWidth="1"/>
    <col min="3595" max="3595" width="12.140625" style="302" customWidth="1"/>
    <col min="3596" max="3596" width="14" style="302" customWidth="1"/>
    <col min="3597" max="3597" width="12.5703125" style="302" customWidth="1"/>
    <col min="3598" max="3599" width="13.140625" style="302" customWidth="1"/>
    <col min="3600" max="3601" width="9.140625" style="302"/>
    <col min="3602" max="3602" width="11" style="302" customWidth="1"/>
    <col min="3603" max="3845" width="9.140625" style="302"/>
    <col min="3846" max="3846" width="26.85546875" style="302" customWidth="1"/>
    <col min="3847" max="3847" width="0" style="302" hidden="1" customWidth="1"/>
    <col min="3848" max="3848" width="12.42578125" style="302" customWidth="1"/>
    <col min="3849" max="3850" width="11.140625" style="302" customWidth="1"/>
    <col min="3851" max="3851" width="12.140625" style="302" customWidth="1"/>
    <col min="3852" max="3852" width="14" style="302" customWidth="1"/>
    <col min="3853" max="3853" width="12.5703125" style="302" customWidth="1"/>
    <col min="3854" max="3855" width="13.140625" style="302" customWidth="1"/>
    <col min="3856" max="3857" width="9.140625" style="302"/>
    <col min="3858" max="3858" width="11" style="302" customWidth="1"/>
    <col min="3859" max="4101" width="9.140625" style="302"/>
    <col min="4102" max="4102" width="26.85546875" style="302" customWidth="1"/>
    <col min="4103" max="4103" width="0" style="302" hidden="1" customWidth="1"/>
    <col min="4104" max="4104" width="12.42578125" style="302" customWidth="1"/>
    <col min="4105" max="4106" width="11.140625" style="302" customWidth="1"/>
    <col min="4107" max="4107" width="12.140625" style="302" customWidth="1"/>
    <col min="4108" max="4108" width="14" style="302" customWidth="1"/>
    <col min="4109" max="4109" width="12.5703125" style="302" customWidth="1"/>
    <col min="4110" max="4111" width="13.140625" style="302" customWidth="1"/>
    <col min="4112" max="4113" width="9.140625" style="302"/>
    <col min="4114" max="4114" width="11" style="302" customWidth="1"/>
    <col min="4115" max="4357" width="9.140625" style="302"/>
    <col min="4358" max="4358" width="26.85546875" style="302" customWidth="1"/>
    <col min="4359" max="4359" width="0" style="302" hidden="1" customWidth="1"/>
    <col min="4360" max="4360" width="12.42578125" style="302" customWidth="1"/>
    <col min="4361" max="4362" width="11.140625" style="302" customWidth="1"/>
    <col min="4363" max="4363" width="12.140625" style="302" customWidth="1"/>
    <col min="4364" max="4364" width="14" style="302" customWidth="1"/>
    <col min="4365" max="4365" width="12.5703125" style="302" customWidth="1"/>
    <col min="4366" max="4367" width="13.140625" style="302" customWidth="1"/>
    <col min="4368" max="4369" width="9.140625" style="302"/>
    <col min="4370" max="4370" width="11" style="302" customWidth="1"/>
    <col min="4371" max="4613" width="9.140625" style="302"/>
    <col min="4614" max="4614" width="26.85546875" style="302" customWidth="1"/>
    <col min="4615" max="4615" width="0" style="302" hidden="1" customWidth="1"/>
    <col min="4616" max="4616" width="12.42578125" style="302" customWidth="1"/>
    <col min="4617" max="4618" width="11.140625" style="302" customWidth="1"/>
    <col min="4619" max="4619" width="12.140625" style="302" customWidth="1"/>
    <col min="4620" max="4620" width="14" style="302" customWidth="1"/>
    <col min="4621" max="4621" width="12.5703125" style="302" customWidth="1"/>
    <col min="4622" max="4623" width="13.140625" style="302" customWidth="1"/>
    <col min="4624" max="4625" width="9.140625" style="302"/>
    <col min="4626" max="4626" width="11" style="302" customWidth="1"/>
    <col min="4627" max="4869" width="9.140625" style="302"/>
    <col min="4870" max="4870" width="26.85546875" style="302" customWidth="1"/>
    <col min="4871" max="4871" width="0" style="302" hidden="1" customWidth="1"/>
    <col min="4872" max="4872" width="12.42578125" style="302" customWidth="1"/>
    <col min="4873" max="4874" width="11.140625" style="302" customWidth="1"/>
    <col min="4875" max="4875" width="12.140625" style="302" customWidth="1"/>
    <col min="4876" max="4876" width="14" style="302" customWidth="1"/>
    <col min="4877" max="4877" width="12.5703125" style="302" customWidth="1"/>
    <col min="4878" max="4879" width="13.140625" style="302" customWidth="1"/>
    <col min="4880" max="4881" width="9.140625" style="302"/>
    <col min="4882" max="4882" width="11" style="302" customWidth="1"/>
    <col min="4883" max="5125" width="9.140625" style="302"/>
    <col min="5126" max="5126" width="26.85546875" style="302" customWidth="1"/>
    <col min="5127" max="5127" width="0" style="302" hidden="1" customWidth="1"/>
    <col min="5128" max="5128" width="12.42578125" style="302" customWidth="1"/>
    <col min="5129" max="5130" width="11.140625" style="302" customWidth="1"/>
    <col min="5131" max="5131" width="12.140625" style="302" customWidth="1"/>
    <col min="5132" max="5132" width="14" style="302" customWidth="1"/>
    <col min="5133" max="5133" width="12.5703125" style="302" customWidth="1"/>
    <col min="5134" max="5135" width="13.140625" style="302" customWidth="1"/>
    <col min="5136" max="5137" width="9.140625" style="302"/>
    <col min="5138" max="5138" width="11" style="302" customWidth="1"/>
    <col min="5139" max="5381" width="9.140625" style="302"/>
    <col min="5382" max="5382" width="26.85546875" style="302" customWidth="1"/>
    <col min="5383" max="5383" width="0" style="302" hidden="1" customWidth="1"/>
    <col min="5384" max="5384" width="12.42578125" style="302" customWidth="1"/>
    <col min="5385" max="5386" width="11.140625" style="302" customWidth="1"/>
    <col min="5387" max="5387" width="12.140625" style="302" customWidth="1"/>
    <col min="5388" max="5388" width="14" style="302" customWidth="1"/>
    <col min="5389" max="5389" width="12.5703125" style="302" customWidth="1"/>
    <col min="5390" max="5391" width="13.140625" style="302" customWidth="1"/>
    <col min="5392" max="5393" width="9.140625" style="302"/>
    <col min="5394" max="5394" width="11" style="302" customWidth="1"/>
    <col min="5395" max="5637" width="9.140625" style="302"/>
    <col min="5638" max="5638" width="26.85546875" style="302" customWidth="1"/>
    <col min="5639" max="5639" width="0" style="302" hidden="1" customWidth="1"/>
    <col min="5640" max="5640" width="12.42578125" style="302" customWidth="1"/>
    <col min="5641" max="5642" width="11.140625" style="302" customWidth="1"/>
    <col min="5643" max="5643" width="12.140625" style="302" customWidth="1"/>
    <col min="5644" max="5644" width="14" style="302" customWidth="1"/>
    <col min="5645" max="5645" width="12.5703125" style="302" customWidth="1"/>
    <col min="5646" max="5647" width="13.140625" style="302" customWidth="1"/>
    <col min="5648" max="5649" width="9.140625" style="302"/>
    <col min="5650" max="5650" width="11" style="302" customWidth="1"/>
    <col min="5651" max="5893" width="9.140625" style="302"/>
    <col min="5894" max="5894" width="26.85546875" style="302" customWidth="1"/>
    <col min="5895" max="5895" width="0" style="302" hidden="1" customWidth="1"/>
    <col min="5896" max="5896" width="12.42578125" style="302" customWidth="1"/>
    <col min="5897" max="5898" width="11.140625" style="302" customWidth="1"/>
    <col min="5899" max="5899" width="12.140625" style="302" customWidth="1"/>
    <col min="5900" max="5900" width="14" style="302" customWidth="1"/>
    <col min="5901" max="5901" width="12.5703125" style="302" customWidth="1"/>
    <col min="5902" max="5903" width="13.140625" style="302" customWidth="1"/>
    <col min="5904" max="5905" width="9.140625" style="302"/>
    <col min="5906" max="5906" width="11" style="302" customWidth="1"/>
    <col min="5907" max="6149" width="9.140625" style="302"/>
    <col min="6150" max="6150" width="26.85546875" style="302" customWidth="1"/>
    <col min="6151" max="6151" width="0" style="302" hidden="1" customWidth="1"/>
    <col min="6152" max="6152" width="12.42578125" style="302" customWidth="1"/>
    <col min="6153" max="6154" width="11.140625" style="302" customWidth="1"/>
    <col min="6155" max="6155" width="12.140625" style="302" customWidth="1"/>
    <col min="6156" max="6156" width="14" style="302" customWidth="1"/>
    <col min="6157" max="6157" width="12.5703125" style="302" customWidth="1"/>
    <col min="6158" max="6159" width="13.140625" style="302" customWidth="1"/>
    <col min="6160" max="6161" width="9.140625" style="302"/>
    <col min="6162" max="6162" width="11" style="302" customWidth="1"/>
    <col min="6163" max="6405" width="9.140625" style="302"/>
    <col min="6406" max="6406" width="26.85546875" style="302" customWidth="1"/>
    <col min="6407" max="6407" width="0" style="302" hidden="1" customWidth="1"/>
    <col min="6408" max="6408" width="12.42578125" style="302" customWidth="1"/>
    <col min="6409" max="6410" width="11.140625" style="302" customWidth="1"/>
    <col min="6411" max="6411" width="12.140625" style="302" customWidth="1"/>
    <col min="6412" max="6412" width="14" style="302" customWidth="1"/>
    <col min="6413" max="6413" width="12.5703125" style="302" customWidth="1"/>
    <col min="6414" max="6415" width="13.140625" style="302" customWidth="1"/>
    <col min="6416" max="6417" width="9.140625" style="302"/>
    <col min="6418" max="6418" width="11" style="302" customWidth="1"/>
    <col min="6419" max="6661" width="9.140625" style="302"/>
    <col min="6662" max="6662" width="26.85546875" style="302" customWidth="1"/>
    <col min="6663" max="6663" width="0" style="302" hidden="1" customWidth="1"/>
    <col min="6664" max="6664" width="12.42578125" style="302" customWidth="1"/>
    <col min="6665" max="6666" width="11.140625" style="302" customWidth="1"/>
    <col min="6667" max="6667" width="12.140625" style="302" customWidth="1"/>
    <col min="6668" max="6668" width="14" style="302" customWidth="1"/>
    <col min="6669" max="6669" width="12.5703125" style="302" customWidth="1"/>
    <col min="6670" max="6671" width="13.140625" style="302" customWidth="1"/>
    <col min="6672" max="6673" width="9.140625" style="302"/>
    <col min="6674" max="6674" width="11" style="302" customWidth="1"/>
    <col min="6675" max="6917" width="9.140625" style="302"/>
    <col min="6918" max="6918" width="26.85546875" style="302" customWidth="1"/>
    <col min="6919" max="6919" width="0" style="302" hidden="1" customWidth="1"/>
    <col min="6920" max="6920" width="12.42578125" style="302" customWidth="1"/>
    <col min="6921" max="6922" width="11.140625" style="302" customWidth="1"/>
    <col min="6923" max="6923" width="12.140625" style="302" customWidth="1"/>
    <col min="6924" max="6924" width="14" style="302" customWidth="1"/>
    <col min="6925" max="6925" width="12.5703125" style="302" customWidth="1"/>
    <col min="6926" max="6927" width="13.140625" style="302" customWidth="1"/>
    <col min="6928" max="6929" width="9.140625" style="302"/>
    <col min="6930" max="6930" width="11" style="302" customWidth="1"/>
    <col min="6931" max="7173" width="9.140625" style="302"/>
    <col min="7174" max="7174" width="26.85546875" style="302" customWidth="1"/>
    <col min="7175" max="7175" width="0" style="302" hidden="1" customWidth="1"/>
    <col min="7176" max="7176" width="12.42578125" style="302" customWidth="1"/>
    <col min="7177" max="7178" width="11.140625" style="302" customWidth="1"/>
    <col min="7179" max="7179" width="12.140625" style="302" customWidth="1"/>
    <col min="7180" max="7180" width="14" style="302" customWidth="1"/>
    <col min="7181" max="7181" width="12.5703125" style="302" customWidth="1"/>
    <col min="7182" max="7183" width="13.140625" style="302" customWidth="1"/>
    <col min="7184" max="7185" width="9.140625" style="302"/>
    <col min="7186" max="7186" width="11" style="302" customWidth="1"/>
    <col min="7187" max="7429" width="9.140625" style="302"/>
    <col min="7430" max="7430" width="26.85546875" style="302" customWidth="1"/>
    <col min="7431" max="7431" width="0" style="302" hidden="1" customWidth="1"/>
    <col min="7432" max="7432" width="12.42578125" style="302" customWidth="1"/>
    <col min="7433" max="7434" width="11.140625" style="302" customWidth="1"/>
    <col min="7435" max="7435" width="12.140625" style="302" customWidth="1"/>
    <col min="7436" max="7436" width="14" style="302" customWidth="1"/>
    <col min="7437" max="7437" width="12.5703125" style="302" customWidth="1"/>
    <col min="7438" max="7439" width="13.140625" style="302" customWidth="1"/>
    <col min="7440" max="7441" width="9.140625" style="302"/>
    <col min="7442" max="7442" width="11" style="302" customWidth="1"/>
    <col min="7443" max="7685" width="9.140625" style="302"/>
    <col min="7686" max="7686" width="26.85546875" style="302" customWidth="1"/>
    <col min="7687" max="7687" width="0" style="302" hidden="1" customWidth="1"/>
    <col min="7688" max="7688" width="12.42578125" style="302" customWidth="1"/>
    <col min="7689" max="7690" width="11.140625" style="302" customWidth="1"/>
    <col min="7691" max="7691" width="12.140625" style="302" customWidth="1"/>
    <col min="7692" max="7692" width="14" style="302" customWidth="1"/>
    <col min="7693" max="7693" width="12.5703125" style="302" customWidth="1"/>
    <col min="7694" max="7695" width="13.140625" style="302" customWidth="1"/>
    <col min="7696" max="7697" width="9.140625" style="302"/>
    <col min="7698" max="7698" width="11" style="302" customWidth="1"/>
    <col min="7699" max="7941" width="9.140625" style="302"/>
    <col min="7942" max="7942" width="26.85546875" style="302" customWidth="1"/>
    <col min="7943" max="7943" width="0" style="302" hidden="1" customWidth="1"/>
    <col min="7944" max="7944" width="12.42578125" style="302" customWidth="1"/>
    <col min="7945" max="7946" width="11.140625" style="302" customWidth="1"/>
    <col min="7947" max="7947" width="12.140625" style="302" customWidth="1"/>
    <col min="7948" max="7948" width="14" style="302" customWidth="1"/>
    <col min="7949" max="7949" width="12.5703125" style="302" customWidth="1"/>
    <col min="7950" max="7951" width="13.140625" style="302" customWidth="1"/>
    <col min="7952" max="7953" width="9.140625" style="302"/>
    <col min="7954" max="7954" width="11" style="302" customWidth="1"/>
    <col min="7955" max="8197" width="9.140625" style="302"/>
    <col min="8198" max="8198" width="26.85546875" style="302" customWidth="1"/>
    <col min="8199" max="8199" width="0" style="302" hidden="1" customWidth="1"/>
    <col min="8200" max="8200" width="12.42578125" style="302" customWidth="1"/>
    <col min="8201" max="8202" width="11.140625" style="302" customWidth="1"/>
    <col min="8203" max="8203" width="12.140625" style="302" customWidth="1"/>
    <col min="8204" max="8204" width="14" style="302" customWidth="1"/>
    <col min="8205" max="8205" width="12.5703125" style="302" customWidth="1"/>
    <col min="8206" max="8207" width="13.140625" style="302" customWidth="1"/>
    <col min="8208" max="8209" width="9.140625" style="302"/>
    <col min="8210" max="8210" width="11" style="302" customWidth="1"/>
    <col min="8211" max="8453" width="9.140625" style="302"/>
    <col min="8454" max="8454" width="26.85546875" style="302" customWidth="1"/>
    <col min="8455" max="8455" width="0" style="302" hidden="1" customWidth="1"/>
    <col min="8456" max="8456" width="12.42578125" style="302" customWidth="1"/>
    <col min="8457" max="8458" width="11.140625" style="302" customWidth="1"/>
    <col min="8459" max="8459" width="12.140625" style="302" customWidth="1"/>
    <col min="8460" max="8460" width="14" style="302" customWidth="1"/>
    <col min="8461" max="8461" width="12.5703125" style="302" customWidth="1"/>
    <col min="8462" max="8463" width="13.140625" style="302" customWidth="1"/>
    <col min="8464" max="8465" width="9.140625" style="302"/>
    <col min="8466" max="8466" width="11" style="302" customWidth="1"/>
    <col min="8467" max="8709" width="9.140625" style="302"/>
    <col min="8710" max="8710" width="26.85546875" style="302" customWidth="1"/>
    <col min="8711" max="8711" width="0" style="302" hidden="1" customWidth="1"/>
    <col min="8712" max="8712" width="12.42578125" style="302" customWidth="1"/>
    <col min="8713" max="8714" width="11.140625" style="302" customWidth="1"/>
    <col min="8715" max="8715" width="12.140625" style="302" customWidth="1"/>
    <col min="8716" max="8716" width="14" style="302" customWidth="1"/>
    <col min="8717" max="8717" width="12.5703125" style="302" customWidth="1"/>
    <col min="8718" max="8719" width="13.140625" style="302" customWidth="1"/>
    <col min="8720" max="8721" width="9.140625" style="302"/>
    <col min="8722" max="8722" width="11" style="302" customWidth="1"/>
    <col min="8723" max="8965" width="9.140625" style="302"/>
    <col min="8966" max="8966" width="26.85546875" style="302" customWidth="1"/>
    <col min="8967" max="8967" width="0" style="302" hidden="1" customWidth="1"/>
    <col min="8968" max="8968" width="12.42578125" style="302" customWidth="1"/>
    <col min="8969" max="8970" width="11.140625" style="302" customWidth="1"/>
    <col min="8971" max="8971" width="12.140625" style="302" customWidth="1"/>
    <col min="8972" max="8972" width="14" style="302" customWidth="1"/>
    <col min="8973" max="8973" width="12.5703125" style="302" customWidth="1"/>
    <col min="8974" max="8975" width="13.140625" style="302" customWidth="1"/>
    <col min="8976" max="8977" width="9.140625" style="302"/>
    <col min="8978" max="8978" width="11" style="302" customWidth="1"/>
    <col min="8979" max="9221" width="9.140625" style="302"/>
    <col min="9222" max="9222" width="26.85546875" style="302" customWidth="1"/>
    <col min="9223" max="9223" width="0" style="302" hidden="1" customWidth="1"/>
    <col min="9224" max="9224" width="12.42578125" style="302" customWidth="1"/>
    <col min="9225" max="9226" width="11.140625" style="302" customWidth="1"/>
    <col min="9227" max="9227" width="12.140625" style="302" customWidth="1"/>
    <col min="9228" max="9228" width="14" style="302" customWidth="1"/>
    <col min="9229" max="9229" width="12.5703125" style="302" customWidth="1"/>
    <col min="9230" max="9231" width="13.140625" style="302" customWidth="1"/>
    <col min="9232" max="9233" width="9.140625" style="302"/>
    <col min="9234" max="9234" width="11" style="302" customWidth="1"/>
    <col min="9235" max="9477" width="9.140625" style="302"/>
    <col min="9478" max="9478" width="26.85546875" style="302" customWidth="1"/>
    <col min="9479" max="9479" width="0" style="302" hidden="1" customWidth="1"/>
    <col min="9480" max="9480" width="12.42578125" style="302" customWidth="1"/>
    <col min="9481" max="9482" width="11.140625" style="302" customWidth="1"/>
    <col min="9483" max="9483" width="12.140625" style="302" customWidth="1"/>
    <col min="9484" max="9484" width="14" style="302" customWidth="1"/>
    <col min="9485" max="9485" width="12.5703125" style="302" customWidth="1"/>
    <col min="9486" max="9487" width="13.140625" style="302" customWidth="1"/>
    <col min="9488" max="9489" width="9.140625" style="302"/>
    <col min="9490" max="9490" width="11" style="302" customWidth="1"/>
    <col min="9491" max="9733" width="9.140625" style="302"/>
    <col min="9734" max="9734" width="26.85546875" style="302" customWidth="1"/>
    <col min="9735" max="9735" width="0" style="302" hidden="1" customWidth="1"/>
    <col min="9736" max="9736" width="12.42578125" style="302" customWidth="1"/>
    <col min="9737" max="9738" width="11.140625" style="302" customWidth="1"/>
    <col min="9739" max="9739" width="12.140625" style="302" customWidth="1"/>
    <col min="9740" max="9740" width="14" style="302" customWidth="1"/>
    <col min="9741" max="9741" width="12.5703125" style="302" customWidth="1"/>
    <col min="9742" max="9743" width="13.140625" style="302" customWidth="1"/>
    <col min="9744" max="9745" width="9.140625" style="302"/>
    <col min="9746" max="9746" width="11" style="302" customWidth="1"/>
    <col min="9747" max="9989" width="9.140625" style="302"/>
    <col min="9990" max="9990" width="26.85546875" style="302" customWidth="1"/>
    <col min="9991" max="9991" width="0" style="302" hidden="1" customWidth="1"/>
    <col min="9992" max="9992" width="12.42578125" style="302" customWidth="1"/>
    <col min="9993" max="9994" width="11.140625" style="302" customWidth="1"/>
    <col min="9995" max="9995" width="12.140625" style="302" customWidth="1"/>
    <col min="9996" max="9996" width="14" style="302" customWidth="1"/>
    <col min="9997" max="9997" width="12.5703125" style="302" customWidth="1"/>
    <col min="9998" max="9999" width="13.140625" style="302" customWidth="1"/>
    <col min="10000" max="10001" width="9.140625" style="302"/>
    <col min="10002" max="10002" width="11" style="302" customWidth="1"/>
    <col min="10003" max="10245" width="9.140625" style="302"/>
    <col min="10246" max="10246" width="26.85546875" style="302" customWidth="1"/>
    <col min="10247" max="10247" width="0" style="302" hidden="1" customWidth="1"/>
    <col min="10248" max="10248" width="12.42578125" style="302" customWidth="1"/>
    <col min="10249" max="10250" width="11.140625" style="302" customWidth="1"/>
    <col min="10251" max="10251" width="12.140625" style="302" customWidth="1"/>
    <col min="10252" max="10252" width="14" style="302" customWidth="1"/>
    <col min="10253" max="10253" width="12.5703125" style="302" customWidth="1"/>
    <col min="10254" max="10255" width="13.140625" style="302" customWidth="1"/>
    <col min="10256" max="10257" width="9.140625" style="302"/>
    <col min="10258" max="10258" width="11" style="302" customWidth="1"/>
    <col min="10259" max="10501" width="9.140625" style="302"/>
    <col min="10502" max="10502" width="26.85546875" style="302" customWidth="1"/>
    <col min="10503" max="10503" width="0" style="302" hidden="1" customWidth="1"/>
    <col min="10504" max="10504" width="12.42578125" style="302" customWidth="1"/>
    <col min="10505" max="10506" width="11.140625" style="302" customWidth="1"/>
    <col min="10507" max="10507" width="12.140625" style="302" customWidth="1"/>
    <col min="10508" max="10508" width="14" style="302" customWidth="1"/>
    <col min="10509" max="10509" width="12.5703125" style="302" customWidth="1"/>
    <col min="10510" max="10511" width="13.140625" style="302" customWidth="1"/>
    <col min="10512" max="10513" width="9.140625" style="302"/>
    <col min="10514" max="10514" width="11" style="302" customWidth="1"/>
    <col min="10515" max="10757" width="9.140625" style="302"/>
    <col min="10758" max="10758" width="26.85546875" style="302" customWidth="1"/>
    <col min="10759" max="10759" width="0" style="302" hidden="1" customWidth="1"/>
    <col min="10760" max="10760" width="12.42578125" style="302" customWidth="1"/>
    <col min="10761" max="10762" width="11.140625" style="302" customWidth="1"/>
    <col min="10763" max="10763" width="12.140625" style="302" customWidth="1"/>
    <col min="10764" max="10764" width="14" style="302" customWidth="1"/>
    <col min="10765" max="10765" width="12.5703125" style="302" customWidth="1"/>
    <col min="10766" max="10767" width="13.140625" style="302" customWidth="1"/>
    <col min="10768" max="10769" width="9.140625" style="302"/>
    <col min="10770" max="10770" width="11" style="302" customWidth="1"/>
    <col min="10771" max="11013" width="9.140625" style="302"/>
    <col min="11014" max="11014" width="26.85546875" style="302" customWidth="1"/>
    <col min="11015" max="11015" width="0" style="302" hidden="1" customWidth="1"/>
    <col min="11016" max="11016" width="12.42578125" style="302" customWidth="1"/>
    <col min="11017" max="11018" width="11.140625" style="302" customWidth="1"/>
    <col min="11019" max="11019" width="12.140625" style="302" customWidth="1"/>
    <col min="11020" max="11020" width="14" style="302" customWidth="1"/>
    <col min="11021" max="11021" width="12.5703125" style="302" customWidth="1"/>
    <col min="11022" max="11023" width="13.140625" style="302" customWidth="1"/>
    <col min="11024" max="11025" width="9.140625" style="302"/>
    <col min="11026" max="11026" width="11" style="302" customWidth="1"/>
    <col min="11027" max="11269" width="9.140625" style="302"/>
    <col min="11270" max="11270" width="26.85546875" style="302" customWidth="1"/>
    <col min="11271" max="11271" width="0" style="302" hidden="1" customWidth="1"/>
    <col min="11272" max="11272" width="12.42578125" style="302" customWidth="1"/>
    <col min="11273" max="11274" width="11.140625" style="302" customWidth="1"/>
    <col min="11275" max="11275" width="12.140625" style="302" customWidth="1"/>
    <col min="11276" max="11276" width="14" style="302" customWidth="1"/>
    <col min="11277" max="11277" width="12.5703125" style="302" customWidth="1"/>
    <col min="11278" max="11279" width="13.140625" style="302" customWidth="1"/>
    <col min="11280" max="11281" width="9.140625" style="302"/>
    <col min="11282" max="11282" width="11" style="302" customWidth="1"/>
    <col min="11283" max="11525" width="9.140625" style="302"/>
    <col min="11526" max="11526" width="26.85546875" style="302" customWidth="1"/>
    <col min="11527" max="11527" width="0" style="302" hidden="1" customWidth="1"/>
    <col min="11528" max="11528" width="12.42578125" style="302" customWidth="1"/>
    <col min="11529" max="11530" width="11.140625" style="302" customWidth="1"/>
    <col min="11531" max="11531" width="12.140625" style="302" customWidth="1"/>
    <col min="11532" max="11532" width="14" style="302" customWidth="1"/>
    <col min="11533" max="11533" width="12.5703125" style="302" customWidth="1"/>
    <col min="11534" max="11535" width="13.140625" style="302" customWidth="1"/>
    <col min="11536" max="11537" width="9.140625" style="302"/>
    <col min="11538" max="11538" width="11" style="302" customWidth="1"/>
    <col min="11539" max="11781" width="9.140625" style="302"/>
    <col min="11782" max="11782" width="26.85546875" style="302" customWidth="1"/>
    <col min="11783" max="11783" width="0" style="302" hidden="1" customWidth="1"/>
    <col min="11784" max="11784" width="12.42578125" style="302" customWidth="1"/>
    <col min="11785" max="11786" width="11.140625" style="302" customWidth="1"/>
    <col min="11787" max="11787" width="12.140625" style="302" customWidth="1"/>
    <col min="11788" max="11788" width="14" style="302" customWidth="1"/>
    <col min="11789" max="11789" width="12.5703125" style="302" customWidth="1"/>
    <col min="11790" max="11791" width="13.140625" style="302" customWidth="1"/>
    <col min="11792" max="11793" width="9.140625" style="302"/>
    <col min="11794" max="11794" width="11" style="302" customWidth="1"/>
    <col min="11795" max="12037" width="9.140625" style="302"/>
    <col min="12038" max="12038" width="26.85546875" style="302" customWidth="1"/>
    <col min="12039" max="12039" width="0" style="302" hidden="1" customWidth="1"/>
    <col min="12040" max="12040" width="12.42578125" style="302" customWidth="1"/>
    <col min="12041" max="12042" width="11.140625" style="302" customWidth="1"/>
    <col min="12043" max="12043" width="12.140625" style="302" customWidth="1"/>
    <col min="12044" max="12044" width="14" style="302" customWidth="1"/>
    <col min="12045" max="12045" width="12.5703125" style="302" customWidth="1"/>
    <col min="12046" max="12047" width="13.140625" style="302" customWidth="1"/>
    <col min="12048" max="12049" width="9.140625" style="302"/>
    <col min="12050" max="12050" width="11" style="302" customWidth="1"/>
    <col min="12051" max="12293" width="9.140625" style="302"/>
    <col min="12294" max="12294" width="26.85546875" style="302" customWidth="1"/>
    <col min="12295" max="12295" width="0" style="302" hidden="1" customWidth="1"/>
    <col min="12296" max="12296" width="12.42578125" style="302" customWidth="1"/>
    <col min="12297" max="12298" width="11.140625" style="302" customWidth="1"/>
    <col min="12299" max="12299" width="12.140625" style="302" customWidth="1"/>
    <col min="12300" max="12300" width="14" style="302" customWidth="1"/>
    <col min="12301" max="12301" width="12.5703125" style="302" customWidth="1"/>
    <col min="12302" max="12303" width="13.140625" style="302" customWidth="1"/>
    <col min="12304" max="12305" width="9.140625" style="302"/>
    <col min="12306" max="12306" width="11" style="302" customWidth="1"/>
    <col min="12307" max="12549" width="9.140625" style="302"/>
    <col min="12550" max="12550" width="26.85546875" style="302" customWidth="1"/>
    <col min="12551" max="12551" width="0" style="302" hidden="1" customWidth="1"/>
    <col min="12552" max="12552" width="12.42578125" style="302" customWidth="1"/>
    <col min="12553" max="12554" width="11.140625" style="302" customWidth="1"/>
    <col min="12555" max="12555" width="12.140625" style="302" customWidth="1"/>
    <col min="12556" max="12556" width="14" style="302" customWidth="1"/>
    <col min="12557" max="12557" width="12.5703125" style="302" customWidth="1"/>
    <col min="12558" max="12559" width="13.140625" style="302" customWidth="1"/>
    <col min="12560" max="12561" width="9.140625" style="302"/>
    <col min="12562" max="12562" width="11" style="302" customWidth="1"/>
    <col min="12563" max="12805" width="9.140625" style="302"/>
    <col min="12806" max="12806" width="26.85546875" style="302" customWidth="1"/>
    <col min="12807" max="12807" width="0" style="302" hidden="1" customWidth="1"/>
    <col min="12808" max="12808" width="12.42578125" style="302" customWidth="1"/>
    <col min="12809" max="12810" width="11.140625" style="302" customWidth="1"/>
    <col min="12811" max="12811" width="12.140625" style="302" customWidth="1"/>
    <col min="12812" max="12812" width="14" style="302" customWidth="1"/>
    <col min="12813" max="12813" width="12.5703125" style="302" customWidth="1"/>
    <col min="12814" max="12815" width="13.140625" style="302" customWidth="1"/>
    <col min="12816" max="12817" width="9.140625" style="302"/>
    <col min="12818" max="12818" width="11" style="302" customWidth="1"/>
    <col min="12819" max="13061" width="9.140625" style="302"/>
    <col min="13062" max="13062" width="26.85546875" style="302" customWidth="1"/>
    <col min="13063" max="13063" width="0" style="302" hidden="1" customWidth="1"/>
    <col min="13064" max="13064" width="12.42578125" style="302" customWidth="1"/>
    <col min="13065" max="13066" width="11.140625" style="302" customWidth="1"/>
    <col min="13067" max="13067" width="12.140625" style="302" customWidth="1"/>
    <col min="13068" max="13068" width="14" style="302" customWidth="1"/>
    <col min="13069" max="13069" width="12.5703125" style="302" customWidth="1"/>
    <col min="13070" max="13071" width="13.140625" style="302" customWidth="1"/>
    <col min="13072" max="13073" width="9.140625" style="302"/>
    <col min="13074" max="13074" width="11" style="302" customWidth="1"/>
    <col min="13075" max="13317" width="9.140625" style="302"/>
    <col min="13318" max="13318" width="26.85546875" style="302" customWidth="1"/>
    <col min="13319" max="13319" width="0" style="302" hidden="1" customWidth="1"/>
    <col min="13320" max="13320" width="12.42578125" style="302" customWidth="1"/>
    <col min="13321" max="13322" width="11.140625" style="302" customWidth="1"/>
    <col min="13323" max="13323" width="12.140625" style="302" customWidth="1"/>
    <col min="13324" max="13324" width="14" style="302" customWidth="1"/>
    <col min="13325" max="13325" width="12.5703125" style="302" customWidth="1"/>
    <col min="13326" max="13327" width="13.140625" style="302" customWidth="1"/>
    <col min="13328" max="13329" width="9.140625" style="302"/>
    <col min="13330" max="13330" width="11" style="302" customWidth="1"/>
    <col min="13331" max="13573" width="9.140625" style="302"/>
    <col min="13574" max="13574" width="26.85546875" style="302" customWidth="1"/>
    <col min="13575" max="13575" width="0" style="302" hidden="1" customWidth="1"/>
    <col min="13576" max="13576" width="12.42578125" style="302" customWidth="1"/>
    <col min="13577" max="13578" width="11.140625" style="302" customWidth="1"/>
    <col min="13579" max="13579" width="12.140625" style="302" customWidth="1"/>
    <col min="13580" max="13580" width="14" style="302" customWidth="1"/>
    <col min="13581" max="13581" width="12.5703125" style="302" customWidth="1"/>
    <col min="13582" max="13583" width="13.140625" style="302" customWidth="1"/>
    <col min="13584" max="13585" width="9.140625" style="302"/>
    <col min="13586" max="13586" width="11" style="302" customWidth="1"/>
    <col min="13587" max="13829" width="9.140625" style="302"/>
    <col min="13830" max="13830" width="26.85546875" style="302" customWidth="1"/>
    <col min="13831" max="13831" width="0" style="302" hidden="1" customWidth="1"/>
    <col min="13832" max="13832" width="12.42578125" style="302" customWidth="1"/>
    <col min="13833" max="13834" width="11.140625" style="302" customWidth="1"/>
    <col min="13835" max="13835" width="12.140625" style="302" customWidth="1"/>
    <col min="13836" max="13836" width="14" style="302" customWidth="1"/>
    <col min="13837" max="13837" width="12.5703125" style="302" customWidth="1"/>
    <col min="13838" max="13839" width="13.140625" style="302" customWidth="1"/>
    <col min="13840" max="13841" width="9.140625" style="302"/>
    <col min="13842" max="13842" width="11" style="302" customWidth="1"/>
    <col min="13843" max="14085" width="9.140625" style="302"/>
    <col min="14086" max="14086" width="26.85546875" style="302" customWidth="1"/>
    <col min="14087" max="14087" width="0" style="302" hidden="1" customWidth="1"/>
    <col min="14088" max="14088" width="12.42578125" style="302" customWidth="1"/>
    <col min="14089" max="14090" width="11.140625" style="302" customWidth="1"/>
    <col min="14091" max="14091" width="12.140625" style="302" customWidth="1"/>
    <col min="14092" max="14092" width="14" style="302" customWidth="1"/>
    <col min="14093" max="14093" width="12.5703125" style="302" customWidth="1"/>
    <col min="14094" max="14095" width="13.140625" style="302" customWidth="1"/>
    <col min="14096" max="14097" width="9.140625" style="302"/>
    <col min="14098" max="14098" width="11" style="302" customWidth="1"/>
    <col min="14099" max="14341" width="9.140625" style="302"/>
    <col min="14342" max="14342" width="26.85546875" style="302" customWidth="1"/>
    <col min="14343" max="14343" width="0" style="302" hidden="1" customWidth="1"/>
    <col min="14344" max="14344" width="12.42578125" style="302" customWidth="1"/>
    <col min="14345" max="14346" width="11.140625" style="302" customWidth="1"/>
    <col min="14347" max="14347" width="12.140625" style="302" customWidth="1"/>
    <col min="14348" max="14348" width="14" style="302" customWidth="1"/>
    <col min="14349" max="14349" width="12.5703125" style="302" customWidth="1"/>
    <col min="14350" max="14351" width="13.140625" style="302" customWidth="1"/>
    <col min="14352" max="14353" width="9.140625" style="302"/>
    <col min="14354" max="14354" width="11" style="302" customWidth="1"/>
    <col min="14355" max="14597" width="9.140625" style="302"/>
    <col min="14598" max="14598" width="26.85546875" style="302" customWidth="1"/>
    <col min="14599" max="14599" width="0" style="302" hidden="1" customWidth="1"/>
    <col min="14600" max="14600" width="12.42578125" style="302" customWidth="1"/>
    <col min="14601" max="14602" width="11.140625" style="302" customWidth="1"/>
    <col min="14603" max="14603" width="12.140625" style="302" customWidth="1"/>
    <col min="14604" max="14604" width="14" style="302" customWidth="1"/>
    <col min="14605" max="14605" width="12.5703125" style="302" customWidth="1"/>
    <col min="14606" max="14607" width="13.140625" style="302" customWidth="1"/>
    <col min="14608" max="14609" width="9.140625" style="302"/>
    <col min="14610" max="14610" width="11" style="302" customWidth="1"/>
    <col min="14611" max="14853" width="9.140625" style="302"/>
    <col min="14854" max="14854" width="26.85546875" style="302" customWidth="1"/>
    <col min="14855" max="14855" width="0" style="302" hidden="1" customWidth="1"/>
    <col min="14856" max="14856" width="12.42578125" style="302" customWidth="1"/>
    <col min="14857" max="14858" width="11.140625" style="302" customWidth="1"/>
    <col min="14859" max="14859" width="12.140625" style="302" customWidth="1"/>
    <col min="14860" max="14860" width="14" style="302" customWidth="1"/>
    <col min="14861" max="14861" width="12.5703125" style="302" customWidth="1"/>
    <col min="14862" max="14863" width="13.140625" style="302" customWidth="1"/>
    <col min="14864" max="14865" width="9.140625" style="302"/>
    <col min="14866" max="14866" width="11" style="302" customWidth="1"/>
    <col min="14867" max="15109" width="9.140625" style="302"/>
    <col min="15110" max="15110" width="26.85546875" style="302" customWidth="1"/>
    <col min="15111" max="15111" width="0" style="302" hidden="1" customWidth="1"/>
    <col min="15112" max="15112" width="12.42578125" style="302" customWidth="1"/>
    <col min="15113" max="15114" width="11.140625" style="302" customWidth="1"/>
    <col min="15115" max="15115" width="12.140625" style="302" customWidth="1"/>
    <col min="15116" max="15116" width="14" style="302" customWidth="1"/>
    <col min="15117" max="15117" width="12.5703125" style="302" customWidth="1"/>
    <col min="15118" max="15119" width="13.140625" style="302" customWidth="1"/>
    <col min="15120" max="15121" width="9.140625" style="302"/>
    <col min="15122" max="15122" width="11" style="302" customWidth="1"/>
    <col min="15123" max="15365" width="9.140625" style="302"/>
    <col min="15366" max="15366" width="26.85546875" style="302" customWidth="1"/>
    <col min="15367" max="15367" width="0" style="302" hidden="1" customWidth="1"/>
    <col min="15368" max="15368" width="12.42578125" style="302" customWidth="1"/>
    <col min="15369" max="15370" width="11.140625" style="302" customWidth="1"/>
    <col min="15371" max="15371" width="12.140625" style="302" customWidth="1"/>
    <col min="15372" max="15372" width="14" style="302" customWidth="1"/>
    <col min="15373" max="15373" width="12.5703125" style="302" customWidth="1"/>
    <col min="15374" max="15375" width="13.140625" style="302" customWidth="1"/>
    <col min="15376" max="15377" width="9.140625" style="302"/>
    <col min="15378" max="15378" width="11" style="302" customWidth="1"/>
    <col min="15379" max="15621" width="9.140625" style="302"/>
    <col min="15622" max="15622" width="26.85546875" style="302" customWidth="1"/>
    <col min="15623" max="15623" width="0" style="302" hidden="1" customWidth="1"/>
    <col min="15624" max="15624" width="12.42578125" style="302" customWidth="1"/>
    <col min="15625" max="15626" width="11.140625" style="302" customWidth="1"/>
    <col min="15627" max="15627" width="12.140625" style="302" customWidth="1"/>
    <col min="15628" max="15628" width="14" style="302" customWidth="1"/>
    <col min="15629" max="15629" width="12.5703125" style="302" customWidth="1"/>
    <col min="15630" max="15631" width="13.140625" style="302" customWidth="1"/>
    <col min="15632" max="15633" width="9.140625" style="302"/>
    <col min="15634" max="15634" width="11" style="302" customWidth="1"/>
    <col min="15635" max="15877" width="9.140625" style="302"/>
    <col min="15878" max="15878" width="26.85546875" style="302" customWidth="1"/>
    <col min="15879" max="15879" width="0" style="302" hidden="1" customWidth="1"/>
    <col min="15880" max="15880" width="12.42578125" style="302" customWidth="1"/>
    <col min="15881" max="15882" width="11.140625" style="302" customWidth="1"/>
    <col min="15883" max="15883" width="12.140625" style="302" customWidth="1"/>
    <col min="15884" max="15884" width="14" style="302" customWidth="1"/>
    <col min="15885" max="15885" width="12.5703125" style="302" customWidth="1"/>
    <col min="15886" max="15887" width="13.140625" style="302" customWidth="1"/>
    <col min="15888" max="15889" width="9.140625" style="302"/>
    <col min="15890" max="15890" width="11" style="302" customWidth="1"/>
    <col min="15891" max="16133" width="9.140625" style="302"/>
    <col min="16134" max="16134" width="26.85546875" style="302" customWidth="1"/>
    <col min="16135" max="16135" width="0" style="302" hidden="1" customWidth="1"/>
    <col min="16136" max="16136" width="12.42578125" style="302" customWidth="1"/>
    <col min="16137" max="16138" width="11.140625" style="302" customWidth="1"/>
    <col min="16139" max="16139" width="12.140625" style="302" customWidth="1"/>
    <col min="16140" max="16140" width="14" style="302" customWidth="1"/>
    <col min="16141" max="16141" width="12.5703125" style="302" customWidth="1"/>
    <col min="16142" max="16143" width="13.140625" style="302" customWidth="1"/>
    <col min="16144" max="16145" width="9.140625" style="302"/>
    <col min="16146" max="16146" width="11" style="302" customWidth="1"/>
    <col min="16147" max="16384" width="9.140625" style="302"/>
  </cols>
  <sheetData>
    <row r="1" spans="2:25" x14ac:dyDescent="0.25">
      <c r="Q1" s="303" t="s">
        <v>337</v>
      </c>
    </row>
    <row r="2" spans="2:25" x14ac:dyDescent="0.25">
      <c r="O2" s="473" t="s">
        <v>339</v>
      </c>
      <c r="P2" s="474"/>
      <c r="Q2" s="474"/>
      <c r="R2" s="474"/>
      <c r="S2" s="474"/>
      <c r="T2" s="474"/>
      <c r="U2" s="474"/>
      <c r="V2" s="474"/>
      <c r="W2" s="474"/>
      <c r="X2" s="150"/>
      <c r="Y2" s="150"/>
    </row>
    <row r="3" spans="2:25" ht="57" customHeight="1" x14ac:dyDescent="0.25">
      <c r="B3" s="304" t="s">
        <v>278</v>
      </c>
      <c r="C3" s="304"/>
      <c r="D3" s="304"/>
      <c r="O3" s="417"/>
      <c r="P3" s="417" t="s">
        <v>309</v>
      </c>
      <c r="Q3" s="417" t="s">
        <v>241</v>
      </c>
      <c r="R3" s="417" t="s">
        <v>279</v>
      </c>
      <c r="S3" s="417" t="s">
        <v>280</v>
      </c>
      <c r="T3" s="417" t="s">
        <v>395</v>
      </c>
      <c r="U3" s="417" t="s">
        <v>303</v>
      </c>
      <c r="V3" s="417" t="s">
        <v>282</v>
      </c>
      <c r="W3" s="417" t="s">
        <v>281</v>
      </c>
    </row>
    <row r="4" spans="2:25" ht="12.75" customHeight="1" x14ac:dyDescent="0.25">
      <c r="O4" s="441" t="s">
        <v>272</v>
      </c>
      <c r="P4" s="442"/>
      <c r="Q4" s="442"/>
      <c r="R4" s="442"/>
      <c r="S4" s="442"/>
      <c r="T4" s="442"/>
      <c r="U4" s="442"/>
      <c r="V4" s="442"/>
      <c r="W4" s="442"/>
    </row>
    <row r="5" spans="2:25" x14ac:dyDescent="0.25">
      <c r="O5" s="305" t="s">
        <v>1</v>
      </c>
      <c r="P5" s="306">
        <f>'2014 Board Approved Proxy'!D7</f>
        <v>16617706.291648619</v>
      </c>
      <c r="Q5" s="306">
        <v>16422948.089999998</v>
      </c>
      <c r="R5" s="306">
        <v>16660342</v>
      </c>
      <c r="S5" s="306">
        <v>16495527.880882952</v>
      </c>
      <c r="T5" s="306">
        <v>16964394.523131743</v>
      </c>
      <c r="U5" s="307">
        <v>17346538.428553525</v>
      </c>
      <c r="V5" s="307">
        <v>17528594.544314642</v>
      </c>
      <c r="W5" s="307">
        <v>19605183.239355054</v>
      </c>
      <c r="X5" s="308"/>
      <c r="Y5" s="308"/>
    </row>
    <row r="6" spans="2:25" x14ac:dyDescent="0.25">
      <c r="O6" s="305" t="s">
        <v>138</v>
      </c>
      <c r="P6" s="306">
        <f>'2014 Board Approved Proxy'!D8</f>
        <v>3877700.9603126463</v>
      </c>
      <c r="Q6" s="306">
        <v>3926809.24</v>
      </c>
      <c r="R6" s="306">
        <v>4171987</v>
      </c>
      <c r="S6" s="306">
        <v>4059568.5179035389</v>
      </c>
      <c r="T6" s="306">
        <v>4081599.285853826</v>
      </c>
      <c r="U6" s="307">
        <v>4057006.7882216675</v>
      </c>
      <c r="V6" s="307">
        <v>4131617.4822672913</v>
      </c>
      <c r="W6" s="307">
        <v>4269184.3798069246</v>
      </c>
      <c r="X6" s="308"/>
      <c r="Y6" s="308"/>
    </row>
    <row r="7" spans="2:25" ht="30" x14ac:dyDescent="0.25">
      <c r="O7" s="305" t="s">
        <v>139</v>
      </c>
      <c r="P7" s="306">
        <f>'2014 Board Approved Proxy'!D9</f>
        <v>7895231.9926077398</v>
      </c>
      <c r="Q7" s="306">
        <v>7634121.7500000009</v>
      </c>
      <c r="R7" s="307">
        <v>7544907</v>
      </c>
      <c r="S7" s="306">
        <v>8246828.0745449075</v>
      </c>
      <c r="T7" s="306">
        <v>7791032.3367225453</v>
      </c>
      <c r="U7" s="307">
        <v>7647110.3712846497</v>
      </c>
      <c r="V7" s="307">
        <v>7629214.5216107639</v>
      </c>
      <c r="W7" s="307">
        <v>6705640.406702511</v>
      </c>
      <c r="X7" s="308"/>
      <c r="Y7" s="308"/>
    </row>
    <row r="8" spans="2:25" ht="30" x14ac:dyDescent="0.25">
      <c r="O8" s="305" t="s">
        <v>140</v>
      </c>
      <c r="P8" s="306">
        <f>'2014 Board Approved Proxy'!D10</f>
        <v>1854779</v>
      </c>
      <c r="Q8" s="306">
        <v>1841141.4400000002</v>
      </c>
      <c r="R8" s="307">
        <v>1833026</v>
      </c>
      <c r="S8" s="306">
        <v>1896554.12</v>
      </c>
      <c r="T8" s="306">
        <v>1792008.1248807504</v>
      </c>
      <c r="U8" s="307">
        <v>2547667.513710795</v>
      </c>
      <c r="V8" s="307">
        <v>2488991.9726209231</v>
      </c>
      <c r="W8" s="307">
        <v>2560262.1346356031</v>
      </c>
      <c r="X8" s="308"/>
      <c r="Y8" s="308"/>
    </row>
    <row r="9" spans="2:25" x14ac:dyDescent="0.25">
      <c r="O9" s="309" t="s">
        <v>113</v>
      </c>
      <c r="P9" s="306">
        <f>'2014 Board Approved Proxy'!D11</f>
        <v>1504085</v>
      </c>
      <c r="Q9" s="306">
        <v>1244375.8800000001</v>
      </c>
      <c r="R9" s="306">
        <v>1228321</v>
      </c>
      <c r="S9" s="306">
        <v>1173639.76</v>
      </c>
      <c r="T9" s="306">
        <v>1288466.0792596445</v>
      </c>
      <c r="U9" s="307">
        <v>1042830.0982967052</v>
      </c>
      <c r="V9" s="307">
        <v>1040060.5908347343</v>
      </c>
      <c r="W9" s="307">
        <v>1074690.5897028425</v>
      </c>
      <c r="X9" s="308"/>
      <c r="Y9" s="308"/>
    </row>
    <row r="10" spans="2:25" x14ac:dyDescent="0.25">
      <c r="O10" s="309" t="s">
        <v>66</v>
      </c>
      <c r="P10" s="306">
        <f>'2014 Board Approved Proxy'!D12</f>
        <v>1041524.6362878387</v>
      </c>
      <c r="Q10" s="306">
        <v>1000646.87</v>
      </c>
      <c r="R10" s="306">
        <v>1069866</v>
      </c>
      <c r="S10" s="306">
        <v>1042980.7103124999</v>
      </c>
      <c r="T10" s="306">
        <v>956388.78674363997</v>
      </c>
      <c r="U10" s="307">
        <v>742910.75547901273</v>
      </c>
      <c r="V10" s="307">
        <v>671811.38031171809</v>
      </c>
      <c r="W10" s="307">
        <v>538394.31442399893</v>
      </c>
      <c r="X10" s="308"/>
      <c r="Y10" s="308"/>
    </row>
    <row r="11" spans="2:25" x14ac:dyDescent="0.25">
      <c r="O11" s="305" t="s">
        <v>195</v>
      </c>
      <c r="P11" s="306">
        <f>'2014 Board Approved Proxy'!D13</f>
        <v>22961.927365766394</v>
      </c>
      <c r="Q11" s="306">
        <v>17721</v>
      </c>
      <c r="R11" s="306">
        <v>28319</v>
      </c>
      <c r="S11" s="306">
        <v>16538.458191599999</v>
      </c>
      <c r="T11" s="306">
        <v>14535.452936</v>
      </c>
      <c r="U11" s="307">
        <v>14572.660176000001</v>
      </c>
      <c r="V11" s="307">
        <v>14572.660176000001</v>
      </c>
      <c r="W11" s="307">
        <v>20188.159220207301</v>
      </c>
      <c r="X11" s="308"/>
      <c r="Y11" s="308"/>
    </row>
    <row r="12" spans="2:25" x14ac:dyDescent="0.25">
      <c r="O12" s="305" t="s">
        <v>2</v>
      </c>
      <c r="P12" s="306">
        <f>'2014 Board Approved Proxy'!D14</f>
        <v>64115.878744267517</v>
      </c>
      <c r="Q12" s="306">
        <v>58508.86</v>
      </c>
      <c r="R12" s="306">
        <v>56137</v>
      </c>
      <c r="S12" s="306">
        <v>64700.05309999999</v>
      </c>
      <c r="T12" s="306">
        <v>64855.219800000006</v>
      </c>
      <c r="U12" s="307">
        <v>64041.929412203215</v>
      </c>
      <c r="V12" s="307">
        <v>64041.929412203215</v>
      </c>
      <c r="W12" s="307">
        <v>67519.769797174144</v>
      </c>
      <c r="X12" s="308"/>
      <c r="Y12" s="308"/>
    </row>
    <row r="13" spans="2:25" x14ac:dyDescent="0.25">
      <c r="O13" s="305" t="s">
        <v>227</v>
      </c>
      <c r="P13" s="306">
        <f>'2014 Board Approved Proxy'!D15</f>
        <v>194006</v>
      </c>
      <c r="Q13" s="306">
        <v>196448</v>
      </c>
      <c r="R13" s="306">
        <v>260109</v>
      </c>
      <c r="S13" s="306">
        <v>281674.05</v>
      </c>
      <c r="T13" s="306">
        <v>264331.21999999997</v>
      </c>
      <c r="U13" s="307">
        <v>400890.23606465844</v>
      </c>
      <c r="V13" s="307">
        <v>400890.23606465844</v>
      </c>
      <c r="W13" s="307">
        <v>242761.77757760839</v>
      </c>
      <c r="X13" s="308"/>
      <c r="Y13" s="308"/>
    </row>
    <row r="14" spans="2:25" x14ac:dyDescent="0.25">
      <c r="O14" s="305" t="s">
        <v>304</v>
      </c>
      <c r="P14" s="306"/>
      <c r="Q14" s="306"/>
      <c r="R14" s="306"/>
      <c r="S14" s="306"/>
      <c r="T14" s="306"/>
      <c r="U14" s="307">
        <f>V14</f>
        <v>-511575</v>
      </c>
      <c r="V14" s="307">
        <v>-511575</v>
      </c>
      <c r="W14" s="307">
        <f>V14</f>
        <v>-511575</v>
      </c>
      <c r="X14" s="308"/>
      <c r="Y14" s="308"/>
    </row>
    <row r="15" spans="2:25" x14ac:dyDescent="0.25">
      <c r="O15" s="305" t="s">
        <v>340</v>
      </c>
      <c r="P15" s="306"/>
      <c r="Q15" s="306">
        <v>-24598.18</v>
      </c>
      <c r="R15" s="306">
        <v>49728</v>
      </c>
      <c r="S15" s="306"/>
      <c r="T15" s="306"/>
      <c r="U15" s="307"/>
      <c r="V15" s="307"/>
      <c r="W15" s="307"/>
      <c r="X15" s="308"/>
      <c r="Y15" s="308"/>
    </row>
    <row r="16" spans="2:25" x14ac:dyDescent="0.25">
      <c r="O16" s="305"/>
      <c r="P16" s="306"/>
      <c r="Q16" s="306"/>
      <c r="R16" s="306"/>
      <c r="S16" s="306"/>
      <c r="T16" s="306"/>
      <c r="U16" s="307"/>
      <c r="V16" s="307"/>
      <c r="W16" s="307"/>
      <c r="X16" s="308"/>
      <c r="Y16" s="308"/>
    </row>
    <row r="17" spans="1:23" x14ac:dyDescent="0.25">
      <c r="O17" s="310" t="s">
        <v>12</v>
      </c>
      <c r="P17" s="311">
        <f t="shared" ref="P17:W17" si="0">SUM(P5:P16)</f>
        <v>33072111.686966874</v>
      </c>
      <c r="Q17" s="311">
        <f t="shared" si="0"/>
        <v>32318122.949999999</v>
      </c>
      <c r="R17" s="311">
        <f t="shared" si="0"/>
        <v>32902742</v>
      </c>
      <c r="S17" s="311">
        <f t="shared" si="0"/>
        <v>33278011.624935504</v>
      </c>
      <c r="T17" s="311">
        <f t="shared" si="0"/>
        <v>33217611.029328149</v>
      </c>
      <c r="U17" s="311">
        <f t="shared" si="0"/>
        <v>33351993.781199224</v>
      </c>
      <c r="V17" s="311">
        <f t="shared" si="0"/>
        <v>33458220.317612931</v>
      </c>
      <c r="W17" s="311">
        <f t="shared" si="0"/>
        <v>34572249.771221928</v>
      </c>
    </row>
    <row r="18" spans="1:23" ht="12.75" customHeight="1" x14ac:dyDescent="0.25">
      <c r="O18" s="443" t="s">
        <v>273</v>
      </c>
      <c r="P18" s="443"/>
      <c r="Q18" s="443"/>
      <c r="R18" s="443"/>
      <c r="S18" s="443"/>
      <c r="T18" s="443"/>
      <c r="U18" s="443"/>
      <c r="V18" s="443"/>
      <c r="W18" s="443"/>
    </row>
    <row r="19" spans="1:23" x14ac:dyDescent="0.25">
      <c r="O19" s="305" t="s">
        <v>274</v>
      </c>
      <c r="P19" s="306">
        <v>675814.14563194872</v>
      </c>
      <c r="Q19" s="306">
        <v>751308.03</v>
      </c>
      <c r="R19" s="306">
        <v>728544.76</v>
      </c>
      <c r="S19" s="306">
        <v>809687.6</v>
      </c>
      <c r="T19" s="306">
        <v>768275</v>
      </c>
      <c r="U19" s="306">
        <v>638145</v>
      </c>
      <c r="V19" s="306">
        <v>637145</v>
      </c>
      <c r="W19" s="306">
        <v>637145</v>
      </c>
    </row>
    <row r="20" spans="1:23" x14ac:dyDescent="0.25">
      <c r="O20" s="305" t="s">
        <v>275</v>
      </c>
      <c r="P20" s="306">
        <v>236999.97563007998</v>
      </c>
      <c r="Q20" s="306">
        <v>192312.36</v>
      </c>
      <c r="R20" s="306">
        <v>188882.06</v>
      </c>
      <c r="S20" s="306">
        <v>225148</v>
      </c>
      <c r="T20" s="306">
        <v>192353</v>
      </c>
      <c r="U20" s="306">
        <v>189000</v>
      </c>
      <c r="V20" s="306">
        <v>189000</v>
      </c>
      <c r="W20" s="306">
        <v>189000</v>
      </c>
    </row>
    <row r="21" spans="1:23" ht="30" x14ac:dyDescent="0.25">
      <c r="O21" s="305" t="s">
        <v>276</v>
      </c>
      <c r="P21" s="306">
        <v>588943.02994370938</v>
      </c>
      <c r="Q21" s="306">
        <v>649544.91999999981</v>
      </c>
      <c r="R21" s="306">
        <v>468565.6599999998</v>
      </c>
      <c r="S21" s="306">
        <v>634964.39</v>
      </c>
      <c r="T21" s="306">
        <v>666387.76</v>
      </c>
      <c r="U21" s="306">
        <v>691124</v>
      </c>
      <c r="V21" s="306">
        <v>724986</v>
      </c>
      <c r="W21" s="306">
        <v>724986</v>
      </c>
    </row>
    <row r="22" spans="1:23" ht="30" x14ac:dyDescent="0.25">
      <c r="O22" s="305" t="s">
        <v>277</v>
      </c>
      <c r="P22" s="306">
        <v>317826.42017664004</v>
      </c>
      <c r="Q22" s="306">
        <v>377194.30000000005</v>
      </c>
      <c r="R22" s="306">
        <v>197564.21000000014</v>
      </c>
      <c r="S22" s="306">
        <v>357817.50000000006</v>
      </c>
      <c r="T22" s="306">
        <v>61984</v>
      </c>
      <c r="U22" s="306">
        <v>306731</v>
      </c>
      <c r="V22" s="306">
        <v>103860</v>
      </c>
      <c r="W22" s="306">
        <v>103860</v>
      </c>
    </row>
    <row r="23" spans="1:23" x14ac:dyDescent="0.25">
      <c r="O23" s="310" t="s">
        <v>12</v>
      </c>
      <c r="P23" s="311">
        <f t="shared" ref="P23:S23" si="1">SUM(P19:P22)</f>
        <v>1819583.5713823782</v>
      </c>
      <c r="Q23" s="311">
        <f t="shared" si="1"/>
        <v>1970359.6099999999</v>
      </c>
      <c r="R23" s="311">
        <f t="shared" si="1"/>
        <v>1583556.6900000002</v>
      </c>
      <c r="S23" s="311">
        <f t="shared" si="1"/>
        <v>2027617.49</v>
      </c>
      <c r="T23" s="311">
        <f t="shared" ref="T23" si="2">SUM(T19:T22)</f>
        <v>1688999.76</v>
      </c>
      <c r="U23" s="311">
        <f>SUM(U19:U22)</f>
        <v>1825000</v>
      </c>
      <c r="V23" s="311">
        <f t="shared" ref="V23" si="3">SUM(V19:V22)</f>
        <v>1654991</v>
      </c>
      <c r="W23" s="311">
        <f>SUM(W19:W22)</f>
        <v>1654991</v>
      </c>
    </row>
    <row r="24" spans="1:23" x14ac:dyDescent="0.25">
      <c r="O24" s="310" t="s">
        <v>162</v>
      </c>
      <c r="P24" s="311">
        <f t="shared" ref="P24:S24" si="4">P17+P23</f>
        <v>34891695.258349255</v>
      </c>
      <c r="Q24" s="311">
        <f t="shared" si="4"/>
        <v>34288482.560000002</v>
      </c>
      <c r="R24" s="311">
        <f t="shared" si="4"/>
        <v>34486298.689999998</v>
      </c>
      <c r="S24" s="311">
        <f t="shared" si="4"/>
        <v>35305629.114935502</v>
      </c>
      <c r="T24" s="311">
        <f t="shared" ref="T24" si="5">T17+T23</f>
        <v>34906610.78932815</v>
      </c>
      <c r="U24" s="311">
        <f>U17+U23</f>
        <v>35176993.781199224</v>
      </c>
      <c r="V24" s="311">
        <f>V17+V23</f>
        <v>35113211.317612931</v>
      </c>
      <c r="W24" s="311">
        <f>W17+W23</f>
        <v>36227240.771221928</v>
      </c>
    </row>
    <row r="25" spans="1:23" x14ac:dyDescent="0.25">
      <c r="Q25" s="312"/>
    </row>
    <row r="26" spans="1:23" x14ac:dyDescent="0.25">
      <c r="Q26" s="312" t="s">
        <v>325</v>
      </c>
    </row>
    <row r="27" spans="1:23" x14ac:dyDescent="0.25">
      <c r="A27" s="450" t="s">
        <v>341</v>
      </c>
      <c r="B27" s="450"/>
      <c r="C27" s="450"/>
      <c r="D27" s="450"/>
      <c r="E27" s="450"/>
      <c r="F27" s="450"/>
      <c r="G27" s="450"/>
      <c r="H27" s="313"/>
      <c r="I27" s="313"/>
      <c r="J27" s="313"/>
      <c r="K27" s="313"/>
      <c r="P27" s="314"/>
      <c r="Q27" s="314"/>
      <c r="R27" s="314"/>
      <c r="S27" s="314"/>
      <c r="T27" s="314"/>
      <c r="U27" s="315"/>
      <c r="V27" s="315"/>
      <c r="W27" s="315"/>
    </row>
    <row r="28" spans="1:23" ht="60" x14ac:dyDescent="0.25">
      <c r="A28" s="418" t="s">
        <v>198</v>
      </c>
      <c r="B28" s="419" t="s">
        <v>228</v>
      </c>
      <c r="C28" s="419" t="s">
        <v>199</v>
      </c>
      <c r="D28" s="419" t="s">
        <v>229</v>
      </c>
      <c r="E28" s="419" t="s">
        <v>199</v>
      </c>
      <c r="F28" s="419" t="s">
        <v>200</v>
      </c>
      <c r="G28" s="417" t="s">
        <v>201</v>
      </c>
      <c r="H28" s="316"/>
      <c r="I28" s="316"/>
      <c r="J28" s="316"/>
      <c r="K28" s="316"/>
    </row>
    <row r="29" spans="1:23" x14ac:dyDescent="0.25">
      <c r="A29" s="444" t="s">
        <v>202</v>
      </c>
      <c r="B29" s="444"/>
      <c r="C29" s="444"/>
      <c r="D29" s="444"/>
      <c r="E29" s="444"/>
      <c r="F29" s="444"/>
      <c r="G29" s="444"/>
      <c r="H29" s="313"/>
      <c r="I29" s="313"/>
      <c r="J29" s="313"/>
      <c r="K29" s="313"/>
      <c r="P29" s="317"/>
      <c r="Q29" s="317"/>
      <c r="R29" s="317"/>
      <c r="S29" s="317"/>
      <c r="T29" s="317"/>
    </row>
    <row r="30" spans="1:23" x14ac:dyDescent="0.25">
      <c r="A30" s="318">
        <v>2010</v>
      </c>
      <c r="B30" s="319">
        <f>Summary!B10/1000000</f>
        <v>1700.8690740808106</v>
      </c>
      <c r="D30" s="319">
        <f t="shared" ref="D30:D39" si="6">B30*F249</f>
        <v>1693.7504188980795</v>
      </c>
      <c r="E30" s="320"/>
      <c r="F30" s="321">
        <f>'Rate Class Customer Model'!N13</f>
        <v>75797.346649999992</v>
      </c>
      <c r="G30" s="322"/>
      <c r="I30" s="323"/>
      <c r="J30" s="323"/>
      <c r="K30" s="323"/>
      <c r="R30" s="315"/>
      <c r="S30" s="315"/>
      <c r="T30" s="315"/>
    </row>
    <row r="31" spans="1:23" x14ac:dyDescent="0.25">
      <c r="A31" s="318">
        <v>2011</v>
      </c>
      <c r="B31" s="319">
        <f>Summary!C10/1000000</f>
        <v>1705.485900525433</v>
      </c>
      <c r="C31" s="320">
        <f>B31-B30</f>
        <v>4.6168264446223475</v>
      </c>
      <c r="D31" s="319">
        <f t="shared" si="6"/>
        <v>1699.2833897618445</v>
      </c>
      <c r="E31" s="320">
        <f t="shared" ref="E31:E39" si="7">D31-D30</f>
        <v>5.5329708637650583</v>
      </c>
      <c r="F31" s="321">
        <f>'Rate Class Customer Model'!N14</f>
        <v>76834.396421671932</v>
      </c>
      <c r="G31" s="322">
        <f t="shared" ref="G31:G39" si="8">F31-F30</f>
        <v>1037.0497716719401</v>
      </c>
      <c r="I31" s="323"/>
      <c r="J31" s="323"/>
      <c r="K31" s="323"/>
      <c r="L31" s="308"/>
    </row>
    <row r="32" spans="1:23" x14ac:dyDescent="0.25">
      <c r="A32" s="318">
        <v>2012</v>
      </c>
      <c r="B32" s="319">
        <f>Summary!D10/1000000</f>
        <v>1721.4398583643131</v>
      </c>
      <c r="C32" s="320">
        <f t="shared" ref="C32:C39" si="9">B32-B31</f>
        <v>15.953957838880115</v>
      </c>
      <c r="D32" s="319">
        <f t="shared" si="6"/>
        <v>1710.6951935957529</v>
      </c>
      <c r="E32" s="320">
        <f t="shared" si="7"/>
        <v>11.41180383390838</v>
      </c>
      <c r="F32" s="321">
        <f>'Rate Class Customer Model'!N15</f>
        <v>77572.016278423907</v>
      </c>
      <c r="G32" s="322">
        <f t="shared" si="8"/>
        <v>737.61985675197502</v>
      </c>
      <c r="I32" s="323"/>
      <c r="J32" s="323"/>
      <c r="K32" s="323"/>
    </row>
    <row r="33" spans="1:18" x14ac:dyDescent="0.25">
      <c r="A33" s="318">
        <v>2013</v>
      </c>
      <c r="B33" s="319">
        <f>Summary!E10/1000000</f>
        <v>1745.4808506928559</v>
      </c>
      <c r="C33" s="320">
        <f t="shared" si="9"/>
        <v>24.04099232854287</v>
      </c>
      <c r="D33" s="319">
        <f t="shared" si="6"/>
        <v>1740.6513038581247</v>
      </c>
      <c r="E33" s="320">
        <f t="shared" si="7"/>
        <v>29.956110262371794</v>
      </c>
      <c r="F33" s="321">
        <f>'Rate Class Customer Model'!N16</f>
        <v>78131.826457296687</v>
      </c>
      <c r="G33" s="322">
        <f t="shared" si="8"/>
        <v>559.81017887277994</v>
      </c>
      <c r="I33" s="323"/>
      <c r="J33" s="323"/>
      <c r="K33" s="323"/>
      <c r="L33" s="308"/>
    </row>
    <row r="34" spans="1:18" x14ac:dyDescent="0.25">
      <c r="A34" s="318">
        <v>2014</v>
      </c>
      <c r="B34" s="319">
        <f>Summary!F10/1000000</f>
        <v>1730.4301553751984</v>
      </c>
      <c r="C34" s="320">
        <f t="shared" si="9"/>
        <v>-15.050695317657528</v>
      </c>
      <c r="D34" s="319">
        <f t="shared" si="6"/>
        <v>1744.8387065200261</v>
      </c>
      <c r="E34" s="320">
        <f t="shared" si="7"/>
        <v>4.1874026619013875</v>
      </c>
      <c r="F34" s="321">
        <f>'Rate Class Customer Model'!N17</f>
        <v>78615.89611581729</v>
      </c>
      <c r="G34" s="322">
        <f t="shared" si="8"/>
        <v>484.06965852060239</v>
      </c>
      <c r="I34" s="323"/>
      <c r="J34" s="323"/>
      <c r="K34" s="323"/>
    </row>
    <row r="35" spans="1:18" x14ac:dyDescent="0.25">
      <c r="A35" s="318">
        <v>2015</v>
      </c>
      <c r="B35" s="319">
        <f>Summary!G10/1000000</f>
        <v>1750.1853625649092</v>
      </c>
      <c r="C35" s="320">
        <f t="shared" si="9"/>
        <v>19.755207189710745</v>
      </c>
      <c r="D35" s="319">
        <f t="shared" si="6"/>
        <v>1751.2111131259167</v>
      </c>
      <c r="E35" s="320">
        <f t="shared" si="7"/>
        <v>6.3724066058905464</v>
      </c>
      <c r="F35" s="321">
        <f>'Rate Class Customer Model'!N18</f>
        <v>79179.156902738119</v>
      </c>
      <c r="G35" s="322">
        <f t="shared" si="8"/>
        <v>563.26078692082956</v>
      </c>
      <c r="I35" s="323"/>
      <c r="J35" s="323"/>
      <c r="K35" s="323"/>
      <c r="L35" s="308"/>
    </row>
    <row r="36" spans="1:18" x14ac:dyDescent="0.25">
      <c r="A36" s="318">
        <v>2016</v>
      </c>
      <c r="B36" s="319">
        <f>Summary!H10/1000000</f>
        <v>1676.6170265528001</v>
      </c>
      <c r="C36" s="320">
        <f t="shared" si="9"/>
        <v>-73.568336012109057</v>
      </c>
      <c r="D36" s="319">
        <f t="shared" si="6"/>
        <v>1654.4079767208784</v>
      </c>
      <c r="E36" s="320">
        <f t="shared" si="7"/>
        <v>-96.803136405038231</v>
      </c>
      <c r="F36" s="321">
        <f>'Rate Class Customer Model'!N19</f>
        <v>80075.745737465564</v>
      </c>
      <c r="G36" s="322">
        <f t="shared" si="8"/>
        <v>896.58883472744492</v>
      </c>
      <c r="I36" s="323"/>
      <c r="J36" s="323"/>
      <c r="K36" s="323"/>
    </row>
    <row r="37" spans="1:18" ht="12.75" customHeight="1" x14ac:dyDescent="0.25">
      <c r="A37" s="318">
        <v>2017</v>
      </c>
      <c r="B37" s="319">
        <f>Summary!I10/1000000</f>
        <v>1596.6749096966148</v>
      </c>
      <c r="C37" s="320">
        <f t="shared" si="9"/>
        <v>-79.942116856185294</v>
      </c>
      <c r="D37" s="319">
        <f t="shared" si="6"/>
        <v>1607.8762872072627</v>
      </c>
      <c r="E37" s="320">
        <f t="shared" si="7"/>
        <v>-46.531689513615675</v>
      </c>
      <c r="F37" s="321">
        <f>'Rate Class Customer Model'!N20</f>
        <v>81094</v>
      </c>
      <c r="G37" s="322">
        <f t="shared" si="8"/>
        <v>1018.2542625344358</v>
      </c>
      <c r="I37" s="323"/>
      <c r="J37" s="323"/>
      <c r="K37" s="323"/>
      <c r="L37" s="308"/>
    </row>
    <row r="38" spans="1:18" x14ac:dyDescent="0.25">
      <c r="A38" s="318" t="s">
        <v>177</v>
      </c>
      <c r="B38" s="319">
        <f>Summary!J10/1000000</f>
        <v>1602.1299528702075</v>
      </c>
      <c r="C38" s="320">
        <f t="shared" si="9"/>
        <v>5.455043173592685</v>
      </c>
      <c r="D38" s="319">
        <f t="shared" si="6"/>
        <v>1602.1299528702075</v>
      </c>
      <c r="E38" s="320">
        <f t="shared" si="7"/>
        <v>-5.7463343370552593</v>
      </c>
      <c r="F38" s="321">
        <f>'Rate Class Customer Model'!N21</f>
        <v>81987.833694461413</v>
      </c>
      <c r="G38" s="322">
        <f t="shared" si="8"/>
        <v>893.83369446141296</v>
      </c>
      <c r="I38" s="324"/>
      <c r="J38" s="323"/>
      <c r="K38" s="323"/>
      <c r="L38" s="308"/>
    </row>
    <row r="39" spans="1:18" x14ac:dyDescent="0.25">
      <c r="A39" s="318" t="s">
        <v>178</v>
      </c>
      <c r="B39" s="319">
        <f>Summary!K10/1000000</f>
        <v>1595.8470985540282</v>
      </c>
      <c r="C39" s="320">
        <f t="shared" si="9"/>
        <v>-6.2828543161792823</v>
      </c>
      <c r="D39" s="319">
        <f t="shared" si="6"/>
        <v>1595.8470985540282</v>
      </c>
      <c r="E39" s="320">
        <f t="shared" si="7"/>
        <v>-6.2828543161792823</v>
      </c>
      <c r="F39" s="321">
        <f>'Rate Class Customer Model'!N22</f>
        <v>82891.985423828795</v>
      </c>
      <c r="G39" s="322">
        <f t="shared" si="8"/>
        <v>904.15172936738236</v>
      </c>
      <c r="I39" s="324"/>
      <c r="J39" s="323"/>
      <c r="K39" s="323"/>
      <c r="L39" s="308"/>
    </row>
    <row r="40" spans="1:18" x14ac:dyDescent="0.25">
      <c r="L40" s="308"/>
    </row>
    <row r="41" spans="1:18" x14ac:dyDescent="0.25">
      <c r="A41" s="451" t="s">
        <v>342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</row>
    <row r="42" spans="1:18" ht="60" x14ac:dyDescent="0.25">
      <c r="A42" s="418" t="s">
        <v>198</v>
      </c>
      <c r="B42" s="419" t="str">
        <f>'Summary BCP'!A9</f>
        <v xml:space="preserve">Residential </v>
      </c>
      <c r="C42" s="419" t="str">
        <f>'Summary BCP'!A13</f>
        <v>General Service &lt; 50 kW</v>
      </c>
      <c r="D42" s="419" t="str">
        <f>'Summary BCP'!A17</f>
        <v>General Service &gt; 50 to 999 kW</v>
      </c>
      <c r="E42" s="419" t="str">
        <f>'Summary BCP'!A22</f>
        <v>General Service &gt; 1000 to 4999 kW</v>
      </c>
      <c r="F42" s="419" t="str">
        <f>'Summary BCP'!A27</f>
        <v>Street Lights</v>
      </c>
      <c r="G42" s="417" t="str">
        <f>'Summary BCP'!A32</f>
        <v>Sentinel Lights</v>
      </c>
      <c r="H42" s="417" t="str">
        <f>'Summary BCP'!A37</f>
        <v xml:space="preserve">Unmetered Loads </v>
      </c>
      <c r="I42" s="417" t="str">
        <f>'Summary BCP'!A41</f>
        <v>Embedded Distributor - Brantford Power, BCP</v>
      </c>
      <c r="J42" s="420" t="str">
        <f>'Summary BCP'!A46</f>
        <v>Embedded Distributor - Hydro One #1, BCP</v>
      </c>
      <c r="K42" s="420" t="str">
        <f>'Summary BCP'!A51</f>
        <v>Embedded Distributor - Hydro One #2, BCP</v>
      </c>
      <c r="L42" s="417" t="s">
        <v>12</v>
      </c>
      <c r="M42" s="150"/>
    </row>
    <row r="43" spans="1:18" ht="14.25" customHeight="1" x14ac:dyDescent="0.25">
      <c r="A43" s="457" t="s">
        <v>230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9"/>
      <c r="M43" s="150"/>
    </row>
    <row r="44" spans="1:18" x14ac:dyDescent="0.25">
      <c r="A44" s="325">
        <f t="shared" ref="A44:A51" si="10">A30</f>
        <v>2010</v>
      </c>
      <c r="B44" s="319">
        <f>'Summary BCP'!B11/1000000</f>
        <v>80.219627000000003</v>
      </c>
      <c r="C44" s="319">
        <f>'Summary BCP'!B15/1000000</f>
        <v>35.75793754</v>
      </c>
      <c r="D44" s="319">
        <f>'Summary BCP'!B19/1000000</f>
        <v>60.010105849999995</v>
      </c>
      <c r="E44" s="319">
        <f>'Summary BCP'!B24/1000000</f>
        <v>29.541671599999994</v>
      </c>
      <c r="F44" s="319">
        <f>'Summary BCP'!B29/1000000</f>
        <v>1.70948057</v>
      </c>
      <c r="G44" s="319">
        <f>'Summary BCP'!B34/1000000</f>
        <v>0.17528440000000001</v>
      </c>
      <c r="H44" s="319">
        <f>'Summary BCP'!B39/1000000</f>
        <v>0.47970299999999999</v>
      </c>
      <c r="I44" s="319">
        <f>'Summary BCP'!B43/1000000</f>
        <v>0.37333899999999998</v>
      </c>
      <c r="J44" s="319">
        <f>'Summary BCP'!B48/1000000</f>
        <v>13.348829459999999</v>
      </c>
      <c r="K44" s="319">
        <f>'Summary BCP'!B53/1000000</f>
        <v>50.253229850000004</v>
      </c>
      <c r="L44" s="319">
        <f>SUM(B44:K44)</f>
        <v>271.86920827</v>
      </c>
      <c r="M44" s="150"/>
      <c r="Q44" s="150"/>
      <c r="R44" s="150"/>
    </row>
    <row r="45" spans="1:18" x14ac:dyDescent="0.25">
      <c r="A45" s="325">
        <f t="shared" si="10"/>
        <v>2011</v>
      </c>
      <c r="B45" s="319">
        <f>'Summary BCP'!C11/1000000</f>
        <v>81.900003020000014</v>
      </c>
      <c r="C45" s="319">
        <f>'Summary BCP'!C15/1000000</f>
        <v>36.170425080000001</v>
      </c>
      <c r="D45" s="319">
        <f>'Summary BCP'!C19/1000000</f>
        <v>63.328541460000018</v>
      </c>
      <c r="E45" s="319">
        <f>'Summary BCP'!C24/1000000</f>
        <v>29.084757309999997</v>
      </c>
      <c r="F45" s="319">
        <f>'Summary BCP'!C29/1000000</f>
        <v>1.7099070000000003</v>
      </c>
      <c r="G45" s="319">
        <f>'Summary BCP'!C34/1000000</f>
        <v>0.16400601000000001</v>
      </c>
      <c r="H45" s="319">
        <f>'Summary BCP'!C39/1000000</f>
        <v>0.44530799999999998</v>
      </c>
      <c r="I45" s="319">
        <f>'Summary BCP'!C43/1000000</f>
        <v>0.37333899999999998</v>
      </c>
      <c r="J45" s="319">
        <f>'Summary BCP'!C48/1000000</f>
        <v>13.695349587000001</v>
      </c>
      <c r="K45" s="319">
        <f>'Summary BCP'!C53/1000000</f>
        <v>51.547773450000001</v>
      </c>
      <c r="L45" s="319">
        <f t="shared" ref="L45:L51" si="11">SUM(B45:K45)</f>
        <v>278.41940991700005</v>
      </c>
      <c r="M45" s="150"/>
    </row>
    <row r="46" spans="1:18" x14ac:dyDescent="0.25">
      <c r="A46" s="325">
        <f t="shared" si="10"/>
        <v>2012</v>
      </c>
      <c r="B46" s="319">
        <f>'Summary BCP'!D11/1000000</f>
        <v>79.659539737000003</v>
      </c>
      <c r="C46" s="319">
        <f>'Summary BCP'!D15/1000000</f>
        <v>35.702794359999992</v>
      </c>
      <c r="D46" s="319">
        <f>'Summary BCP'!D19/1000000</f>
        <v>63.734065342257978</v>
      </c>
      <c r="E46" s="319">
        <f>'Summary BCP'!D24/1000000</f>
        <v>29.778279600000001</v>
      </c>
      <c r="F46" s="319">
        <f>'Summary BCP'!D29/1000000</f>
        <v>1.7147877500000002</v>
      </c>
      <c r="G46" s="319">
        <f>'Summary BCP'!D34/1000000</f>
        <v>0.17840639</v>
      </c>
      <c r="H46" s="319">
        <f>'Summary BCP'!D39/1000000</f>
        <v>0.44206800000000002</v>
      </c>
      <c r="I46" s="319">
        <f>'Summary BCP'!D43/1000000</f>
        <v>0.37482300000000002</v>
      </c>
      <c r="J46" s="319">
        <f>'Summary BCP'!D48/1000000</f>
        <v>9.8637066199999985</v>
      </c>
      <c r="K46" s="319">
        <f>'Summary BCP'!D53/1000000</f>
        <v>52.318961540000004</v>
      </c>
      <c r="L46" s="319">
        <f t="shared" si="11"/>
        <v>273.76743233925799</v>
      </c>
      <c r="M46" s="150"/>
    </row>
    <row r="47" spans="1:18" x14ac:dyDescent="0.25">
      <c r="A47" s="325">
        <f t="shared" si="10"/>
        <v>2013</v>
      </c>
      <c r="B47" s="319">
        <f>'Summary BCP'!E11/1000000</f>
        <v>79.931655050000018</v>
      </c>
      <c r="C47" s="319">
        <f>'Summary BCP'!E15/1000000</f>
        <v>37.126640460000004</v>
      </c>
      <c r="D47" s="319">
        <f>'Summary BCP'!E19/1000000</f>
        <v>65.991244699999982</v>
      </c>
      <c r="E47" s="319">
        <f>'Summary BCP'!E24/1000000</f>
        <v>30.941352619999996</v>
      </c>
      <c r="F47" s="319">
        <f>'Summary BCP'!E29/1000000</f>
        <v>1.6965933900000003</v>
      </c>
      <c r="G47" s="319">
        <f>'Summary BCP'!E34/1000000</f>
        <v>0.15280315</v>
      </c>
      <c r="H47" s="319">
        <f>'Summary BCP'!E39/1000000</f>
        <v>0.44206800000000002</v>
      </c>
      <c r="I47" s="319">
        <f>'Summary BCP'!E43/1000000</f>
        <v>0.35627300000000001</v>
      </c>
      <c r="J47" s="319">
        <f>'Summary BCP'!E48/1000000</f>
        <v>13.883196999999999</v>
      </c>
      <c r="K47" s="319">
        <f>'Summary BCP'!E53/1000000</f>
        <v>52.117101929999997</v>
      </c>
      <c r="L47" s="319">
        <f t="shared" si="11"/>
        <v>282.63892930000003</v>
      </c>
      <c r="M47" s="150"/>
    </row>
    <row r="48" spans="1:18" x14ac:dyDescent="0.25">
      <c r="A48" s="325">
        <f t="shared" si="10"/>
        <v>2014</v>
      </c>
      <c r="B48" s="319">
        <f>'Summary BCP'!F11/1000000</f>
        <v>81.545698020000017</v>
      </c>
      <c r="C48" s="319">
        <f>'Summary BCP'!F15/1000000</f>
        <v>37.605273951999997</v>
      </c>
      <c r="D48" s="319">
        <f>'Summary BCP'!F19/1000000</f>
        <v>67.781850810000009</v>
      </c>
      <c r="E48" s="319">
        <f>'Summary BCP'!F24/1000000</f>
        <v>30.59562124</v>
      </c>
      <c r="F48" s="319">
        <f>'Summary BCP'!F29/1000000</f>
        <v>1.7094811900000002</v>
      </c>
      <c r="G48" s="319">
        <f>'Summary BCP'!F34/1000000</f>
        <v>0.14651524000000002</v>
      </c>
      <c r="H48" s="319">
        <f>'Summary BCP'!F39/1000000</f>
        <v>0.44206800000000002</v>
      </c>
      <c r="I48" s="319">
        <f>'Summary BCP'!F43/1000000</f>
        <v>0.33802199999999999</v>
      </c>
      <c r="J48" s="319">
        <f>'Summary BCP'!F48/1000000</f>
        <v>12.996387</v>
      </c>
      <c r="K48" s="319">
        <f>'Summary BCP'!F53/1000000</f>
        <v>51.485741349999991</v>
      </c>
      <c r="L48" s="319">
        <f t="shared" si="11"/>
        <v>284.64665880200005</v>
      </c>
      <c r="M48" s="150"/>
    </row>
    <row r="49" spans="1:15" x14ac:dyDescent="0.25">
      <c r="A49" s="325">
        <f t="shared" si="10"/>
        <v>2015</v>
      </c>
      <c r="B49" s="319">
        <f>'Summary BCP'!G11/1000000</f>
        <v>85.209274018060981</v>
      </c>
      <c r="C49" s="319">
        <f>'Summary BCP'!G15/1000000</f>
        <v>35.949071403001433</v>
      </c>
      <c r="D49" s="319">
        <f>'Summary BCP'!G19/1000000</f>
        <v>49.488193210000006</v>
      </c>
      <c r="E49" s="319">
        <f>'Summary BCP'!G24/1000000</f>
        <v>35.805421270000004</v>
      </c>
      <c r="F49" s="319">
        <f>'Summary BCP'!G29/1000000</f>
        <v>1.6976323787499998</v>
      </c>
      <c r="G49" s="319">
        <f>'Summary BCP'!G34/1000000</f>
        <v>0.14270841887585534</v>
      </c>
      <c r="H49" s="319">
        <f>'Summary BCP'!G39/1000000</f>
        <v>0.44007499999999999</v>
      </c>
      <c r="I49" s="319">
        <f>'Summary BCP'!G43/1000000</f>
        <v>0.35206778000000005</v>
      </c>
      <c r="J49" s="319">
        <f>'Summary BCP'!G48/1000000</f>
        <v>13.8193416</v>
      </c>
      <c r="K49" s="319">
        <f>'Summary BCP'!G53/1000000</f>
        <v>62.339455030000003</v>
      </c>
      <c r="L49" s="319">
        <f t="shared" si="11"/>
        <v>285.24324010868827</v>
      </c>
      <c r="M49" s="150"/>
    </row>
    <row r="50" spans="1:15" x14ac:dyDescent="0.25">
      <c r="A50" s="325">
        <f t="shared" si="10"/>
        <v>2016</v>
      </c>
      <c r="B50" s="319">
        <f>'Summary BCP'!H11/1000000</f>
        <v>83.373122232200004</v>
      </c>
      <c r="C50" s="319">
        <f>'Summary BCP'!H15/1000000</f>
        <v>42.681652129600003</v>
      </c>
      <c r="D50" s="319">
        <f>'Summary BCP'!H19/1000000</f>
        <v>68.085065344599997</v>
      </c>
      <c r="E50" s="319">
        <f>'Summary BCP'!H24/1000000</f>
        <v>38.677613350000001</v>
      </c>
      <c r="F50" s="319">
        <f>'Summary BCP'!H29/1000000</f>
        <v>1.4619592800000047</v>
      </c>
      <c r="G50" s="319">
        <f>'Summary BCP'!H34/1000000</f>
        <v>0.1367010000000001</v>
      </c>
      <c r="H50" s="319">
        <f>'Summary BCP'!H39/1000000</f>
        <v>0.42065760000000035</v>
      </c>
      <c r="I50" s="319">
        <f>'Summary BCP'!H43/1000000</f>
        <v>0.38011444</v>
      </c>
      <c r="J50" s="319">
        <f>'Summary BCP'!H48/1000000</f>
        <v>13.5602915</v>
      </c>
      <c r="K50" s="319">
        <f>'Summary BCP'!H53/1000000</f>
        <v>46.050289200000002</v>
      </c>
      <c r="L50" s="319">
        <f t="shared" si="11"/>
        <v>294.82746607640001</v>
      </c>
      <c r="M50" s="150"/>
      <c r="O50" s="150"/>
    </row>
    <row r="51" spans="1:15" x14ac:dyDescent="0.25">
      <c r="A51" s="325">
        <f t="shared" si="10"/>
        <v>2017</v>
      </c>
      <c r="B51" s="319">
        <f>'Summary BCP'!I11/1000000</f>
        <v>79.60741668999998</v>
      </c>
      <c r="C51" s="319">
        <f>'Summary BCP'!I15/1000000</f>
        <v>36.754537069999998</v>
      </c>
      <c r="D51" s="319">
        <f>'Summary BCP'!I19/1000000</f>
        <v>62.964841978488927</v>
      </c>
      <c r="E51" s="319">
        <f>'Summary BCP'!I24/1000000</f>
        <v>34.140289052486899</v>
      </c>
      <c r="F51" s="319">
        <f>'Summary BCP'!I29/1000000</f>
        <v>0.75058173999999989</v>
      </c>
      <c r="G51" s="319">
        <f>'Summary BCP'!I34/1000000</f>
        <v>0.12698899999999999</v>
      </c>
      <c r="H51" s="319">
        <f>'Summary BCP'!I39/1000000</f>
        <v>0.41815200000000002</v>
      </c>
      <c r="I51" s="319">
        <f>'Summary BCP'!I43/1000000</f>
        <v>0.34775659287776717</v>
      </c>
      <c r="J51" s="319">
        <f>'Summary BCP'!I48/1000000</f>
        <v>12.191720381133871</v>
      </c>
      <c r="K51" s="319">
        <f>'Summary BCP'!I53/1000000</f>
        <v>43.274121534063838</v>
      </c>
      <c r="L51" s="319">
        <f t="shared" si="11"/>
        <v>270.57640603905128</v>
      </c>
      <c r="M51" s="150"/>
    </row>
    <row r="52" spans="1:15" x14ac:dyDescent="0.25">
      <c r="A52" s="460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2"/>
      <c r="M52" s="326"/>
      <c r="N52" s="150"/>
    </row>
    <row r="53" spans="1:15" ht="14.25" customHeight="1" x14ac:dyDescent="0.25">
      <c r="A53" s="457" t="s">
        <v>231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9"/>
      <c r="M53" s="150"/>
    </row>
    <row r="54" spans="1:15" x14ac:dyDescent="0.25">
      <c r="A54" s="325">
        <f>A44</f>
        <v>2010</v>
      </c>
      <c r="B54" s="327">
        <f>B44*F249</f>
        <v>79.883883425022645</v>
      </c>
      <c r="C54" s="327">
        <f>C44*F249</f>
        <v>35.608279679044145</v>
      </c>
      <c r="D54" s="327">
        <f>D44*F249</f>
        <v>59.758945277128618</v>
      </c>
      <c r="E54" s="327">
        <f>E44*F249</f>
        <v>29.418030705561641</v>
      </c>
      <c r="F54" s="327">
        <f>F44*F249</f>
        <v>1.702325873083669</v>
      </c>
      <c r="G54" s="327">
        <f>G44*F249</f>
        <v>0.17455078139200322</v>
      </c>
      <c r="H54" s="327">
        <f>H44*F249</f>
        <v>0.47769529682098422</v>
      </c>
      <c r="I54" s="327">
        <f>I44*$F$249</f>
        <v>0.3717764625608958</v>
      </c>
      <c r="J54" s="327">
        <f t="shared" ref="J54:K54" si="12">J44*$F$249</f>
        <v>13.29296054247607</v>
      </c>
      <c r="K54" s="327">
        <f t="shared" si="12"/>
        <v>50.042904775264894</v>
      </c>
      <c r="L54" s="319">
        <f>SUM(B54:K54)</f>
        <v>270.73135281835562</v>
      </c>
      <c r="M54" s="328"/>
    </row>
    <row r="55" spans="1:15" x14ac:dyDescent="0.25">
      <c r="A55" s="325">
        <f t="shared" ref="A55" si="13">A45</f>
        <v>2011</v>
      </c>
      <c r="B55" s="327">
        <f>B45*F250</f>
        <v>81.602149106277849</v>
      </c>
      <c r="C55" s="327">
        <f>C45*F250</f>
        <v>36.038880485692218</v>
      </c>
      <c r="D55" s="327">
        <f>D45*F250</f>
        <v>63.098228233765198</v>
      </c>
      <c r="E55" s="327">
        <f>E45*F250</f>
        <v>28.978981870744796</v>
      </c>
      <c r="F55" s="327">
        <f>F45*F250</f>
        <v>1.7036884105827745</v>
      </c>
      <c r="G55" s="327">
        <f>G45*F250</f>
        <v>0.16340955297739737</v>
      </c>
      <c r="H55" s="327">
        <f>H45*F250</f>
        <v>0.44368850395945159</v>
      </c>
      <c r="I55" s="327">
        <f>I45*$F$250</f>
        <v>0.37198124080348366</v>
      </c>
      <c r="J55" s="327">
        <f t="shared" ref="J55:K55" si="14">J45*$F$250</f>
        <v>13.645542342508385</v>
      </c>
      <c r="K55" s="327">
        <f t="shared" si="14"/>
        <v>51.360304518381078</v>
      </c>
      <c r="L55" s="319">
        <f t="shared" ref="L55:L61" si="15">SUM(B55:K55)</f>
        <v>277.40685426569263</v>
      </c>
      <c r="M55" s="328"/>
    </row>
    <row r="56" spans="1:15" x14ac:dyDescent="0.25">
      <c r="A56" s="325" t="s">
        <v>254</v>
      </c>
      <c r="B56" s="327">
        <v>82.8</v>
      </c>
      <c r="C56" s="327">
        <v>40.4</v>
      </c>
      <c r="D56" s="327">
        <f>D55/SUM($D$55,$E$55,$I$55,$J$55,$K$55)*156.8</f>
        <v>62.835729486772429</v>
      </c>
      <c r="E56" s="327">
        <f>E55/SUM($D$55,$E$55,$I$55,$J$55,$K$55)*156.8</f>
        <v>28.85842465950244</v>
      </c>
      <c r="F56" s="327">
        <v>1.8</v>
      </c>
      <c r="G56" s="327">
        <v>0.2</v>
      </c>
      <c r="H56" s="327">
        <v>0.5</v>
      </c>
      <c r="I56" s="327">
        <f>I55/SUM($D$55,$E$55,$I$55,$J$55,$K$55)*156.8</f>
        <v>0.37043373919608547</v>
      </c>
      <c r="J56" s="327">
        <f>J55/SUM($D$55,$E$55,$I$55,$J$55,$K$55)*156.8</f>
        <v>13.58877469835719</v>
      </c>
      <c r="K56" s="327">
        <f>K55/SUM($D$55,$E$55,$I$55,$J$55,$K$55)*156.8</f>
        <v>51.146637416171899</v>
      </c>
      <c r="L56" s="319">
        <f t="shared" si="15"/>
        <v>282.5</v>
      </c>
      <c r="M56" s="328"/>
    </row>
    <row r="57" spans="1:15" x14ac:dyDescent="0.25">
      <c r="A57" s="325">
        <f t="shared" ref="A57:A62" si="16">A46</f>
        <v>2012</v>
      </c>
      <c r="B57" s="327">
        <f t="shared" ref="B57:B61" si="17">B46*F251</f>
        <v>79.162330934767937</v>
      </c>
      <c r="C57" s="327">
        <f t="shared" ref="C57:C60" si="18">C46*F251</f>
        <v>35.479949190687165</v>
      </c>
      <c r="D57" s="327">
        <f t="shared" ref="D57:D60" si="19">D46*F251</f>
        <v>63.336258144340086</v>
      </c>
      <c r="E57" s="327">
        <f t="shared" ref="E57:E60" si="20">E46*F251</f>
        <v>29.592413314790086</v>
      </c>
      <c r="F57" s="327">
        <f t="shared" ref="F57:F60" si="21">F46*F251</f>
        <v>1.7040846055169332</v>
      </c>
      <c r="G57" s="327">
        <f t="shared" ref="G57:G60" si="22">G46*F251</f>
        <v>0.17729283564385742</v>
      </c>
      <c r="H57" s="327">
        <f t="shared" ref="H57:H60" si="23">H46*F251</f>
        <v>0.43930875607879727</v>
      </c>
      <c r="I57" s="327">
        <f>I46*$F$251</f>
        <v>0.37248347738294341</v>
      </c>
      <c r="J57" s="327">
        <f t="shared" ref="J57:K57" si="24">J46*$F$251</f>
        <v>9.8021405882316675</v>
      </c>
      <c r="K57" s="327">
        <f t="shared" si="24"/>
        <v>51.992403687830461</v>
      </c>
      <c r="L57" s="319">
        <f t="shared" si="15"/>
        <v>272.05866553526994</v>
      </c>
      <c r="M57" s="328"/>
    </row>
    <row r="58" spans="1:15" x14ac:dyDescent="0.25">
      <c r="A58" s="325">
        <f t="shared" si="16"/>
        <v>2013</v>
      </c>
      <c r="B58" s="327">
        <f t="shared" si="17"/>
        <v>79.710493258687137</v>
      </c>
      <c r="C58" s="327">
        <f t="shared" si="18"/>
        <v>37.023915271782315</v>
      </c>
      <c r="D58" s="327">
        <f t="shared" si="19"/>
        <v>65.808654437360119</v>
      </c>
      <c r="E58" s="327">
        <f t="shared" si="20"/>
        <v>30.855741419195986</v>
      </c>
      <c r="F58" s="327">
        <f t="shared" si="21"/>
        <v>1.6918991092043973</v>
      </c>
      <c r="G58" s="327">
        <f t="shared" si="22"/>
        <v>0.15238036107674913</v>
      </c>
      <c r="H58" s="327">
        <f t="shared" si="23"/>
        <v>0.44084484816233394</v>
      </c>
      <c r="I58" s="327">
        <f>I47*$F$252</f>
        <v>0.35528723316172894</v>
      </c>
      <c r="J58" s="327">
        <f t="shared" ref="J58:K58" si="25">J47*$F$252</f>
        <v>13.844783774154132</v>
      </c>
      <c r="K58" s="327">
        <f t="shared" si="25"/>
        <v>51.972899841182191</v>
      </c>
      <c r="L58" s="319">
        <f t="shared" si="15"/>
        <v>281.85689955396708</v>
      </c>
      <c r="M58" s="328"/>
    </row>
    <row r="59" spans="1:15" x14ac:dyDescent="0.25">
      <c r="A59" s="325">
        <f t="shared" si="16"/>
        <v>2014</v>
      </c>
      <c r="B59" s="327">
        <f t="shared" si="17"/>
        <v>82.224694139497885</v>
      </c>
      <c r="C59" s="327">
        <f t="shared" si="18"/>
        <v>37.918396970209976</v>
      </c>
      <c r="D59" s="327">
        <f t="shared" si="19"/>
        <v>68.346241265779597</v>
      </c>
      <c r="E59" s="327">
        <f t="shared" si="20"/>
        <v>30.85037788075487</v>
      </c>
      <c r="F59" s="327">
        <f t="shared" si="21"/>
        <v>1.7237153080779386</v>
      </c>
      <c r="G59" s="327">
        <f t="shared" si="22"/>
        <v>0.14773520968353746</v>
      </c>
      <c r="H59" s="327">
        <f t="shared" si="23"/>
        <v>0.44574891099643987</v>
      </c>
      <c r="I59" s="327">
        <f>I48*$F$253</f>
        <v>0.34083656449423749</v>
      </c>
      <c r="J59" s="327">
        <f t="shared" ref="J59:K59" si="26">J48*$F$253</f>
        <v>13.104602351082386</v>
      </c>
      <c r="K59" s="327">
        <f t="shared" si="26"/>
        <v>51.914441078311185</v>
      </c>
      <c r="L59" s="319">
        <f t="shared" si="15"/>
        <v>287.01678967888802</v>
      </c>
      <c r="M59" s="328"/>
    </row>
    <row r="60" spans="1:15" x14ac:dyDescent="0.25">
      <c r="A60" s="325">
        <f t="shared" si="16"/>
        <v>2015</v>
      </c>
      <c r="B60" s="327">
        <f t="shared" si="17"/>
        <v>85.259213563035232</v>
      </c>
      <c r="C60" s="327">
        <f t="shared" si="18"/>
        <v>35.970140474282708</v>
      </c>
      <c r="D60" s="327">
        <f t="shared" si="19"/>
        <v>49.517197304671448</v>
      </c>
      <c r="E60" s="327">
        <f t="shared" si="20"/>
        <v>35.82640615065344</v>
      </c>
      <c r="F60" s="327">
        <f t="shared" si="21"/>
        <v>1.6986273290004896</v>
      </c>
      <c r="G60" s="327">
        <f t="shared" si="22"/>
        <v>0.14279205758284799</v>
      </c>
      <c r="H60" s="327">
        <f t="shared" si="23"/>
        <v>0.44033291963970828</v>
      </c>
      <c r="I60" s="327">
        <f>I49*$F$254</f>
        <v>0.35227412027147759</v>
      </c>
      <c r="J60" s="327">
        <f t="shared" ref="J60:K60" si="27">J49*$F$254</f>
        <v>13.827440854914451</v>
      </c>
      <c r="K60" s="327">
        <f t="shared" si="27"/>
        <v>62.375991006324369</v>
      </c>
      <c r="L60" s="319">
        <f t="shared" si="15"/>
        <v>285.41041578037618</v>
      </c>
      <c r="M60" s="328"/>
    </row>
    <row r="61" spans="1:15" x14ac:dyDescent="0.25">
      <c r="A61" s="325">
        <f t="shared" si="16"/>
        <v>2016</v>
      </c>
      <c r="B61" s="327">
        <f t="shared" si="17"/>
        <v>82.26873297873712</v>
      </c>
      <c r="C61" s="327">
        <f>C50*F255</f>
        <v>42.11627618265284</v>
      </c>
      <c r="D61" s="327">
        <f>D50*F255</f>
        <v>67.183186987706051</v>
      </c>
      <c r="E61" s="327">
        <f>E50*F255</f>
        <v>38.16527628753078</v>
      </c>
      <c r="F61" s="327">
        <f>F50*F255</f>
        <v>1.4425936610258747</v>
      </c>
      <c r="G61" s="327">
        <f>G50*F255</f>
        <v>0.13489021120745415</v>
      </c>
      <c r="H61" s="327">
        <f>H50*F255</f>
        <v>0.41508542373516488</v>
      </c>
      <c r="I61" s="327">
        <f>I50*$F$255</f>
        <v>0.37507931247469384</v>
      </c>
      <c r="J61" s="327">
        <f t="shared" ref="J61:K61" si="28">J50*$F$255</f>
        <v>13.380667182168704</v>
      </c>
      <c r="K61" s="327">
        <f t="shared" si="28"/>
        <v>45.44029111968706</v>
      </c>
      <c r="L61" s="319">
        <f t="shared" si="15"/>
        <v>290.92207934692578</v>
      </c>
      <c r="M61" s="328"/>
    </row>
    <row r="62" spans="1:15" ht="15" customHeight="1" x14ac:dyDescent="0.25">
      <c r="A62" s="325">
        <f t="shared" si="16"/>
        <v>2017</v>
      </c>
      <c r="B62" s="327">
        <f t="shared" ref="B62" si="29">B51*F256</f>
        <v>80.165897769383619</v>
      </c>
      <c r="C62" s="327">
        <f>C51*F256</f>
        <v>37.01238633064154</v>
      </c>
      <c r="D62" s="327">
        <f>D51*F256</f>
        <v>63.406568068512705</v>
      </c>
      <c r="E62" s="327">
        <f>E51*F256</f>
        <v>34.379798212227008</v>
      </c>
      <c r="F62" s="327">
        <f>F51*F256</f>
        <v>0.75584740138872719</v>
      </c>
      <c r="G62" s="327">
        <f>G51*F256</f>
        <v>0.12787988374850828</v>
      </c>
      <c r="H62" s="327">
        <f>H51*F256</f>
        <v>0.42108552039315411</v>
      </c>
      <c r="I62" s="327">
        <f>I51*$F$256</f>
        <v>0.35019625849472158</v>
      </c>
      <c r="J62" s="327">
        <f t="shared" ref="J62:K62" si="30">J51*$F$256</f>
        <v>12.277250667646165</v>
      </c>
      <c r="K62" s="327">
        <f t="shared" si="30"/>
        <v>43.577708550306745</v>
      </c>
      <c r="L62" s="319">
        <f>SUM(B62:I62)</f>
        <v>216.61965944478999</v>
      </c>
      <c r="M62" s="150"/>
    </row>
    <row r="63" spans="1:15" x14ac:dyDescent="0.25">
      <c r="A63" s="329"/>
      <c r="B63" s="330"/>
      <c r="C63" s="330"/>
      <c r="D63" s="330"/>
      <c r="E63" s="331"/>
      <c r="F63" s="330"/>
      <c r="G63" s="330"/>
      <c r="H63" s="330"/>
      <c r="I63" s="330"/>
      <c r="J63" s="330"/>
      <c r="K63" s="330"/>
      <c r="L63" s="330"/>
      <c r="M63" s="330"/>
      <c r="N63" s="328"/>
    </row>
    <row r="64" spans="1:15" x14ac:dyDescent="0.25">
      <c r="A64" s="453" t="s">
        <v>343</v>
      </c>
      <c r="B64" s="453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313"/>
    </row>
    <row r="65" spans="1:23" ht="60" x14ac:dyDescent="0.25">
      <c r="A65" s="418" t="str">
        <f t="shared" ref="A65:L65" si="31">A42</f>
        <v>Year</v>
      </c>
      <c r="B65" s="419" t="str">
        <f t="shared" si="31"/>
        <v xml:space="preserve">Residential </v>
      </c>
      <c r="C65" s="419" t="str">
        <f t="shared" si="31"/>
        <v>General Service &lt; 50 kW</v>
      </c>
      <c r="D65" s="419" t="str">
        <f t="shared" si="31"/>
        <v>General Service &gt; 50 to 999 kW</v>
      </c>
      <c r="E65" s="419" t="str">
        <f t="shared" si="31"/>
        <v>General Service &gt; 1000 to 4999 kW</v>
      </c>
      <c r="F65" s="419" t="str">
        <f t="shared" si="31"/>
        <v>Street Lights</v>
      </c>
      <c r="G65" s="417" t="str">
        <f t="shared" si="31"/>
        <v>Sentinel Lights</v>
      </c>
      <c r="H65" s="417" t="str">
        <f t="shared" si="31"/>
        <v xml:space="preserve">Unmetered Loads </v>
      </c>
      <c r="I65" s="417" t="str">
        <f t="shared" si="31"/>
        <v>Embedded Distributor - Brantford Power, BCP</v>
      </c>
      <c r="J65" s="417" t="str">
        <f t="shared" si="31"/>
        <v>Embedded Distributor - Hydro One #1, BCP</v>
      </c>
      <c r="K65" s="417" t="str">
        <f t="shared" si="31"/>
        <v>Embedded Distributor - Hydro One #2, BCP</v>
      </c>
      <c r="L65" s="417" t="str">
        <f t="shared" si="31"/>
        <v>Total</v>
      </c>
      <c r="M65" s="332"/>
    </row>
    <row r="66" spans="1:23" x14ac:dyDescent="0.25">
      <c r="A66" s="445" t="s">
        <v>203</v>
      </c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7"/>
      <c r="M66" s="332"/>
    </row>
    <row r="67" spans="1:23" x14ac:dyDescent="0.25">
      <c r="A67" s="325">
        <f>A44</f>
        <v>2010</v>
      </c>
      <c r="B67" s="333">
        <f>'Summary BCP'!B10</f>
        <v>8133.3250000000007</v>
      </c>
      <c r="C67" s="333">
        <f>'Summary BCP'!B14</f>
        <v>1289.365</v>
      </c>
      <c r="D67" s="333">
        <f>'Summary BCP'!B18</f>
        <v>94.591650000000001</v>
      </c>
      <c r="E67" s="333">
        <f>'Summary BCP'!B23</f>
        <v>5</v>
      </c>
      <c r="F67" s="333">
        <f>'Summary BCP'!B28</f>
        <v>2640</v>
      </c>
      <c r="G67" s="333">
        <f>'Summary BCP'!B33</f>
        <v>219.19</v>
      </c>
      <c r="H67" s="333">
        <f>'Summary BCP'!B38</f>
        <v>51.375</v>
      </c>
      <c r="I67" s="333">
        <f>'Summary BCP'!B42</f>
        <v>1</v>
      </c>
      <c r="J67" s="334">
        <f>'Summary BCP'!B47</f>
        <v>1</v>
      </c>
      <c r="K67" s="334">
        <f>'Summary BCP'!B52</f>
        <v>4</v>
      </c>
      <c r="L67" s="334">
        <f>SUM(B67:K67)</f>
        <v>12438.846650000001</v>
      </c>
      <c r="M67" s="335"/>
    </row>
    <row r="68" spans="1:23" x14ac:dyDescent="0.25">
      <c r="A68" s="325">
        <f>A45</f>
        <v>2011</v>
      </c>
      <c r="B68" s="333">
        <f>'Summary BCP'!C10</f>
        <v>8238.5965481171552</v>
      </c>
      <c r="C68" s="333">
        <f>'Summary BCP'!C14</f>
        <v>1302.779334665905</v>
      </c>
      <c r="D68" s="333">
        <f>'Summary BCP'!C18</f>
        <v>98.949983333333336</v>
      </c>
      <c r="E68" s="333">
        <f>'Summary BCP'!C23</f>
        <v>5</v>
      </c>
      <c r="F68" s="333">
        <f>'Summary BCP'!C28</f>
        <v>2640</v>
      </c>
      <c r="G68" s="333">
        <f>'Summary BCP'!C33</f>
        <v>189.12055555555554</v>
      </c>
      <c r="H68" s="333">
        <f>'Summary BCP'!C38</f>
        <v>50.45</v>
      </c>
      <c r="I68" s="333">
        <f>'Summary BCP'!C42</f>
        <v>1</v>
      </c>
      <c r="J68" s="334">
        <f>'Summary BCP'!C47</f>
        <v>1</v>
      </c>
      <c r="K68" s="334">
        <f>'Summary BCP'!C52</f>
        <v>4</v>
      </c>
      <c r="L68" s="334">
        <f t="shared" ref="L68:L75" si="32">SUM(B68:K68)</f>
        <v>12530.896421671951</v>
      </c>
      <c r="M68" s="335"/>
    </row>
    <row r="69" spans="1:23" x14ac:dyDescent="0.25">
      <c r="A69" s="325" t="str">
        <f>A56</f>
        <v>2011 Board Approved</v>
      </c>
      <c r="B69" s="333">
        <v>8335</v>
      </c>
      <c r="C69" s="333">
        <v>1338</v>
      </c>
      <c r="D69" s="333">
        <v>101</v>
      </c>
      <c r="E69" s="333">
        <f>E68</f>
        <v>5</v>
      </c>
      <c r="F69" s="333">
        <v>2630</v>
      </c>
      <c r="G69" s="333">
        <v>218</v>
      </c>
      <c r="H69" s="333">
        <v>51</v>
      </c>
      <c r="I69" s="333">
        <f>I68</f>
        <v>1</v>
      </c>
      <c r="J69" s="334">
        <f>'Summary BCP'!D47</f>
        <v>1</v>
      </c>
      <c r="K69" s="334">
        <f>'Summary BCP'!D52</f>
        <v>4</v>
      </c>
      <c r="L69" s="334">
        <f t="shared" si="32"/>
        <v>12684</v>
      </c>
      <c r="M69" s="335"/>
    </row>
    <row r="70" spans="1:23" x14ac:dyDescent="0.25">
      <c r="A70" s="325">
        <f t="shared" ref="A70:A75" si="33">A46</f>
        <v>2012</v>
      </c>
      <c r="B70" s="333">
        <f>'Summary BCP'!D10</f>
        <v>8349.7715481171545</v>
      </c>
      <c r="C70" s="333">
        <f>'Summary BCP'!D14</f>
        <v>1319.414334665905</v>
      </c>
      <c r="D70" s="333">
        <f>'Summary BCP'!D18</f>
        <v>102.48333333333333</v>
      </c>
      <c r="E70" s="333">
        <f>'Summary BCP'!D23</f>
        <v>5</v>
      </c>
      <c r="F70" s="333">
        <f>'Summary BCP'!D28</f>
        <v>2640</v>
      </c>
      <c r="G70" s="333">
        <f>'Summary BCP'!D33</f>
        <v>176.89706230751005</v>
      </c>
      <c r="H70" s="333">
        <f>'Summary BCP'!D38</f>
        <v>47.95</v>
      </c>
      <c r="I70" s="333">
        <f>'Summary BCP'!D42</f>
        <v>1</v>
      </c>
      <c r="J70" s="334">
        <f>'Summary BCP'!E47</f>
        <v>1</v>
      </c>
      <c r="K70" s="334">
        <v>4</v>
      </c>
      <c r="L70" s="334">
        <f t="shared" si="32"/>
        <v>12647.516278423904</v>
      </c>
      <c r="M70" s="335"/>
    </row>
    <row r="71" spans="1:23" x14ac:dyDescent="0.25">
      <c r="A71" s="325">
        <f t="shared" si="33"/>
        <v>2013</v>
      </c>
      <c r="B71" s="333">
        <f>'Summary BCP'!E10</f>
        <v>8431.7666666666664</v>
      </c>
      <c r="C71" s="333">
        <f>'Summary BCP'!E14</f>
        <v>1308.383517763541</v>
      </c>
      <c r="D71" s="333">
        <f>'Summary BCP'!E18</f>
        <v>104.00026063386156</v>
      </c>
      <c r="E71" s="333">
        <f>'Summary BCP'!E23</f>
        <v>5</v>
      </c>
      <c r="F71" s="333">
        <f>'Summary BCP'!E28</f>
        <v>2640</v>
      </c>
      <c r="G71" s="333">
        <f>'Summary BCP'!E33</f>
        <v>190.6022269604359</v>
      </c>
      <c r="H71" s="333">
        <f>'Summary BCP'!E38</f>
        <v>47.5</v>
      </c>
      <c r="I71" s="333">
        <f>'Summary BCP'!E42</f>
        <v>1</v>
      </c>
      <c r="J71" s="334">
        <f>'Summary BCP'!F47</f>
        <v>1</v>
      </c>
      <c r="K71" s="334">
        <f>'Summary BCP'!E52</f>
        <v>4</v>
      </c>
      <c r="L71" s="334">
        <f t="shared" si="32"/>
        <v>12733.252672024506</v>
      </c>
      <c r="M71" s="335"/>
    </row>
    <row r="72" spans="1:23" x14ac:dyDescent="0.25">
      <c r="A72" s="325">
        <f t="shared" si="33"/>
        <v>2014</v>
      </c>
      <c r="B72" s="333">
        <f>'Summary BCP'!F10</f>
        <v>8519.5333333333347</v>
      </c>
      <c r="C72" s="333">
        <f>'Summary BCP'!F14</f>
        <v>1297.767035527082</v>
      </c>
      <c r="D72" s="333">
        <f>'Summary BCP'!F18</f>
        <v>106.0005212677231</v>
      </c>
      <c r="E72" s="333">
        <f>'Summary BCP'!F23</f>
        <v>5</v>
      </c>
      <c r="F72" s="333">
        <f>'Summary BCP'!F28</f>
        <v>2640</v>
      </c>
      <c r="G72" s="333">
        <f>'Summary BCP'!F33</f>
        <v>188.52144041696278</v>
      </c>
      <c r="H72" s="333">
        <f>'Summary BCP'!F38</f>
        <v>49</v>
      </c>
      <c r="I72" s="333">
        <f>'Summary BCP'!F42</f>
        <v>1</v>
      </c>
      <c r="J72" s="334">
        <f>'Summary BCP'!G47</f>
        <v>1</v>
      </c>
      <c r="K72" s="334">
        <f>'Summary BCP'!F52</f>
        <v>4</v>
      </c>
      <c r="L72" s="334">
        <f t="shared" si="32"/>
        <v>12811.822330545101</v>
      </c>
      <c r="M72" s="335"/>
    </row>
    <row r="73" spans="1:23" x14ac:dyDescent="0.25">
      <c r="A73" s="325">
        <f t="shared" si="33"/>
        <v>2015</v>
      </c>
      <c r="B73" s="333">
        <f>'Summary BCP'!G10</f>
        <v>8599.8379679144382</v>
      </c>
      <c r="C73" s="333">
        <f>'Summary BCP'!G14</f>
        <v>1297.599819606859</v>
      </c>
      <c r="D73" s="333">
        <f>'Summary BCP'!G18</f>
        <v>112.00031219088362</v>
      </c>
      <c r="E73" s="333">
        <f>'Summary BCP'!G23</f>
        <v>5.5</v>
      </c>
      <c r="F73" s="333">
        <f>'Summary BCP'!G28</f>
        <v>2640</v>
      </c>
      <c r="G73" s="333">
        <f>'Summary BCP'!G33</f>
        <v>188.78204217010187</v>
      </c>
      <c r="H73" s="333">
        <f>'Summary BCP'!G38</f>
        <v>49</v>
      </c>
      <c r="I73" s="333">
        <f>'Summary BCP'!G42</f>
        <v>1</v>
      </c>
      <c r="J73" s="334">
        <f>'Summary BCP'!H47</f>
        <v>1</v>
      </c>
      <c r="K73" s="334">
        <f>'Summary BCP'!G52</f>
        <v>4</v>
      </c>
      <c r="L73" s="334">
        <f t="shared" si="32"/>
        <v>12898.720141882282</v>
      </c>
      <c r="M73" s="335"/>
    </row>
    <row r="74" spans="1:23" ht="12.75" customHeight="1" x14ac:dyDescent="0.25">
      <c r="A74" s="325">
        <f t="shared" si="33"/>
        <v>2016</v>
      </c>
      <c r="B74" s="333">
        <f>'Summary BCP'!H10</f>
        <v>8731.0713012477718</v>
      </c>
      <c r="C74" s="333">
        <f>'Summary BCP'!H14</f>
        <v>1319.716301843318</v>
      </c>
      <c r="D74" s="333">
        <f>'Summary BCP'!H18</f>
        <v>113.00005155702206</v>
      </c>
      <c r="E74" s="333">
        <f>'Summary BCP'!H23</f>
        <v>6</v>
      </c>
      <c r="F74" s="333">
        <f>'Summary BCP'!H28</f>
        <v>2783.5</v>
      </c>
      <c r="G74" s="333">
        <f>'Summary BCP'!H33</f>
        <v>181.02132196162046</v>
      </c>
      <c r="H74" s="333">
        <f>'Summary BCP'!H38</f>
        <v>48</v>
      </c>
      <c r="I74" s="333">
        <f>'Summary BCP'!H42</f>
        <v>1</v>
      </c>
      <c r="J74" s="334">
        <f>'Summary BCP'!I47</f>
        <v>1</v>
      </c>
      <c r="K74" s="334">
        <f>'Summary BCP'!H52</f>
        <v>4</v>
      </c>
      <c r="L74" s="334">
        <f t="shared" si="32"/>
        <v>13188.308976609733</v>
      </c>
      <c r="M74" s="335"/>
    </row>
    <row r="75" spans="1:23" ht="12.75" customHeight="1" x14ac:dyDescent="0.25">
      <c r="A75" s="325">
        <f t="shared" si="33"/>
        <v>2017</v>
      </c>
      <c r="B75" s="333">
        <f>'Summary BCP'!I10</f>
        <v>8895.5</v>
      </c>
      <c r="C75" s="333">
        <f>'Summary BCP'!I14</f>
        <v>1339</v>
      </c>
      <c r="D75" s="333">
        <f>'Summary BCP'!I18</f>
        <v>107.5</v>
      </c>
      <c r="E75" s="333">
        <f>'Summary BCP'!I23</f>
        <v>6</v>
      </c>
      <c r="F75" s="333">
        <f>'Summary BCP'!I28</f>
        <v>2929.5</v>
      </c>
      <c r="G75" s="333">
        <f>'Summary BCP'!I33</f>
        <v>168</v>
      </c>
      <c r="H75" s="333">
        <f>'Summary BCP'!I38</f>
        <v>47</v>
      </c>
      <c r="I75" s="333">
        <f>'Summary BCP'!I42</f>
        <v>1</v>
      </c>
      <c r="J75" s="334">
        <f>'Summary BCP'!J47</f>
        <v>1</v>
      </c>
      <c r="K75" s="334">
        <f>'Summary BCP'!I52</f>
        <v>4</v>
      </c>
      <c r="L75" s="334">
        <f t="shared" si="32"/>
        <v>13498.5</v>
      </c>
      <c r="M75" s="335"/>
    </row>
    <row r="76" spans="1:23" x14ac:dyDescent="0.25">
      <c r="A76" s="463" t="s">
        <v>232</v>
      </c>
      <c r="B76" s="464"/>
      <c r="C76" s="464"/>
      <c r="D76" s="464"/>
      <c r="E76" s="464"/>
      <c r="F76" s="464"/>
      <c r="G76" s="464"/>
      <c r="H76" s="464"/>
      <c r="I76" s="464"/>
      <c r="J76" s="464"/>
      <c r="K76" s="465"/>
      <c r="L76" s="455"/>
    </row>
    <row r="77" spans="1:23" x14ac:dyDescent="0.25">
      <c r="A77" s="336">
        <f t="shared" ref="A77:A84" si="34">A30</f>
        <v>2010</v>
      </c>
      <c r="B77" s="337">
        <f t="shared" ref="B77:I78" si="35">B44*1000000/B67</f>
        <v>9863.0789990563499</v>
      </c>
      <c r="C77" s="337">
        <f t="shared" si="35"/>
        <v>27732.982933459494</v>
      </c>
      <c r="D77" s="337">
        <f t="shared" si="35"/>
        <v>634412.29590561101</v>
      </c>
      <c r="E77" s="337">
        <f t="shared" si="35"/>
        <v>5908334.3199999984</v>
      </c>
      <c r="F77" s="337">
        <f t="shared" si="35"/>
        <v>647.53051893939391</v>
      </c>
      <c r="G77" s="337">
        <f t="shared" si="35"/>
        <v>799.69159176969754</v>
      </c>
      <c r="H77" s="337">
        <f t="shared" si="35"/>
        <v>9337.2846715328469</v>
      </c>
      <c r="I77" s="337">
        <f t="shared" si="35"/>
        <v>373339</v>
      </c>
      <c r="J77" s="337">
        <f t="shared" ref="J77:K77" si="36">J44*1000000/J67</f>
        <v>13348829.459999999</v>
      </c>
      <c r="K77" s="337">
        <f t="shared" si="36"/>
        <v>12563307.4625</v>
      </c>
      <c r="L77" s="456"/>
      <c r="N77" s="338"/>
      <c r="O77" s="338"/>
      <c r="P77" s="338"/>
      <c r="Q77" s="338"/>
      <c r="R77" s="338"/>
      <c r="T77" s="338"/>
      <c r="U77" s="338"/>
      <c r="V77" s="338"/>
      <c r="W77" s="338"/>
    </row>
    <row r="78" spans="1:23" x14ac:dyDescent="0.25">
      <c r="A78" s="336">
        <f t="shared" si="34"/>
        <v>2011</v>
      </c>
      <c r="B78" s="337">
        <f t="shared" si="35"/>
        <v>9941.0139265427915</v>
      </c>
      <c r="C78" s="337">
        <f t="shared" si="35"/>
        <v>27764.045773166818</v>
      </c>
      <c r="D78" s="337">
        <f t="shared" si="35"/>
        <v>640005.57985608571</v>
      </c>
      <c r="E78" s="337">
        <f t="shared" si="35"/>
        <v>5816951.4619999994</v>
      </c>
      <c r="F78" s="337">
        <f t="shared" si="35"/>
        <v>647.69204545454556</v>
      </c>
      <c r="G78" s="337">
        <f t="shared" si="35"/>
        <v>867.20351216302367</v>
      </c>
      <c r="H78" s="337">
        <f t="shared" si="35"/>
        <v>8826.7195242814669</v>
      </c>
      <c r="I78" s="337">
        <f t="shared" si="35"/>
        <v>373339</v>
      </c>
      <c r="J78" s="337">
        <f t="shared" ref="J78:K78" si="37">J45*1000000/J68</f>
        <v>13695349.587000001</v>
      </c>
      <c r="K78" s="337">
        <f t="shared" si="37"/>
        <v>12886943.362500001</v>
      </c>
      <c r="L78" s="456"/>
      <c r="N78" s="338"/>
      <c r="O78" s="338"/>
      <c r="P78" s="338"/>
      <c r="Q78" s="338"/>
      <c r="R78" s="338"/>
      <c r="T78" s="338"/>
      <c r="U78" s="338"/>
      <c r="V78" s="338"/>
      <c r="W78" s="338"/>
    </row>
    <row r="79" spans="1:23" x14ac:dyDescent="0.25">
      <c r="A79" s="336">
        <f t="shared" si="34"/>
        <v>2012</v>
      </c>
      <c r="B79" s="337">
        <f t="shared" ref="B79:I84" si="38">B46*1000000/B70</f>
        <v>9540.325657767602</v>
      </c>
      <c r="C79" s="337">
        <f t="shared" si="38"/>
        <v>27059.577436712072</v>
      </c>
      <c r="D79" s="337">
        <f t="shared" si="38"/>
        <v>621896.88088070881</v>
      </c>
      <c r="E79" s="337">
        <f t="shared" si="38"/>
        <v>5955655.9199999999</v>
      </c>
      <c r="F79" s="337">
        <f t="shared" si="38"/>
        <v>649.54081439393951</v>
      </c>
      <c r="G79" s="337">
        <f t="shared" si="38"/>
        <v>1008.5322371824705</v>
      </c>
      <c r="H79" s="337">
        <f t="shared" si="38"/>
        <v>9219.3534932221064</v>
      </c>
      <c r="I79" s="337">
        <f t="shared" si="38"/>
        <v>374823</v>
      </c>
      <c r="J79" s="337">
        <f t="shared" ref="J79:K79" si="39">J46*1000000/J70</f>
        <v>9863706.6199999992</v>
      </c>
      <c r="K79" s="337">
        <f t="shared" si="39"/>
        <v>13079740.385000002</v>
      </c>
      <c r="L79" s="456"/>
      <c r="N79" s="338"/>
      <c r="O79" s="338"/>
      <c r="P79" s="338"/>
      <c r="Q79" s="338"/>
      <c r="R79" s="338"/>
      <c r="T79" s="338"/>
      <c r="U79" s="338"/>
      <c r="V79" s="338"/>
      <c r="W79" s="338"/>
    </row>
    <row r="80" spans="1:23" x14ac:dyDescent="0.25">
      <c r="A80" s="336">
        <f t="shared" si="34"/>
        <v>2013</v>
      </c>
      <c r="B80" s="337">
        <f t="shared" si="38"/>
        <v>9479.8229374626917</v>
      </c>
      <c r="C80" s="337">
        <f t="shared" si="38"/>
        <v>28375.96160142836</v>
      </c>
      <c r="D80" s="337">
        <f t="shared" si="38"/>
        <v>634529.60884709377</v>
      </c>
      <c r="E80" s="337">
        <f t="shared" si="38"/>
        <v>6188270.5239999993</v>
      </c>
      <c r="F80" s="337">
        <f t="shared" si="38"/>
        <v>642.64901136363653</v>
      </c>
      <c r="G80" s="337">
        <f t="shared" si="38"/>
        <v>801.68606860883096</v>
      </c>
      <c r="H80" s="337">
        <f t="shared" si="38"/>
        <v>9306.6947368421061</v>
      </c>
      <c r="I80" s="337">
        <f t="shared" si="38"/>
        <v>356273</v>
      </c>
      <c r="J80" s="337">
        <f t="shared" ref="J80:K80" si="40">J47*1000000/J71</f>
        <v>13883197</v>
      </c>
      <c r="K80" s="337">
        <f t="shared" si="40"/>
        <v>13029275.4825</v>
      </c>
      <c r="L80" s="456"/>
      <c r="N80" s="338"/>
      <c r="O80" s="338"/>
      <c r="P80" s="338"/>
      <c r="Q80" s="338"/>
      <c r="R80" s="338"/>
      <c r="T80" s="338"/>
      <c r="U80" s="338"/>
      <c r="V80" s="338"/>
      <c r="W80" s="338"/>
    </row>
    <row r="81" spans="1:26" x14ac:dyDescent="0.25">
      <c r="A81" s="336">
        <f t="shared" si="34"/>
        <v>2014</v>
      </c>
      <c r="B81" s="337">
        <f t="shared" si="38"/>
        <v>9571.6155837956685</v>
      </c>
      <c r="C81" s="337">
        <f t="shared" si="38"/>
        <v>28976.906426604364</v>
      </c>
      <c r="D81" s="337">
        <f t="shared" si="38"/>
        <v>639448.27817218867</v>
      </c>
      <c r="E81" s="337">
        <f t="shared" si="38"/>
        <v>6119124.2479999997</v>
      </c>
      <c r="F81" s="337">
        <f t="shared" si="38"/>
        <v>647.53075378787889</v>
      </c>
      <c r="G81" s="337">
        <f t="shared" si="38"/>
        <v>777.18077941662534</v>
      </c>
      <c r="H81" s="337">
        <f t="shared" si="38"/>
        <v>9021.7959183673465</v>
      </c>
      <c r="I81" s="337">
        <f t="shared" si="38"/>
        <v>338022</v>
      </c>
      <c r="J81" s="337">
        <f t="shared" ref="J81:K81" si="41">J48*1000000/J72</f>
        <v>12996387</v>
      </c>
      <c r="K81" s="337">
        <f t="shared" si="41"/>
        <v>12871435.337499999</v>
      </c>
      <c r="L81" s="456"/>
      <c r="N81" s="338"/>
      <c r="O81" s="338"/>
      <c r="P81" s="338"/>
      <c r="Q81" s="338"/>
      <c r="R81" s="338"/>
      <c r="T81" s="338"/>
      <c r="U81" s="338"/>
      <c r="V81" s="338"/>
      <c r="W81" s="338"/>
    </row>
    <row r="82" spans="1:26" x14ac:dyDescent="0.25">
      <c r="A82" s="336">
        <f t="shared" si="34"/>
        <v>2015</v>
      </c>
      <c r="B82" s="337">
        <f t="shared" si="38"/>
        <v>9908.2417989702226</v>
      </c>
      <c r="C82" s="337">
        <f t="shared" si="38"/>
        <v>27704.282059697824</v>
      </c>
      <c r="D82" s="337">
        <f t="shared" si="38"/>
        <v>441857.63630423299</v>
      </c>
      <c r="E82" s="337">
        <f t="shared" si="38"/>
        <v>6510076.5945454547</v>
      </c>
      <c r="F82" s="337">
        <f t="shared" si="38"/>
        <v>643.04256770833331</v>
      </c>
      <c r="G82" s="337">
        <f t="shared" si="38"/>
        <v>755.94276465802852</v>
      </c>
      <c r="H82" s="337">
        <f t="shared" si="38"/>
        <v>8981.1224489795914</v>
      </c>
      <c r="I82" s="337">
        <f t="shared" si="38"/>
        <v>352067.78</v>
      </c>
      <c r="J82" s="337">
        <f t="shared" ref="J82:K82" si="42">J49*1000000/J73</f>
        <v>13819341.6</v>
      </c>
      <c r="K82" s="337">
        <f t="shared" si="42"/>
        <v>15584863.7575</v>
      </c>
      <c r="L82" s="456"/>
      <c r="N82" s="338"/>
      <c r="O82" s="338"/>
      <c r="P82" s="338"/>
      <c r="Q82" s="338"/>
      <c r="R82" s="338"/>
      <c r="T82" s="338"/>
      <c r="U82" s="338"/>
      <c r="V82" s="338"/>
      <c r="W82" s="338"/>
    </row>
    <row r="83" spans="1:26" x14ac:dyDescent="0.25">
      <c r="A83" s="336">
        <f t="shared" si="34"/>
        <v>2016</v>
      </c>
      <c r="B83" s="337">
        <f t="shared" si="38"/>
        <v>9549.0140162164298</v>
      </c>
      <c r="C83" s="337">
        <f t="shared" ref="C83:I84" si="43">C50*1000000/C74</f>
        <v>32341.535881601423</v>
      </c>
      <c r="D83" s="337">
        <f t="shared" si="43"/>
        <v>602522.42725962761</v>
      </c>
      <c r="E83" s="337">
        <f t="shared" si="43"/>
        <v>6446268.8916666666</v>
      </c>
      <c r="F83" s="337">
        <f t="shared" si="43"/>
        <v>525.22338063589177</v>
      </c>
      <c r="G83" s="337">
        <f t="shared" si="43"/>
        <v>755.16518451336344</v>
      </c>
      <c r="H83" s="337">
        <f t="shared" si="43"/>
        <v>8763.7000000000062</v>
      </c>
      <c r="I83" s="337">
        <f t="shared" si="43"/>
        <v>380114.44</v>
      </c>
      <c r="J83" s="337">
        <f t="shared" ref="J83:K83" si="44">J50*1000000/J74</f>
        <v>13560291.5</v>
      </c>
      <c r="K83" s="337">
        <f t="shared" si="44"/>
        <v>11512572.300000001</v>
      </c>
      <c r="L83" s="456"/>
      <c r="N83" s="338"/>
      <c r="O83" s="338"/>
      <c r="P83" s="338"/>
      <c r="Q83" s="338"/>
      <c r="R83" s="338"/>
      <c r="T83" s="338"/>
      <c r="U83" s="338"/>
      <c r="V83" s="338"/>
      <c r="W83" s="338"/>
    </row>
    <row r="84" spans="1:26" x14ac:dyDescent="0.25">
      <c r="A84" s="336">
        <f t="shared" si="34"/>
        <v>2017</v>
      </c>
      <c r="B84" s="337">
        <f t="shared" si="38"/>
        <v>8949.1784261705343</v>
      </c>
      <c r="C84" s="337">
        <f t="shared" si="43"/>
        <v>27449.243517550411</v>
      </c>
      <c r="D84" s="337">
        <f t="shared" si="43"/>
        <v>585719.46026501327</v>
      </c>
      <c r="E84" s="337">
        <f t="shared" si="43"/>
        <v>5690048.1754144831</v>
      </c>
      <c r="F84" s="337">
        <f t="shared" si="43"/>
        <v>256.21496501109402</v>
      </c>
      <c r="G84" s="337">
        <f t="shared" si="43"/>
        <v>755.8869047619047</v>
      </c>
      <c r="H84" s="337">
        <f t="shared" si="43"/>
        <v>8896.8510638297867</v>
      </c>
      <c r="I84" s="337">
        <f t="shared" si="43"/>
        <v>347756.59287776717</v>
      </c>
      <c r="J84" s="337">
        <f t="shared" ref="J84:K84" si="45">J51*1000000/J75</f>
        <v>12191720.381133871</v>
      </c>
      <c r="K84" s="337">
        <f t="shared" si="45"/>
        <v>10818530.38351596</v>
      </c>
      <c r="L84" s="456"/>
      <c r="N84" s="338"/>
      <c r="O84" s="338"/>
      <c r="P84" s="338"/>
      <c r="Q84" s="338"/>
      <c r="R84" s="338"/>
      <c r="T84" s="338"/>
      <c r="U84" s="338"/>
      <c r="V84" s="338"/>
      <c r="W84" s="338"/>
    </row>
    <row r="85" spans="1:26" x14ac:dyDescent="0.25">
      <c r="A85" s="466" t="s">
        <v>233</v>
      </c>
      <c r="B85" s="450"/>
      <c r="C85" s="450"/>
      <c r="D85" s="450"/>
      <c r="E85" s="450"/>
      <c r="F85" s="450"/>
      <c r="G85" s="450"/>
      <c r="H85" s="450"/>
      <c r="I85" s="450"/>
      <c r="J85" s="450"/>
      <c r="K85" s="339"/>
      <c r="L85" s="456"/>
    </row>
    <row r="86" spans="1:26" x14ac:dyDescent="0.25">
      <c r="A86" s="336">
        <f t="shared" ref="A86:A94" si="46">A54</f>
        <v>2010</v>
      </c>
      <c r="B86" s="337">
        <f t="shared" ref="B86:I94" si="47">B54*1000000/B67</f>
        <v>9821.7990090181611</v>
      </c>
      <c r="C86" s="337">
        <f t="shared" si="47"/>
        <v>27616.911952041621</v>
      </c>
      <c r="D86" s="337">
        <f t="shared" si="47"/>
        <v>631757.08719668817</v>
      </c>
      <c r="E86" s="337">
        <f t="shared" si="47"/>
        <v>5883606.1411123285</v>
      </c>
      <c r="F86" s="337">
        <f t="shared" si="47"/>
        <v>644.8204064710867</v>
      </c>
      <c r="G86" s="337">
        <f t="shared" si="47"/>
        <v>796.34463886127674</v>
      </c>
      <c r="H86" s="337">
        <f t="shared" si="47"/>
        <v>9298.2052909194008</v>
      </c>
      <c r="I86" s="337">
        <f t="shared" si="47"/>
        <v>371776.46256089583</v>
      </c>
      <c r="J86" s="337">
        <f t="shared" ref="J86:K86" si="48">J54*1000000/J67</f>
        <v>13292960.542476071</v>
      </c>
      <c r="K86" s="337">
        <f t="shared" si="48"/>
        <v>12510726.193816224</v>
      </c>
      <c r="L86" s="456"/>
      <c r="X86" s="338"/>
      <c r="Y86" s="338"/>
      <c r="Z86" s="338"/>
    </row>
    <row r="87" spans="1:26" x14ac:dyDescent="0.25">
      <c r="A87" s="336">
        <f t="shared" si="46"/>
        <v>2011</v>
      </c>
      <c r="B87" s="337">
        <f t="shared" si="47"/>
        <v>9904.8604491898768</v>
      </c>
      <c r="C87" s="337">
        <f t="shared" si="47"/>
        <v>27663.073497350426</v>
      </c>
      <c r="D87" s="337">
        <f t="shared" si="47"/>
        <v>637678.00769815047</v>
      </c>
      <c r="E87" s="337">
        <f t="shared" si="47"/>
        <v>5795796.3741489593</v>
      </c>
      <c r="F87" s="337">
        <f t="shared" si="47"/>
        <v>645.33651916014185</v>
      </c>
      <c r="G87" s="337">
        <f t="shared" si="47"/>
        <v>864.04966661275819</v>
      </c>
      <c r="H87" s="337">
        <f t="shared" si="47"/>
        <v>8794.6185125758475</v>
      </c>
      <c r="I87" s="337">
        <f t="shared" si="47"/>
        <v>371981.24080348364</v>
      </c>
      <c r="J87" s="337">
        <f t="shared" ref="J87:K87" si="49">J55*1000000/J68</f>
        <v>13645542.342508385</v>
      </c>
      <c r="K87" s="337">
        <f t="shared" si="49"/>
        <v>12840076.12959527</v>
      </c>
      <c r="L87" s="456"/>
      <c r="X87" s="338"/>
      <c r="Y87" s="338"/>
      <c r="Z87" s="338"/>
    </row>
    <row r="88" spans="1:26" x14ac:dyDescent="0.25">
      <c r="A88" s="336" t="str">
        <f t="shared" si="46"/>
        <v>2011 Board Approved</v>
      </c>
      <c r="B88" s="337">
        <f t="shared" si="47"/>
        <v>9934.0131973605276</v>
      </c>
      <c r="C88" s="337">
        <f t="shared" si="47"/>
        <v>30194.319880418534</v>
      </c>
      <c r="D88" s="337">
        <f t="shared" si="47"/>
        <v>622135.93551259837</v>
      </c>
      <c r="E88" s="337">
        <f t="shared" si="47"/>
        <v>5771684.9319004882</v>
      </c>
      <c r="F88" s="337">
        <f t="shared" si="47"/>
        <v>684.41064638783268</v>
      </c>
      <c r="G88" s="337">
        <f t="shared" si="47"/>
        <v>917.43119266055044</v>
      </c>
      <c r="H88" s="337">
        <f t="shared" si="47"/>
        <v>9803.9215686274511</v>
      </c>
      <c r="I88" s="337">
        <f t="shared" si="47"/>
        <v>370433.73919608549</v>
      </c>
      <c r="J88" s="337">
        <f>J56*1000000/J69</f>
        <v>13588774.698357189</v>
      </c>
      <c r="K88" s="337">
        <f t="shared" ref="K88" si="50">K56*1000000/K69</f>
        <v>12786659.354042975</v>
      </c>
      <c r="L88" s="456"/>
      <c r="X88" s="338"/>
      <c r="Y88" s="338"/>
      <c r="Z88" s="338"/>
    </row>
    <row r="89" spans="1:26" ht="12.75" customHeight="1" x14ac:dyDescent="0.25">
      <c r="A89" s="336">
        <f t="shared" si="46"/>
        <v>2012</v>
      </c>
      <c r="B89" s="337">
        <f t="shared" si="47"/>
        <v>9480.7780642356338</v>
      </c>
      <c r="C89" s="337">
        <f t="shared" si="47"/>
        <v>26890.68040152164</v>
      </c>
      <c r="D89" s="337">
        <f t="shared" si="47"/>
        <v>618015.20388037164</v>
      </c>
      <c r="E89" s="337">
        <f t="shared" si="47"/>
        <v>5918482.6629580166</v>
      </c>
      <c r="F89" s="337">
        <f t="shared" si="47"/>
        <v>645.48659299883832</v>
      </c>
      <c r="G89" s="337">
        <f t="shared" si="47"/>
        <v>1002.2373086991088</v>
      </c>
      <c r="H89" s="337">
        <f t="shared" si="47"/>
        <v>9161.8093029988995</v>
      </c>
      <c r="I89" s="337">
        <f t="shared" si="47"/>
        <v>372483.47738294338</v>
      </c>
      <c r="J89" s="337">
        <f t="shared" ref="J89:K89" si="51">J57*1000000/J70</f>
        <v>9802140.5882316679</v>
      </c>
      <c r="K89" s="337">
        <f t="shared" si="51"/>
        <v>12998100.921957616</v>
      </c>
      <c r="L89" s="456"/>
      <c r="X89" s="338"/>
      <c r="Y89" s="338"/>
      <c r="Z89" s="338"/>
    </row>
    <row r="90" spans="1:26" x14ac:dyDescent="0.25">
      <c r="A90" s="336">
        <f t="shared" si="46"/>
        <v>2013</v>
      </c>
      <c r="B90" s="337">
        <f t="shared" si="47"/>
        <v>9453.5933464343743</v>
      </c>
      <c r="C90" s="337">
        <f t="shared" si="47"/>
        <v>28297.448545567433</v>
      </c>
      <c r="D90" s="337">
        <f t="shared" si="47"/>
        <v>632773.93764466594</v>
      </c>
      <c r="E90" s="337">
        <f t="shared" si="47"/>
        <v>6171148.2838391978</v>
      </c>
      <c r="F90" s="337">
        <f t="shared" si="47"/>
        <v>640.87087469863536</v>
      </c>
      <c r="G90" s="337">
        <f t="shared" si="47"/>
        <v>799.46789450880533</v>
      </c>
      <c r="H90" s="337">
        <f t="shared" si="47"/>
        <v>9280.9441718386097</v>
      </c>
      <c r="I90" s="337">
        <f t="shared" si="47"/>
        <v>355287.23316172895</v>
      </c>
      <c r="J90" s="337">
        <f t="shared" ref="J90:K90" si="52">J58*1000000/J71</f>
        <v>13844783.774154132</v>
      </c>
      <c r="K90" s="337">
        <f t="shared" si="52"/>
        <v>12993224.960295547</v>
      </c>
      <c r="L90" s="456"/>
      <c r="X90" s="338"/>
      <c r="Y90" s="338"/>
      <c r="Z90" s="338"/>
    </row>
    <row r="91" spans="1:26" x14ac:dyDescent="0.25">
      <c r="A91" s="336">
        <f t="shared" si="46"/>
        <v>2014</v>
      </c>
      <c r="B91" s="337">
        <f t="shared" si="47"/>
        <v>9651.3143293644262</v>
      </c>
      <c r="C91" s="337">
        <f t="shared" si="47"/>
        <v>29218.1847220442</v>
      </c>
      <c r="D91" s="337">
        <f t="shared" si="47"/>
        <v>644772.6902508249</v>
      </c>
      <c r="E91" s="337">
        <f t="shared" si="47"/>
        <v>6170075.5761509743</v>
      </c>
      <c r="F91" s="337">
        <f t="shared" si="47"/>
        <v>652.92246518103741</v>
      </c>
      <c r="G91" s="337">
        <f t="shared" si="47"/>
        <v>783.65203107287812</v>
      </c>
      <c r="H91" s="337">
        <f t="shared" si="47"/>
        <v>9096.9165509477516</v>
      </c>
      <c r="I91" s="337">
        <f t="shared" si="47"/>
        <v>340836.56449423748</v>
      </c>
      <c r="J91" s="337">
        <f t="shared" ref="J91:K91" si="53">J59*1000000/J72</f>
        <v>13104602.351082386</v>
      </c>
      <c r="K91" s="337">
        <f t="shared" si="53"/>
        <v>12978610.269577796</v>
      </c>
      <c r="L91" s="456"/>
      <c r="X91" s="338"/>
      <c r="Y91" s="338"/>
      <c r="Z91" s="338"/>
    </row>
    <row r="92" spans="1:26" x14ac:dyDescent="0.25">
      <c r="A92" s="336">
        <f t="shared" si="46"/>
        <v>2015</v>
      </c>
      <c r="B92" s="337">
        <f t="shared" si="47"/>
        <v>9914.0488322144047</v>
      </c>
      <c r="C92" s="337">
        <f t="shared" si="47"/>
        <v>27720.519015778515</v>
      </c>
      <c r="D92" s="337">
        <f t="shared" si="47"/>
        <v>442116.60071338579</v>
      </c>
      <c r="E92" s="337">
        <f t="shared" si="47"/>
        <v>6513892.0273915343</v>
      </c>
      <c r="F92" s="337">
        <f t="shared" si="47"/>
        <v>643.4194428032157</v>
      </c>
      <c r="G92" s="337">
        <f t="shared" si="47"/>
        <v>756.38580842443332</v>
      </c>
      <c r="H92" s="337">
        <f t="shared" si="47"/>
        <v>8986.3861150960875</v>
      </c>
      <c r="I92" s="337">
        <f t="shared" si="47"/>
        <v>352274.12027147762</v>
      </c>
      <c r="J92" s="337">
        <f t="shared" ref="J92:K92" si="54">J60*1000000/J73</f>
        <v>13827440.854914451</v>
      </c>
      <c r="K92" s="337">
        <f t="shared" si="54"/>
        <v>15593997.751581091</v>
      </c>
      <c r="L92" s="456"/>
      <c r="X92" s="338"/>
      <c r="Y92" s="338"/>
      <c r="Z92" s="338"/>
    </row>
    <row r="93" spans="1:26" ht="12.75" customHeight="1" x14ac:dyDescent="0.25">
      <c r="A93" s="336">
        <f t="shared" si="46"/>
        <v>2016</v>
      </c>
      <c r="B93" s="337">
        <f t="shared" si="47"/>
        <v>9422.5244692458255</v>
      </c>
      <c r="C93" s="337">
        <f t="shared" ref="C93:I94" si="55">C61*1000000/C74</f>
        <v>31913.128695786203</v>
      </c>
      <c r="D93" s="337">
        <f t="shared" si="55"/>
        <v>594541.20650382258</v>
      </c>
      <c r="E93" s="337">
        <f t="shared" si="55"/>
        <v>6360879.3812551303</v>
      </c>
      <c r="F93" s="337">
        <f t="shared" si="55"/>
        <v>518.26608982427695</v>
      </c>
      <c r="G93" s="337">
        <f t="shared" si="55"/>
        <v>745.16200492698385</v>
      </c>
      <c r="H93" s="337">
        <f t="shared" si="55"/>
        <v>8647.6129944826007</v>
      </c>
      <c r="I93" s="337">
        <f t="shared" si="55"/>
        <v>375079.31247469381</v>
      </c>
      <c r="J93" s="337">
        <f t="shared" ref="J93:K93" si="56">J61*1000000/J74</f>
        <v>13380667.182168704</v>
      </c>
      <c r="K93" s="337">
        <f t="shared" si="56"/>
        <v>11360072.779921765</v>
      </c>
      <c r="L93" s="456"/>
      <c r="X93" s="338"/>
      <c r="Y93" s="338"/>
      <c r="Z93" s="338"/>
    </row>
    <row r="94" spans="1:26" x14ac:dyDescent="0.25">
      <c r="A94" s="336">
        <f t="shared" si="46"/>
        <v>2017</v>
      </c>
      <c r="B94" s="337">
        <f t="shared" si="47"/>
        <v>9011.960853171111</v>
      </c>
      <c r="C94" s="337">
        <f t="shared" si="55"/>
        <v>27641.812046782328</v>
      </c>
      <c r="D94" s="337">
        <f t="shared" si="55"/>
        <v>589828.54017221124</v>
      </c>
      <c r="E94" s="337">
        <f t="shared" si="55"/>
        <v>5729966.3687045015</v>
      </c>
      <c r="F94" s="337">
        <f t="shared" si="55"/>
        <v>258.01242580260362</v>
      </c>
      <c r="G94" s="337">
        <f t="shared" si="55"/>
        <v>761.18978421731117</v>
      </c>
      <c r="H94" s="337">
        <f t="shared" si="55"/>
        <v>8959.2663913437045</v>
      </c>
      <c r="I94" s="337">
        <f t="shared" si="55"/>
        <v>350196.25849472155</v>
      </c>
      <c r="J94" s="337">
        <f t="shared" ref="J94:K94" si="57">J62*1000000/J75</f>
        <v>12277250.667646164</v>
      </c>
      <c r="K94" s="337">
        <f t="shared" si="57"/>
        <v>10894427.137576686</v>
      </c>
      <c r="L94" s="456"/>
      <c r="X94" s="338"/>
      <c r="Y94" s="338"/>
      <c r="Z94" s="338"/>
    </row>
    <row r="95" spans="1:26" x14ac:dyDescent="0.25">
      <c r="A95" s="329"/>
      <c r="B95" s="340"/>
      <c r="C95" s="340"/>
      <c r="D95" s="340"/>
      <c r="E95" s="340"/>
      <c r="F95" s="340"/>
      <c r="G95" s="340"/>
      <c r="H95" s="340"/>
      <c r="I95" s="340"/>
      <c r="V95" s="338"/>
      <c r="W95" s="338"/>
      <c r="X95" s="338"/>
    </row>
    <row r="96" spans="1:26" x14ac:dyDescent="0.25">
      <c r="A96" s="312" t="s">
        <v>344</v>
      </c>
      <c r="B96" s="312"/>
      <c r="C96" s="312"/>
      <c r="D96" s="312"/>
      <c r="V96" s="338"/>
      <c r="W96" s="338"/>
      <c r="X96" s="338"/>
    </row>
    <row r="97" spans="1:24" ht="60" x14ac:dyDescent="0.25">
      <c r="A97" s="418" t="s">
        <v>198</v>
      </c>
      <c r="B97" s="419" t="str">
        <f>'Summary CND'!A11</f>
        <v xml:space="preserve">Residential </v>
      </c>
      <c r="C97" s="419" t="str">
        <f>'Summary CND'!A15</f>
        <v>General Service &lt; 50 kW</v>
      </c>
      <c r="D97" s="419" t="str">
        <f>'Summary CND'!A19</f>
        <v>General Service &gt; 50 to 999 kW</v>
      </c>
      <c r="E97" s="419" t="str">
        <f>'Summary CND'!A24</f>
        <v>General Service &gt; 1000 to 4999 kW</v>
      </c>
      <c r="F97" s="419" t="str">
        <f>'Summary CND'!A29</f>
        <v>Large User</v>
      </c>
      <c r="G97" s="417" t="str">
        <f>'Summary CND'!A38</f>
        <v>Street Lights</v>
      </c>
      <c r="H97" s="417" t="str">
        <f>'Summary CND'!A43</f>
        <v xml:space="preserve">Unmetered Loads </v>
      </c>
      <c r="I97" s="420" t="str">
        <f>Summary!A56</f>
        <v>Embedded Distributor - Hydro One, CND</v>
      </c>
      <c r="J97" s="417" t="s">
        <v>12</v>
      </c>
      <c r="U97" s="338"/>
      <c r="V97" s="338"/>
    </row>
    <row r="98" spans="1:24" ht="12.75" customHeight="1" x14ac:dyDescent="0.25">
      <c r="A98" s="457" t="s">
        <v>230</v>
      </c>
      <c r="B98" s="458"/>
      <c r="C98" s="458"/>
      <c r="D98" s="458"/>
      <c r="E98" s="458"/>
      <c r="F98" s="458"/>
      <c r="G98" s="458"/>
      <c r="H98" s="458"/>
      <c r="I98" s="458"/>
      <c r="J98" s="459"/>
      <c r="K98" s="150"/>
      <c r="U98" s="338"/>
      <c r="V98" s="338"/>
    </row>
    <row r="99" spans="1:24" x14ac:dyDescent="0.25">
      <c r="A99" s="325">
        <f t="shared" ref="A99:A106" si="58">A44</f>
        <v>2010</v>
      </c>
      <c r="B99" s="319">
        <f>'Summary CND'!B13/1000000</f>
        <v>396.266835394981</v>
      </c>
      <c r="C99" s="319">
        <f>'Summary CND'!B17/1000000</f>
        <v>163.47989281864901</v>
      </c>
      <c r="D99" s="319">
        <f>'Summary CND'!B21/1000000</f>
        <v>426.51375556307801</v>
      </c>
      <c r="E99" s="319">
        <f>'Summary CND'!B26/1000000</f>
        <v>220.91766845862401</v>
      </c>
      <c r="F99" s="319">
        <f>'Summary CND'!B31/1000000</f>
        <v>196.557280622706</v>
      </c>
      <c r="G99" s="319">
        <f>'Summary CND'!B40/1000000</f>
        <v>9.5192059225450993</v>
      </c>
      <c r="H99" s="319">
        <f>'Summary CND'!B45/1000000</f>
        <v>2.1302419105078498</v>
      </c>
      <c r="I99" s="319">
        <f>'Rate Class Energy Model'!S6/1000000</f>
        <v>13.614985119719499</v>
      </c>
      <c r="J99" s="319">
        <f t="shared" ref="J99:J106" si="59">SUM(B99:I99)</f>
        <v>1428.9998658108107</v>
      </c>
      <c r="K99" s="150"/>
      <c r="R99" s="150"/>
      <c r="S99" s="150"/>
      <c r="T99" s="150"/>
      <c r="U99" s="150"/>
      <c r="V99" s="150"/>
      <c r="W99" s="150"/>
      <c r="X99" s="150"/>
    </row>
    <row r="100" spans="1:24" x14ac:dyDescent="0.25">
      <c r="A100" s="325">
        <f t="shared" si="58"/>
        <v>2011</v>
      </c>
      <c r="B100" s="319">
        <f>'Summary CND'!C13/1000000</f>
        <v>396.55672036740702</v>
      </c>
      <c r="C100" s="319">
        <f>'Summary CND'!C17/1000000</f>
        <v>158.32206924360298</v>
      </c>
      <c r="D100" s="319">
        <f>'Summary CND'!C21/1000000</f>
        <v>437.15903608214199</v>
      </c>
      <c r="E100" s="319">
        <f>'Summary CND'!C26/1000000</f>
        <v>240.76717487713</v>
      </c>
      <c r="F100" s="319">
        <f>'Summary CND'!C31/1000000</f>
        <v>169.19580019187001</v>
      </c>
      <c r="G100" s="319">
        <f>'Summary CND'!C40/1000000</f>
        <v>9.5194855138937502</v>
      </c>
      <c r="H100" s="319">
        <f>'Summary CND'!C45/1000000</f>
        <v>2.0676105874618398</v>
      </c>
      <c r="I100" s="319">
        <f>'Rate Class Energy Model'!S7/1000000</f>
        <v>13.4785937449254</v>
      </c>
      <c r="J100" s="319">
        <f t="shared" si="59"/>
        <v>1427.0664906084326</v>
      </c>
      <c r="K100" s="150"/>
      <c r="U100" s="338"/>
      <c r="V100" s="338"/>
    </row>
    <row r="101" spans="1:24" x14ac:dyDescent="0.25">
      <c r="A101" s="325">
        <f t="shared" si="58"/>
        <v>2012</v>
      </c>
      <c r="B101" s="319">
        <f>'Summary CND'!D13/1000000</f>
        <v>399.58757813183598</v>
      </c>
      <c r="C101" s="319">
        <f>'Summary CND'!D17/1000000</f>
        <v>158.595034376005</v>
      </c>
      <c r="D101" s="319">
        <f>'Summary CND'!D21/1000000</f>
        <v>437.40127948903603</v>
      </c>
      <c r="E101" s="319">
        <f>'Summary CND'!D26/1000000</f>
        <v>226.22993917028799</v>
      </c>
      <c r="F101" s="319">
        <f>'Summary CND'!D31/1000000</f>
        <v>201.18950521249999</v>
      </c>
      <c r="G101" s="319">
        <f>'Summary CND'!D40/1000000</f>
        <v>9.6451711912231399</v>
      </c>
      <c r="H101" s="319">
        <f>'Summary CND'!D45/1000000</f>
        <v>2.0153895967450501</v>
      </c>
      <c r="I101" s="319">
        <f>'Rate Class Energy Model'!S8/1000000</f>
        <v>13.008528857421899</v>
      </c>
      <c r="J101" s="319">
        <f t="shared" si="59"/>
        <v>1447.6724260250553</v>
      </c>
      <c r="K101" s="150"/>
      <c r="U101" s="338"/>
      <c r="V101" s="338"/>
    </row>
    <row r="102" spans="1:24" x14ac:dyDescent="0.25">
      <c r="A102" s="325">
        <f t="shared" si="58"/>
        <v>2013</v>
      </c>
      <c r="B102" s="319">
        <f>'Summary CND'!E13/1000000</f>
        <v>384.91668752999999</v>
      </c>
      <c r="C102" s="319">
        <f>'Summary CND'!E17/1000000</f>
        <v>156.59062641999998</v>
      </c>
      <c r="D102" s="319">
        <f>'Summary CND'!E21/1000000</f>
        <v>452.35752244387101</v>
      </c>
      <c r="E102" s="319">
        <f>'Summary CND'!E26/1000000</f>
        <v>239.33919017000002</v>
      </c>
      <c r="F102" s="319">
        <f>'Summary CND'!E31/1000000</f>
        <v>204.90625695999998</v>
      </c>
      <c r="G102" s="319">
        <f>'Summary CND'!E40/1000000</f>
        <v>9.5663498299999983</v>
      </c>
      <c r="H102" s="319">
        <f>'Summary CND'!E45/1000000</f>
        <v>1.9885768189845479</v>
      </c>
      <c r="I102" s="319">
        <f>'Rate Class Energy Model'!S9/1000000</f>
        <v>13.17671122</v>
      </c>
      <c r="J102" s="319">
        <f t="shared" si="59"/>
        <v>1462.8419213928555</v>
      </c>
      <c r="K102" s="150"/>
      <c r="U102" s="338"/>
      <c r="V102" s="338"/>
    </row>
    <row r="103" spans="1:24" x14ac:dyDescent="0.25">
      <c r="A103" s="325">
        <f t="shared" si="58"/>
        <v>2014</v>
      </c>
      <c r="B103" s="319">
        <f>'Summary CND'!F13/1000000</f>
        <v>395.48027008000003</v>
      </c>
      <c r="C103" s="319">
        <f>'Summary CND'!F17/1000000</f>
        <v>160.54397072</v>
      </c>
      <c r="D103" s="319">
        <f>'Summary CND'!F21/1000000</f>
        <v>426.49539096838708</v>
      </c>
      <c r="E103" s="319">
        <f>'Summary CND'!F26/1000000</f>
        <v>232.44655461000002</v>
      </c>
      <c r="F103" s="319">
        <f>'Summary CND'!F31/1000000</f>
        <v>205.26539456999998</v>
      </c>
      <c r="G103" s="319">
        <f>'Summary CND'!F40/1000000</f>
        <v>9.6966344700000011</v>
      </c>
      <c r="H103" s="319">
        <f>'Summary CND'!F45/1000000</f>
        <v>2.0093739548110632</v>
      </c>
      <c r="I103" s="319">
        <f>'Rate Class Energy Model'!S10/1000000</f>
        <v>13.845907199999999</v>
      </c>
      <c r="J103" s="319">
        <f t="shared" si="59"/>
        <v>1445.7834965731981</v>
      </c>
      <c r="K103" s="150"/>
      <c r="U103" s="338"/>
      <c r="V103" s="338"/>
    </row>
    <row r="104" spans="1:24" x14ac:dyDescent="0.25">
      <c r="A104" s="325">
        <f t="shared" si="58"/>
        <v>2015</v>
      </c>
      <c r="B104" s="319">
        <f>'Summary CND'!G13/1000000</f>
        <v>401.33202195999996</v>
      </c>
      <c r="C104" s="319">
        <f>'Summary CND'!G17/1000000</f>
        <v>167.15150362</v>
      </c>
      <c r="D104" s="319">
        <f>'Summary CND'!G21/1000000</f>
        <v>436.41595241462062</v>
      </c>
      <c r="E104" s="319">
        <f>'Summary CND'!G26/1000000</f>
        <v>227.44990825904668</v>
      </c>
      <c r="F104" s="319">
        <f>'Summary CND'!G31/1000000</f>
        <v>207.37436159000001</v>
      </c>
      <c r="G104" s="319">
        <f>'Summary CND'!G40/1000000</f>
        <v>9.6966333400000018</v>
      </c>
      <c r="H104" s="319">
        <f>'Summary CND'!G45/1000000</f>
        <v>1.9735387725536495</v>
      </c>
      <c r="I104" s="319">
        <f>'Rate Class Energy Model'!S11/1000000</f>
        <v>13.5482025</v>
      </c>
      <c r="J104" s="319">
        <f t="shared" si="59"/>
        <v>1464.9421224562209</v>
      </c>
      <c r="K104" s="150"/>
      <c r="U104" s="338"/>
      <c r="V104" s="338"/>
    </row>
    <row r="105" spans="1:24" x14ac:dyDescent="0.25">
      <c r="A105" s="325">
        <f t="shared" si="58"/>
        <v>2016</v>
      </c>
      <c r="B105" s="319">
        <f>'Summary CND'!$H$13/1000000</f>
        <v>396.5710297289001</v>
      </c>
      <c r="C105" s="319">
        <f>'Summary CND'!$H$17/1000000</f>
        <v>170.12586685190004</v>
      </c>
      <c r="D105" s="319">
        <f>'Summary CND'!$H$21/1000000</f>
        <v>416.11489805560007</v>
      </c>
      <c r="E105" s="319">
        <f>'Summary CND'!$H$26/1000000</f>
        <v>223.12701506999997</v>
      </c>
      <c r="F105" s="319">
        <f>'Summary CND'!$H$31/1000000</f>
        <v>151.25031181999995</v>
      </c>
      <c r="G105" s="319">
        <f>'Summary CND'!$H$40/1000000</f>
        <v>9.6466468700000245</v>
      </c>
      <c r="H105" s="319">
        <f>'Summary CND'!$H$45/1000000</f>
        <v>1.9261799999999996</v>
      </c>
      <c r="I105" s="319">
        <f>'Rate Class Energy Model'!$S$12/1000000</f>
        <v>13.027612079999994</v>
      </c>
      <c r="J105" s="319">
        <f t="shared" si="59"/>
        <v>1381.7895604764001</v>
      </c>
      <c r="K105" s="150"/>
      <c r="U105" s="338"/>
      <c r="V105" s="338"/>
    </row>
    <row r="106" spans="1:24" x14ac:dyDescent="0.25">
      <c r="A106" s="325">
        <f t="shared" si="58"/>
        <v>2017</v>
      </c>
      <c r="B106" s="319">
        <f>'Summary CND'!$I$13/1000000</f>
        <v>374.24765830999996</v>
      </c>
      <c r="C106" s="319">
        <f>'Summary CND'!$I$17/1000000</f>
        <v>152.25131046000001</v>
      </c>
      <c r="D106" s="319">
        <f>'Summary CND'!$I$21/1000000</f>
        <v>424.07267995784116</v>
      </c>
      <c r="E106" s="319">
        <f>'Summary CND'!$I$26/1000000</f>
        <v>207.21161607262493</v>
      </c>
      <c r="F106" s="319">
        <f>'Summary CND'!$I$31/1000000</f>
        <v>146.22638816</v>
      </c>
      <c r="G106" s="319">
        <f>'Summary CND'!$I$40/1000000</f>
        <v>7.6278524800000005</v>
      </c>
      <c r="H106" s="319">
        <f>'Summary CND'!$I$45/1000000</f>
        <v>1.8558359970972422</v>
      </c>
      <c r="I106" s="319">
        <f>'Rate Class Energy Model'!S13/1000000</f>
        <v>12.605162219999999</v>
      </c>
      <c r="J106" s="319">
        <f t="shared" si="59"/>
        <v>1326.0985036575632</v>
      </c>
      <c r="K106" s="150"/>
      <c r="U106" s="338"/>
      <c r="V106" s="338"/>
    </row>
    <row r="107" spans="1:24" x14ac:dyDescent="0.25">
      <c r="A107" s="460"/>
      <c r="B107" s="461"/>
      <c r="C107" s="461"/>
      <c r="D107" s="461"/>
      <c r="E107" s="461"/>
      <c r="F107" s="461"/>
      <c r="G107" s="461"/>
      <c r="H107" s="461"/>
      <c r="I107" s="461"/>
      <c r="J107" s="462"/>
      <c r="U107" s="338"/>
      <c r="V107" s="338"/>
    </row>
    <row r="108" spans="1:24" ht="12.75" customHeight="1" x14ac:dyDescent="0.25">
      <c r="A108" s="457" t="s">
        <v>231</v>
      </c>
      <c r="B108" s="458"/>
      <c r="C108" s="458"/>
      <c r="D108" s="458"/>
      <c r="E108" s="458"/>
      <c r="F108" s="458"/>
      <c r="G108" s="458"/>
      <c r="H108" s="458"/>
      <c r="I108" s="458"/>
      <c r="J108" s="459"/>
      <c r="U108" s="338"/>
      <c r="V108" s="338"/>
    </row>
    <row r="109" spans="1:24" x14ac:dyDescent="0.25">
      <c r="A109" s="325">
        <f>A99</f>
        <v>2010</v>
      </c>
      <c r="B109" s="327">
        <f>B99*F249</f>
        <v>394.60833798062038</v>
      </c>
      <c r="C109" s="327">
        <f>C99*F249</f>
        <v>162.79567966901857</v>
      </c>
      <c r="D109" s="327">
        <f>D99*F249</f>
        <v>424.72866557419331</v>
      </c>
      <c r="E109" s="327">
        <f>E99*F249</f>
        <v>219.9930607216177</v>
      </c>
      <c r="F109" s="327">
        <f>F99*F249</f>
        <v>195.73462852929632</v>
      </c>
      <c r="G109" s="327">
        <f>G99*F249</f>
        <v>9.4793651460804949</v>
      </c>
      <c r="H109" s="327">
        <f>H99*F249</f>
        <v>2.1213261992119037</v>
      </c>
      <c r="I109" s="327">
        <f>I99*F249</f>
        <v>13.558002259685033</v>
      </c>
      <c r="J109" s="319">
        <f t="shared" ref="J109:J117" si="60">SUM(B109:I109)</f>
        <v>1423.0190660797236</v>
      </c>
      <c r="U109" s="338"/>
      <c r="V109" s="338"/>
    </row>
    <row r="110" spans="1:24" x14ac:dyDescent="0.25">
      <c r="A110" s="325">
        <f t="shared" ref="A110:A113" si="61">A100</f>
        <v>2011</v>
      </c>
      <c r="B110" s="327">
        <f>B100*F250</f>
        <v>395.1145229703518</v>
      </c>
      <c r="C110" s="327">
        <f>C100*F250</f>
        <v>157.74628357554528</v>
      </c>
      <c r="D110" s="327">
        <f>D100*F250</f>
        <v>435.56917619185265</v>
      </c>
      <c r="E110" s="327">
        <f>E100*F250</f>
        <v>239.89155286628014</v>
      </c>
      <c r="F110" s="327">
        <f>F100*F250</f>
        <v>168.58046894139136</v>
      </c>
      <c r="G110" s="327">
        <f>G100*F250</f>
        <v>9.4848650509831156</v>
      </c>
      <c r="H110" s="327">
        <f>H100*F250</f>
        <v>2.0600911017131214</v>
      </c>
      <c r="I110" s="327">
        <f>I100*F250</f>
        <v>13.429574798034558</v>
      </c>
      <c r="J110" s="319">
        <f t="shared" si="60"/>
        <v>1421.8765354961522</v>
      </c>
      <c r="U110" s="338"/>
      <c r="V110" s="338"/>
    </row>
    <row r="111" spans="1:24" x14ac:dyDescent="0.25">
      <c r="A111" s="325">
        <f t="shared" si="61"/>
        <v>2012</v>
      </c>
      <c r="B111" s="327">
        <f>B101*F251</f>
        <v>397.09348311489651</v>
      </c>
      <c r="C111" s="327">
        <f>C101*F251</f>
        <v>157.6051360243149</v>
      </c>
      <c r="D111" s="327">
        <f>D101*F251</f>
        <v>434.67116371147142</v>
      </c>
      <c r="E111" s="327">
        <f>E101*F251</f>
        <v>224.81788585620581</v>
      </c>
      <c r="F111" s="327">
        <f>F101*F251</f>
        <v>199.93374610017477</v>
      </c>
      <c r="G111" s="327">
        <f>G101*F251</f>
        <v>9.5849691861507473</v>
      </c>
      <c r="H111" s="327">
        <f>H101*F251</f>
        <v>2.0028101938168263</v>
      </c>
      <c r="I111" s="327">
        <f>I101*F251</f>
        <v>12.927333873451939</v>
      </c>
      <c r="J111" s="319">
        <f t="shared" si="60"/>
        <v>1438.6365280604832</v>
      </c>
      <c r="U111" s="338"/>
      <c r="V111" s="338"/>
    </row>
    <row r="112" spans="1:24" x14ac:dyDescent="0.25">
      <c r="A112" s="325">
        <f t="shared" si="61"/>
        <v>2013</v>
      </c>
      <c r="B112" s="327">
        <f>B102*F252</f>
        <v>383.85166686869752</v>
      </c>
      <c r="C112" s="327">
        <f>C102*F252</f>
        <v>156.15735798060399</v>
      </c>
      <c r="D112" s="327">
        <f>D102*F252</f>
        <v>451.10590066880633</v>
      </c>
      <c r="E112" s="327">
        <f>E102*F252</f>
        <v>238.67696587355255</v>
      </c>
      <c r="F112" s="327">
        <f>F102*F252</f>
        <v>204.33930467042032</v>
      </c>
      <c r="G112" s="327">
        <f>G102*F252</f>
        <v>9.5398808289089416</v>
      </c>
      <c r="H112" s="327">
        <f>H102*F252</f>
        <v>1.9830746532759214</v>
      </c>
      <c r="I112" s="327">
        <f>I102*F252</f>
        <v>13.140252759891739</v>
      </c>
      <c r="J112" s="319">
        <f t="shared" si="60"/>
        <v>1458.7944043041573</v>
      </c>
      <c r="U112" s="338"/>
      <c r="V112" s="338"/>
    </row>
    <row r="113" spans="1:24" x14ac:dyDescent="0.25">
      <c r="A113" s="325">
        <f t="shared" si="61"/>
        <v>2014</v>
      </c>
      <c r="B113" s="327">
        <f>B103*F253</f>
        <v>398.7732649925756</v>
      </c>
      <c r="C113" s="327">
        <f>C103*F253</f>
        <v>161.88075163885267</v>
      </c>
      <c r="D113" s="327">
        <f>D103*F253</f>
        <v>430.0466355157111</v>
      </c>
      <c r="E113" s="327">
        <f>E103*F253</f>
        <v>234.3820375649945</v>
      </c>
      <c r="F113" s="327">
        <f>F103*F253</f>
        <v>206.97455164099648</v>
      </c>
      <c r="G113" s="327">
        <f>G103*F253</f>
        <v>9.7773741943163515</v>
      </c>
      <c r="H113" s="327">
        <f>H103*F253</f>
        <v>2.0261051515641055</v>
      </c>
      <c r="I113" s="327">
        <f>I103*F253</f>
        <v>13.961196142126925</v>
      </c>
      <c r="J113" s="319">
        <f t="shared" si="60"/>
        <v>1457.8219168411376</v>
      </c>
      <c r="U113" s="338"/>
      <c r="V113" s="338"/>
    </row>
    <row r="114" spans="1:24" x14ac:dyDescent="0.25">
      <c r="A114" s="325" t="s">
        <v>255</v>
      </c>
      <c r="B114" s="327">
        <v>400.64608843738563</v>
      </c>
      <c r="C114" s="327">
        <v>155.6074172360687</v>
      </c>
      <c r="D114" s="327">
        <v>434.54808930767496</v>
      </c>
      <c r="E114" s="327">
        <v>221.36980697822429</v>
      </c>
      <c r="F114" s="327">
        <v>207.07234900780674</v>
      </c>
      <c r="G114" s="327">
        <v>9.5944394543452542</v>
      </c>
      <c r="H114" s="327">
        <v>1.7468951152104537</v>
      </c>
      <c r="I114" s="327">
        <f>12613577/1000000</f>
        <v>12.613576999999999</v>
      </c>
      <c r="J114" s="319">
        <f t="shared" si="60"/>
        <v>1443.198662536716</v>
      </c>
      <c r="U114" s="338"/>
      <c r="V114" s="338"/>
    </row>
    <row r="115" spans="1:24" x14ac:dyDescent="0.25">
      <c r="A115" s="325">
        <f>A104</f>
        <v>2015</v>
      </c>
      <c r="B115" s="327">
        <f>B104*F254</f>
        <v>401.56723507255418</v>
      </c>
      <c r="C115" s="327">
        <f>C104*F254</f>
        <v>167.24946795696613</v>
      </c>
      <c r="D115" s="327">
        <f>D104*F254</f>
        <v>436.67172755569817</v>
      </c>
      <c r="E115" s="327">
        <f>E104*F254</f>
        <v>227.58321235128062</v>
      </c>
      <c r="F115" s="327">
        <f>F104*F254</f>
        <v>207.49589978377611</v>
      </c>
      <c r="G115" s="327">
        <f>G104*F254</f>
        <v>9.7023163535259602</v>
      </c>
      <c r="H115" s="327">
        <f>H104*F254</f>
        <v>1.974695426326682</v>
      </c>
      <c r="I115" s="327">
        <f>I104*F254</f>
        <v>13.556142845412701</v>
      </c>
      <c r="J115" s="319">
        <f t="shared" si="60"/>
        <v>1465.8006973455408</v>
      </c>
      <c r="U115" s="338"/>
      <c r="V115" s="338"/>
    </row>
    <row r="116" spans="1:24" x14ac:dyDescent="0.25">
      <c r="A116" s="325">
        <f>A105</f>
        <v>2016</v>
      </c>
      <c r="B116" s="327">
        <f>B105*F255</f>
        <v>391.31791251628647</v>
      </c>
      <c r="C116" s="327">
        <f>C105*F255</f>
        <v>167.8723206962934</v>
      </c>
      <c r="D116" s="327">
        <f>D105*F255</f>
        <v>410.60289599409009</v>
      </c>
      <c r="E116" s="327">
        <f>E105*F255</f>
        <v>220.17139734808876</v>
      </c>
      <c r="F116" s="327">
        <f>F105*F255</f>
        <v>149.24679780391568</v>
      </c>
      <c r="G116" s="327">
        <f>G105*F255</f>
        <v>9.5188640444329522</v>
      </c>
      <c r="H116" s="327">
        <f>H105*F255</f>
        <v>1.9006651525853784</v>
      </c>
      <c r="I116" s="327">
        <f>I105*F255</f>
        <v>12.855043818260137</v>
      </c>
      <c r="J116" s="319">
        <f t="shared" si="60"/>
        <v>1363.4858973739531</v>
      </c>
      <c r="U116" s="338"/>
      <c r="V116" s="338"/>
    </row>
    <row r="117" spans="1:24" x14ac:dyDescent="0.25">
      <c r="A117" s="325">
        <f>A106</f>
        <v>2017</v>
      </c>
      <c r="B117" s="327">
        <f>B106*F256</f>
        <v>376.87317041503007</v>
      </c>
      <c r="C117" s="327">
        <f>C106*F256</f>
        <v>153.31942043943056</v>
      </c>
      <c r="D117" s="327">
        <f>D106*F256</f>
        <v>427.04773652778664</v>
      </c>
      <c r="E117" s="327">
        <f>E106*F256</f>
        <v>208.6652967950595</v>
      </c>
      <c r="F117" s="327">
        <f>F106*F256</f>
        <v>147.25223065671082</v>
      </c>
      <c r="G117" s="327">
        <f>G106*F256</f>
        <v>7.681365223705761</v>
      </c>
      <c r="H117" s="327">
        <f>H106*F256</f>
        <v>1.868855503745146</v>
      </c>
      <c r="I117" s="327">
        <f>I106*F256</f>
        <v>12.693592983051198</v>
      </c>
      <c r="J117" s="319">
        <f t="shared" si="60"/>
        <v>1335.4016685445199</v>
      </c>
      <c r="U117" s="338"/>
      <c r="V117" s="338"/>
    </row>
    <row r="118" spans="1:24" x14ac:dyDescent="0.25">
      <c r="A118" s="329"/>
      <c r="B118" s="330"/>
      <c r="C118" s="330"/>
      <c r="D118" s="330"/>
      <c r="E118" s="331"/>
      <c r="F118" s="330"/>
      <c r="G118" s="330"/>
      <c r="H118" s="330"/>
      <c r="I118" s="330"/>
      <c r="J118" s="330"/>
      <c r="V118" s="338"/>
      <c r="W118" s="338"/>
      <c r="X118" s="338"/>
    </row>
    <row r="119" spans="1:24" x14ac:dyDescent="0.25">
      <c r="A119" s="450" t="s">
        <v>345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V119" s="338"/>
      <c r="W119" s="338"/>
      <c r="X119" s="338"/>
    </row>
    <row r="120" spans="1:24" ht="60" x14ac:dyDescent="0.25">
      <c r="A120" s="418" t="str">
        <f t="shared" ref="A120:J120" si="62">A97</f>
        <v>Year</v>
      </c>
      <c r="B120" s="419" t="str">
        <f t="shared" si="62"/>
        <v xml:space="preserve">Residential </v>
      </c>
      <c r="C120" s="419" t="str">
        <f t="shared" si="62"/>
        <v>General Service &lt; 50 kW</v>
      </c>
      <c r="D120" s="419" t="str">
        <f t="shared" si="62"/>
        <v>General Service &gt; 50 to 999 kW</v>
      </c>
      <c r="E120" s="419" t="str">
        <f t="shared" si="62"/>
        <v>General Service &gt; 1000 to 4999 kW</v>
      </c>
      <c r="F120" s="419" t="str">
        <f t="shared" si="62"/>
        <v>Large User</v>
      </c>
      <c r="G120" s="417" t="str">
        <f t="shared" si="62"/>
        <v>Street Lights</v>
      </c>
      <c r="H120" s="417" t="str">
        <f t="shared" si="62"/>
        <v xml:space="preserve">Unmetered Loads </v>
      </c>
      <c r="I120" s="417" t="str">
        <f t="shared" si="62"/>
        <v>Embedded Distributor - Hydro One, CND</v>
      </c>
      <c r="J120" s="417" t="str">
        <f t="shared" si="62"/>
        <v>Total</v>
      </c>
      <c r="U120" s="338"/>
      <c r="V120" s="338"/>
    </row>
    <row r="121" spans="1:24" x14ac:dyDescent="0.25">
      <c r="A121" s="444" t="s">
        <v>203</v>
      </c>
      <c r="B121" s="444"/>
      <c r="C121" s="444"/>
      <c r="D121" s="444"/>
      <c r="E121" s="444"/>
      <c r="F121" s="444"/>
      <c r="G121" s="444"/>
      <c r="H121" s="444"/>
      <c r="I121" s="444"/>
      <c r="J121" s="444"/>
      <c r="U121" s="338"/>
      <c r="V121" s="338"/>
    </row>
    <row r="122" spans="1:24" x14ac:dyDescent="0.25">
      <c r="A122" s="325">
        <f>A109</f>
        <v>2010</v>
      </c>
      <c r="B122" s="333">
        <f>'Summary CND'!B12</f>
        <v>44920.5</v>
      </c>
      <c r="C122" s="333">
        <f>'Summary CND'!B16</f>
        <v>4604</v>
      </c>
      <c r="D122" s="333">
        <f>'Summary CND'!B20</f>
        <v>708</v>
      </c>
      <c r="E122" s="333">
        <f>'Summary CND'!B25</f>
        <v>26</v>
      </c>
      <c r="F122" s="333">
        <f>'Summary CND'!B30</f>
        <v>2</v>
      </c>
      <c r="G122" s="333">
        <f>'Summary CND'!B39</f>
        <v>12558.5</v>
      </c>
      <c r="H122" s="333">
        <f>'Summary CND'!B44</f>
        <v>537.5</v>
      </c>
      <c r="I122" s="333">
        <v>2</v>
      </c>
      <c r="J122" s="333">
        <f t="shared" ref="J122:J130" si="63">SUM(B122:I122)</f>
        <v>63358.5</v>
      </c>
      <c r="K122" s="150"/>
      <c r="U122" s="338"/>
      <c r="V122" s="338"/>
    </row>
    <row r="123" spans="1:24" x14ac:dyDescent="0.25">
      <c r="A123" s="325">
        <f>A110</f>
        <v>2011</v>
      </c>
      <c r="B123" s="333">
        <f>'Summary CND'!C12</f>
        <v>45780.5</v>
      </c>
      <c r="C123" s="333">
        <f>'Summary CND'!C16</f>
        <v>4629.5</v>
      </c>
      <c r="D123" s="333">
        <f>'Summary CND'!C20</f>
        <v>723.5</v>
      </c>
      <c r="E123" s="333">
        <f>'Summary CND'!C25</f>
        <v>28</v>
      </c>
      <c r="F123" s="333">
        <f>'Summary CND'!C30</f>
        <v>2</v>
      </c>
      <c r="G123" s="333">
        <f>'Summary CND'!C39</f>
        <v>12623.5</v>
      </c>
      <c r="H123" s="333">
        <f>'Summary CND'!C44</f>
        <v>514.5</v>
      </c>
      <c r="I123" s="333">
        <v>2</v>
      </c>
      <c r="J123" s="333">
        <f t="shared" si="63"/>
        <v>64303.5</v>
      </c>
      <c r="K123" s="150"/>
      <c r="U123" s="338"/>
      <c r="V123" s="338"/>
    </row>
    <row r="124" spans="1:24" x14ac:dyDescent="0.25">
      <c r="A124" s="325">
        <f>A111</f>
        <v>2012</v>
      </c>
      <c r="B124" s="333">
        <f>'Summary CND'!D12</f>
        <v>46283.5</v>
      </c>
      <c r="C124" s="333">
        <f>'Summary CND'!D16</f>
        <v>4661</v>
      </c>
      <c r="D124" s="333">
        <f>'Summary CND'!D20</f>
        <v>736.5</v>
      </c>
      <c r="E124" s="333">
        <f>'Summary CND'!D25</f>
        <v>27</v>
      </c>
      <c r="F124" s="333">
        <f>'Summary CND'!D30</f>
        <v>2</v>
      </c>
      <c r="G124" s="333">
        <f>'Summary CND'!D39</f>
        <v>12722</v>
      </c>
      <c r="H124" s="333">
        <f>'Summary CND'!D44</f>
        <v>490.5</v>
      </c>
      <c r="I124" s="333">
        <v>2</v>
      </c>
      <c r="J124" s="333">
        <f t="shared" si="63"/>
        <v>64924.5</v>
      </c>
      <c r="K124" s="150"/>
      <c r="U124" s="338"/>
      <c r="V124" s="338"/>
    </row>
    <row r="125" spans="1:24" x14ac:dyDescent="0.25">
      <c r="A125" s="325">
        <f>A112</f>
        <v>2013</v>
      </c>
      <c r="B125" s="333">
        <f>'Summary CND'!E12</f>
        <v>46638</v>
      </c>
      <c r="C125" s="333">
        <f>'Summary CND'!E16</f>
        <v>4696</v>
      </c>
      <c r="D125" s="333">
        <f>'Summary CND'!E20</f>
        <v>736</v>
      </c>
      <c r="E125" s="333">
        <f>'Summary CND'!E25</f>
        <v>24.5</v>
      </c>
      <c r="F125" s="333">
        <f>'Summary CND'!E30</f>
        <v>2.5</v>
      </c>
      <c r="G125" s="333">
        <f>'Summary CND'!E39</f>
        <v>12813.073785272187</v>
      </c>
      <c r="H125" s="333">
        <f>'Summary CND'!E44</f>
        <v>486.5</v>
      </c>
      <c r="I125" s="333">
        <v>2</v>
      </c>
      <c r="J125" s="333">
        <f t="shared" si="63"/>
        <v>65398.573785272187</v>
      </c>
      <c r="K125" s="150"/>
      <c r="U125" s="338"/>
      <c r="V125" s="338"/>
    </row>
    <row r="126" spans="1:24" x14ac:dyDescent="0.25">
      <c r="A126" s="325">
        <f>A113</f>
        <v>2014</v>
      </c>
      <c r="B126" s="333">
        <f>'Summary CND'!F12</f>
        <v>46943.5</v>
      </c>
      <c r="C126" s="333">
        <f>'Summary CND'!F16</f>
        <v>4759</v>
      </c>
      <c r="D126" s="333">
        <f>'Summary CND'!F20</f>
        <v>719</v>
      </c>
      <c r="E126" s="333">
        <f>'Summary CND'!F25</f>
        <v>24</v>
      </c>
      <c r="F126" s="333">
        <f>'Summary CND'!F30</f>
        <v>2.5</v>
      </c>
      <c r="G126" s="333">
        <f>'Summary CND'!F39</f>
        <v>12872.073785272187</v>
      </c>
      <c r="H126" s="333">
        <f>'Summary CND'!F44</f>
        <v>482</v>
      </c>
      <c r="I126" s="333">
        <v>2</v>
      </c>
      <c r="J126" s="333">
        <f t="shared" si="63"/>
        <v>65804.073785272194</v>
      </c>
      <c r="K126" s="150"/>
      <c r="U126" s="338"/>
      <c r="V126" s="338"/>
    </row>
    <row r="127" spans="1:24" x14ac:dyDescent="0.25">
      <c r="A127" s="325" t="s">
        <v>255</v>
      </c>
      <c r="B127" s="333">
        <v>48091</v>
      </c>
      <c r="C127" s="333">
        <v>4740</v>
      </c>
      <c r="D127" s="333">
        <v>773</v>
      </c>
      <c r="E127" s="333">
        <v>27</v>
      </c>
      <c r="F127" s="333">
        <v>2</v>
      </c>
      <c r="G127" s="333">
        <v>12997</v>
      </c>
      <c r="H127" s="333">
        <v>482</v>
      </c>
      <c r="I127" s="333">
        <v>2</v>
      </c>
      <c r="J127" s="333">
        <f t="shared" si="63"/>
        <v>67114</v>
      </c>
      <c r="K127" s="150"/>
      <c r="U127" s="338"/>
      <c r="V127" s="338"/>
    </row>
    <row r="128" spans="1:24" x14ac:dyDescent="0.25">
      <c r="A128" s="325">
        <f>A115</f>
        <v>2015</v>
      </c>
      <c r="B128" s="333">
        <f>'Summary CND'!G12</f>
        <v>47322</v>
      </c>
      <c r="C128" s="333">
        <f>'Summary CND'!G16</f>
        <v>4851.5</v>
      </c>
      <c r="D128" s="333">
        <f>'Summary CND'!G20</f>
        <v>695.93676085582752</v>
      </c>
      <c r="E128" s="333">
        <f>'Summary CND'!G25</f>
        <v>23.5</v>
      </c>
      <c r="F128" s="333">
        <f>'Summary CND'!G30</f>
        <v>2</v>
      </c>
      <c r="G128" s="333">
        <f>'Summary CND'!G39</f>
        <v>12898.5</v>
      </c>
      <c r="H128" s="333">
        <f>'Summary CND'!G44</f>
        <v>485</v>
      </c>
      <c r="I128" s="333">
        <v>2</v>
      </c>
      <c r="J128" s="333">
        <f t="shared" si="63"/>
        <v>66280.436760855824</v>
      </c>
      <c r="K128" s="150"/>
      <c r="U128" s="338"/>
      <c r="V128" s="338"/>
    </row>
    <row r="129" spans="1:22" x14ac:dyDescent="0.25">
      <c r="A129" s="325">
        <f>A116</f>
        <v>2016</v>
      </c>
      <c r="B129" s="333">
        <f>'Summary CND'!$H$12</f>
        <v>47829.5</v>
      </c>
      <c r="C129" s="333">
        <f>'Summary CND'!$H$16</f>
        <v>4921</v>
      </c>
      <c r="D129" s="333">
        <f>'Summary CND'!$H$20</f>
        <v>692.93676085582752</v>
      </c>
      <c r="E129" s="333">
        <f>'Summary CND'!$H$25</f>
        <v>22.5</v>
      </c>
      <c r="F129" s="333">
        <f>'Summary CND'!$H$30</f>
        <v>2</v>
      </c>
      <c r="G129" s="333">
        <f>'Summary CND'!$H$39</f>
        <v>12942.5</v>
      </c>
      <c r="H129" s="333">
        <f>'Summary CND'!$H$44</f>
        <v>475</v>
      </c>
      <c r="I129" s="333">
        <v>2</v>
      </c>
      <c r="J129" s="333">
        <f t="shared" si="63"/>
        <v>66887.436760855824</v>
      </c>
      <c r="K129" s="150"/>
      <c r="U129" s="338"/>
      <c r="V129" s="338"/>
    </row>
    <row r="130" spans="1:22" x14ac:dyDescent="0.25">
      <c r="A130" s="325">
        <f>A117</f>
        <v>2017</v>
      </c>
      <c r="B130" s="333">
        <f>'Summary CND'!$I$12</f>
        <v>48376</v>
      </c>
      <c r="C130" s="333">
        <f>'Summary CND'!$I$16</f>
        <v>4958.5</v>
      </c>
      <c r="D130" s="333">
        <f>'Summary CND'!$I$20</f>
        <v>688.5</v>
      </c>
      <c r="E130" s="333">
        <f>'Summary CND'!$I$25</f>
        <v>22</v>
      </c>
      <c r="F130" s="333">
        <f>'Summary CND'!$I$30</f>
        <v>2</v>
      </c>
      <c r="G130" s="333">
        <f>'Summary CND'!$I$39</f>
        <v>13094.5</v>
      </c>
      <c r="H130" s="333">
        <f>'Summary CND'!$I$44</f>
        <v>452</v>
      </c>
      <c r="I130" s="333">
        <v>2</v>
      </c>
      <c r="J130" s="333">
        <f t="shared" si="63"/>
        <v>67595.5</v>
      </c>
      <c r="K130" s="150"/>
      <c r="U130" s="338"/>
      <c r="V130" s="338"/>
    </row>
    <row r="131" spans="1:22" x14ac:dyDescent="0.25">
      <c r="A131" s="445" t="s">
        <v>232</v>
      </c>
      <c r="B131" s="446"/>
      <c r="C131" s="446"/>
      <c r="D131" s="446"/>
      <c r="E131" s="446"/>
      <c r="F131" s="446"/>
      <c r="G131" s="446"/>
      <c r="H131" s="446"/>
      <c r="I131" s="447"/>
      <c r="J131" s="455"/>
      <c r="U131" s="338"/>
      <c r="V131" s="338"/>
    </row>
    <row r="132" spans="1:22" x14ac:dyDescent="0.25">
      <c r="A132" s="336">
        <f>A122</f>
        <v>2010</v>
      </c>
      <c r="B132" s="337">
        <f t="shared" ref="B132:I136" si="64">B99*1000000/B122</f>
        <v>8821.514350797097</v>
      </c>
      <c r="C132" s="337">
        <f t="shared" si="64"/>
        <v>35508.230412391182</v>
      </c>
      <c r="D132" s="337">
        <f t="shared" si="64"/>
        <v>602420.55870491243</v>
      </c>
      <c r="E132" s="337">
        <f t="shared" si="64"/>
        <v>8496833.4022547696</v>
      </c>
      <c r="F132" s="337">
        <f t="shared" si="64"/>
        <v>98278640.311352998</v>
      </c>
      <c r="G132" s="337">
        <f t="shared" si="64"/>
        <v>757.98908488633992</v>
      </c>
      <c r="H132" s="337">
        <f t="shared" si="64"/>
        <v>3963.2407637355345</v>
      </c>
      <c r="I132" s="337">
        <f t="shared" si="64"/>
        <v>6807492.5598597499</v>
      </c>
      <c r="J132" s="456"/>
      <c r="U132" s="338"/>
      <c r="V132" s="338"/>
    </row>
    <row r="133" spans="1:22" x14ac:dyDescent="0.25">
      <c r="A133" s="336">
        <f>A123</f>
        <v>2011</v>
      </c>
      <c r="B133" s="337">
        <f t="shared" si="64"/>
        <v>8662.1317016504199</v>
      </c>
      <c r="C133" s="337">
        <f t="shared" si="64"/>
        <v>34198.524515304678</v>
      </c>
      <c r="D133" s="337">
        <f t="shared" si="64"/>
        <v>604228.10792279476</v>
      </c>
      <c r="E133" s="337">
        <f t="shared" si="64"/>
        <v>8598827.6741832141</v>
      </c>
      <c r="F133" s="337">
        <f t="shared" si="64"/>
        <v>84597900.095935002</v>
      </c>
      <c r="G133" s="337">
        <f t="shared" si="64"/>
        <v>754.10825158583191</v>
      </c>
      <c r="H133" s="337">
        <f t="shared" si="64"/>
        <v>4018.6794702854031</v>
      </c>
      <c r="I133" s="337">
        <f t="shared" si="64"/>
        <v>6739296.8724627001</v>
      </c>
      <c r="J133" s="456"/>
      <c r="U133" s="338"/>
      <c r="V133" s="338"/>
    </row>
    <row r="134" spans="1:22" x14ac:dyDescent="0.25">
      <c r="A134" s="336">
        <f>A124</f>
        <v>2012</v>
      </c>
      <c r="B134" s="337">
        <f t="shared" si="64"/>
        <v>8633.4779809615957</v>
      </c>
      <c r="C134" s="337">
        <f t="shared" si="64"/>
        <v>34025.967469642783</v>
      </c>
      <c r="D134" s="337">
        <f t="shared" si="64"/>
        <v>593891.75762258796</v>
      </c>
      <c r="E134" s="337">
        <f t="shared" si="64"/>
        <v>8378886.6359365927</v>
      </c>
      <c r="F134" s="337">
        <f t="shared" si="64"/>
        <v>100594752.60625</v>
      </c>
      <c r="G134" s="337">
        <f t="shared" si="64"/>
        <v>758.14896959779446</v>
      </c>
      <c r="H134" s="337">
        <f t="shared" si="64"/>
        <v>4108.8472920388376</v>
      </c>
      <c r="I134" s="337">
        <f t="shared" si="64"/>
        <v>6504264.4287109496</v>
      </c>
      <c r="J134" s="456"/>
      <c r="U134" s="338"/>
      <c r="V134" s="338"/>
    </row>
    <row r="135" spans="1:22" x14ac:dyDescent="0.25">
      <c r="A135" s="336">
        <f>A125</f>
        <v>2013</v>
      </c>
      <c r="B135" s="337">
        <f t="shared" si="64"/>
        <v>8253.2846076161059</v>
      </c>
      <c r="C135" s="337">
        <f t="shared" si="64"/>
        <v>33345.533735093697</v>
      </c>
      <c r="D135" s="337">
        <f t="shared" si="64"/>
        <v>614616.1989726508</v>
      </c>
      <c r="E135" s="337">
        <f t="shared" si="64"/>
        <v>9768946.5375510212</v>
      </c>
      <c r="F135" s="337">
        <f t="shared" si="64"/>
        <v>81962502.783999994</v>
      </c>
      <c r="G135" s="337">
        <f t="shared" si="64"/>
        <v>746.60850240290574</v>
      </c>
      <c r="H135" s="337">
        <f t="shared" si="64"/>
        <v>4087.516585785299</v>
      </c>
      <c r="I135" s="337">
        <f t="shared" si="64"/>
        <v>6588355.6099999994</v>
      </c>
      <c r="J135" s="456"/>
      <c r="U135" s="338"/>
      <c r="V135" s="338"/>
    </row>
    <row r="136" spans="1:22" x14ac:dyDescent="0.25">
      <c r="A136" s="336">
        <f>A126</f>
        <v>2014</v>
      </c>
      <c r="B136" s="337">
        <f t="shared" si="64"/>
        <v>8424.6012777061787</v>
      </c>
      <c r="C136" s="337">
        <f t="shared" si="64"/>
        <v>33734.812086572812</v>
      </c>
      <c r="D136" s="337">
        <f t="shared" si="64"/>
        <v>593178.56880165101</v>
      </c>
      <c r="E136" s="337">
        <f t="shared" si="64"/>
        <v>9685273.1087500006</v>
      </c>
      <c r="F136" s="337">
        <f t="shared" si="64"/>
        <v>82106157.827999994</v>
      </c>
      <c r="G136" s="337">
        <f t="shared" si="64"/>
        <v>753.30786878292895</v>
      </c>
      <c r="H136" s="337">
        <f t="shared" si="64"/>
        <v>4168.8256323880978</v>
      </c>
      <c r="I136" s="337">
        <f t="shared" si="64"/>
        <v>6922953.5999999996</v>
      </c>
      <c r="J136" s="456"/>
      <c r="U136" s="338"/>
      <c r="V136" s="338"/>
    </row>
    <row r="137" spans="1:22" x14ac:dyDescent="0.25">
      <c r="A137" s="336">
        <f t="shared" ref="A137:A139" si="65">A128</f>
        <v>2015</v>
      </c>
      <c r="B137" s="337">
        <f t="shared" ref="B137:I139" si="66">B104*1000000/B128</f>
        <v>8480.8761666877981</v>
      </c>
      <c r="C137" s="337">
        <f t="shared" si="66"/>
        <v>34453.571806657739</v>
      </c>
      <c r="D137" s="337">
        <f t="shared" si="66"/>
        <v>627091.39243907528</v>
      </c>
      <c r="E137" s="337">
        <f t="shared" si="66"/>
        <v>9678719.500384964</v>
      </c>
      <c r="F137" s="337">
        <f t="shared" si="66"/>
        <v>103687180.795</v>
      </c>
      <c r="G137" s="337">
        <f t="shared" si="66"/>
        <v>751.7644175679344</v>
      </c>
      <c r="H137" s="337">
        <f t="shared" si="66"/>
        <v>4069.1521083580401</v>
      </c>
      <c r="I137" s="337">
        <f t="shared" si="66"/>
        <v>6774101.25</v>
      </c>
      <c r="J137" s="456"/>
      <c r="U137" s="338"/>
      <c r="V137" s="338"/>
    </row>
    <row r="138" spans="1:22" x14ac:dyDescent="0.25">
      <c r="A138" s="336">
        <f t="shared" si="65"/>
        <v>2016</v>
      </c>
      <c r="B138" s="337">
        <f t="shared" si="66"/>
        <v>8291.3480117688887</v>
      </c>
      <c r="C138" s="337">
        <f t="shared" si="66"/>
        <v>34571.401514306046</v>
      </c>
      <c r="D138" s="337">
        <f t="shared" si="66"/>
        <v>600509.19732078828</v>
      </c>
      <c r="E138" s="337">
        <f t="shared" si="66"/>
        <v>9916756.2253333312</v>
      </c>
      <c r="F138" s="337">
        <f t="shared" si="66"/>
        <v>75625155.909999982</v>
      </c>
      <c r="G138" s="337">
        <f t="shared" si="66"/>
        <v>745.3464840641318</v>
      </c>
      <c r="H138" s="337">
        <f t="shared" si="66"/>
        <v>4055.1157894736834</v>
      </c>
      <c r="I138" s="337">
        <f t="shared" si="66"/>
        <v>6513806.0399999972</v>
      </c>
      <c r="J138" s="456"/>
      <c r="U138" s="338"/>
      <c r="V138" s="338"/>
    </row>
    <row r="139" spans="1:22" x14ac:dyDescent="0.25">
      <c r="A139" s="336">
        <f t="shared" si="65"/>
        <v>2017</v>
      </c>
      <c r="B139" s="337">
        <f t="shared" si="66"/>
        <v>7736.2257795187688</v>
      </c>
      <c r="C139" s="337">
        <f t="shared" si="66"/>
        <v>30705.11454270445</v>
      </c>
      <c r="D139" s="337">
        <f t="shared" si="66"/>
        <v>615937.08054878889</v>
      </c>
      <c r="E139" s="337">
        <f t="shared" si="66"/>
        <v>9418709.8214829508</v>
      </c>
      <c r="F139" s="337">
        <f t="shared" si="66"/>
        <v>73113194.079999998</v>
      </c>
      <c r="G139" s="337">
        <f t="shared" si="66"/>
        <v>582.52338615449241</v>
      </c>
      <c r="H139" s="337">
        <f t="shared" si="66"/>
        <v>4105.8318519850491</v>
      </c>
      <c r="I139" s="337">
        <f t="shared" si="66"/>
        <v>6302581.1099999994</v>
      </c>
      <c r="J139" s="456"/>
      <c r="U139" s="338"/>
      <c r="V139" s="338"/>
    </row>
    <row r="140" spans="1:22" x14ac:dyDescent="0.25">
      <c r="A140" s="445" t="s">
        <v>233</v>
      </c>
      <c r="B140" s="446"/>
      <c r="C140" s="446"/>
      <c r="D140" s="446"/>
      <c r="E140" s="446"/>
      <c r="F140" s="446"/>
      <c r="G140" s="446"/>
      <c r="H140" s="446"/>
      <c r="I140" s="447"/>
      <c r="J140" s="456"/>
      <c r="U140" s="338"/>
      <c r="V140" s="338"/>
    </row>
    <row r="141" spans="1:22" x14ac:dyDescent="0.25">
      <c r="A141" s="336">
        <f>A122</f>
        <v>2010</v>
      </c>
      <c r="B141" s="337">
        <f t="shared" ref="B141:I149" si="67">B109*1000000/B122</f>
        <v>8784.5936260865401</v>
      </c>
      <c r="C141" s="337">
        <f t="shared" si="67"/>
        <v>35359.617651828536</v>
      </c>
      <c r="D141" s="337">
        <f t="shared" si="67"/>
        <v>599899.24516128993</v>
      </c>
      <c r="E141" s="337">
        <f t="shared" si="67"/>
        <v>8461271.5662160646</v>
      </c>
      <c r="F141" s="337">
        <f t="shared" si="67"/>
        <v>97867314.264648154</v>
      </c>
      <c r="G141" s="337">
        <f t="shared" si="67"/>
        <v>754.81666967237277</v>
      </c>
      <c r="H141" s="337">
        <f t="shared" si="67"/>
        <v>3946.6533938826119</v>
      </c>
      <c r="I141" s="337">
        <f t="shared" si="67"/>
        <v>6779001.129842516</v>
      </c>
      <c r="J141" s="456"/>
      <c r="U141" s="338"/>
      <c r="V141" s="338"/>
    </row>
    <row r="142" spans="1:22" x14ac:dyDescent="0.25">
      <c r="A142" s="336">
        <f t="shared" ref="A142:A149" si="68">A123</f>
        <v>2011</v>
      </c>
      <c r="B142" s="337">
        <f t="shared" si="67"/>
        <v>8630.6292629034597</v>
      </c>
      <c r="C142" s="337">
        <f t="shared" si="67"/>
        <v>34074.151328554981</v>
      </c>
      <c r="D142" s="337">
        <f t="shared" si="67"/>
        <v>602030.65126724623</v>
      </c>
      <c r="E142" s="337">
        <f t="shared" si="67"/>
        <v>8567555.4595100041</v>
      </c>
      <c r="F142" s="337">
        <f t="shared" si="67"/>
        <v>84290234.470695674</v>
      </c>
      <c r="G142" s="337">
        <f t="shared" si="67"/>
        <v>751.36571085539799</v>
      </c>
      <c r="H142" s="337">
        <f t="shared" si="67"/>
        <v>4004.0643376348326</v>
      </c>
      <c r="I142" s="337">
        <f t="shared" si="67"/>
        <v>6714787.399017279</v>
      </c>
      <c r="J142" s="456"/>
      <c r="U142" s="338"/>
      <c r="V142" s="338"/>
    </row>
    <row r="143" spans="1:22" x14ac:dyDescent="0.25">
      <c r="A143" s="336">
        <f t="shared" si="68"/>
        <v>2012</v>
      </c>
      <c r="B143" s="337">
        <f t="shared" si="67"/>
        <v>8579.5906341330392</v>
      </c>
      <c r="C143" s="337">
        <f t="shared" si="67"/>
        <v>33813.588505538493</v>
      </c>
      <c r="D143" s="337">
        <f t="shared" si="67"/>
        <v>590184.8794453108</v>
      </c>
      <c r="E143" s="337">
        <f t="shared" si="67"/>
        <v>8326588.365044659</v>
      </c>
      <c r="F143" s="337">
        <f t="shared" si="67"/>
        <v>99966873.050087392</v>
      </c>
      <c r="G143" s="337">
        <f t="shared" si="67"/>
        <v>753.41685160751035</v>
      </c>
      <c r="H143" s="337">
        <f t="shared" si="67"/>
        <v>4083.201210635732</v>
      </c>
      <c r="I143" s="337">
        <f t="shared" si="67"/>
        <v>6463666.9367259694</v>
      </c>
      <c r="J143" s="456"/>
      <c r="U143" s="338"/>
      <c r="V143" s="338"/>
    </row>
    <row r="144" spans="1:22" x14ac:dyDescent="0.25">
      <c r="A144" s="336">
        <f t="shared" si="68"/>
        <v>2013</v>
      </c>
      <c r="B144" s="337">
        <f t="shared" si="67"/>
        <v>8230.4487085359051</v>
      </c>
      <c r="C144" s="337">
        <f t="shared" si="67"/>
        <v>33253.270438799831</v>
      </c>
      <c r="D144" s="337">
        <f t="shared" si="67"/>
        <v>612915.62590870424</v>
      </c>
      <c r="E144" s="337">
        <f t="shared" si="67"/>
        <v>9741916.9744307175</v>
      </c>
      <c r="F144" s="337">
        <f t="shared" si="67"/>
        <v>81735721.868168131</v>
      </c>
      <c r="G144" s="337">
        <f t="shared" si="67"/>
        <v>744.54272165937471</v>
      </c>
      <c r="H144" s="337">
        <f t="shared" si="67"/>
        <v>4076.2068926534871</v>
      </c>
      <c r="I144" s="337">
        <f t="shared" si="67"/>
        <v>6570126.3799458696</v>
      </c>
      <c r="J144" s="456"/>
      <c r="U144" s="338"/>
      <c r="V144" s="338"/>
    </row>
    <row r="145" spans="1:24" x14ac:dyDescent="0.25">
      <c r="A145" s="336">
        <f t="shared" si="68"/>
        <v>2014</v>
      </c>
      <c r="B145" s="337">
        <f t="shared" si="67"/>
        <v>8494.7493261596519</v>
      </c>
      <c r="C145" s="337">
        <f t="shared" si="67"/>
        <v>34015.707425688735</v>
      </c>
      <c r="D145" s="337">
        <f t="shared" si="67"/>
        <v>598117.71281740069</v>
      </c>
      <c r="E145" s="337">
        <f t="shared" si="67"/>
        <v>9765918.2318747714</v>
      </c>
      <c r="F145" s="337">
        <f t="shared" si="67"/>
        <v>82789820.656398594</v>
      </c>
      <c r="G145" s="337">
        <f t="shared" si="67"/>
        <v>759.58034093180152</v>
      </c>
      <c r="H145" s="337">
        <f t="shared" si="67"/>
        <v>4203.5376588466925</v>
      </c>
      <c r="I145" s="337">
        <f t="shared" si="67"/>
        <v>6980598.0710634626</v>
      </c>
      <c r="J145" s="456"/>
      <c r="U145" s="338"/>
      <c r="V145" s="338"/>
    </row>
    <row r="146" spans="1:24" x14ac:dyDescent="0.25">
      <c r="A146" s="336" t="str">
        <f t="shared" si="68"/>
        <v>2014 Board Approved</v>
      </c>
      <c r="B146" s="337">
        <f t="shared" si="67"/>
        <v>8330.9993228958774</v>
      </c>
      <c r="C146" s="337">
        <f t="shared" si="67"/>
        <v>32828.569037145295</v>
      </c>
      <c r="D146" s="337">
        <f t="shared" si="67"/>
        <v>562157.94218327932</v>
      </c>
      <c r="E146" s="337">
        <f t="shared" si="67"/>
        <v>8198881.7399342321</v>
      </c>
      <c r="F146" s="337">
        <f t="shared" si="67"/>
        <v>103536174.50390337</v>
      </c>
      <c r="G146" s="337">
        <f t="shared" si="67"/>
        <v>738.20415898632405</v>
      </c>
      <c r="H146" s="337">
        <f t="shared" si="67"/>
        <v>3624.263724503016</v>
      </c>
      <c r="I146" s="337">
        <f t="shared" si="67"/>
        <v>6306788.5</v>
      </c>
      <c r="J146" s="456"/>
      <c r="U146" s="338"/>
      <c r="V146" s="338"/>
    </row>
    <row r="147" spans="1:24" x14ac:dyDescent="0.25">
      <c r="A147" s="336">
        <f t="shared" si="68"/>
        <v>2015</v>
      </c>
      <c r="B147" s="337">
        <f t="shared" si="67"/>
        <v>8485.8466479133203</v>
      </c>
      <c r="C147" s="337">
        <f t="shared" si="67"/>
        <v>34473.764393891812</v>
      </c>
      <c r="D147" s="337">
        <f t="shared" si="67"/>
        <v>627458.9188516232</v>
      </c>
      <c r="E147" s="337">
        <f t="shared" si="67"/>
        <v>9684392.014948111</v>
      </c>
      <c r="F147" s="337">
        <f t="shared" si="67"/>
        <v>103747949.89188805</v>
      </c>
      <c r="G147" s="337">
        <f t="shared" si="67"/>
        <v>752.20501248408425</v>
      </c>
      <c r="H147" s="337">
        <f t="shared" si="67"/>
        <v>4071.5369614983138</v>
      </c>
      <c r="I147" s="337">
        <f t="shared" si="67"/>
        <v>6778071.4227063507</v>
      </c>
      <c r="J147" s="456"/>
      <c r="U147" s="338"/>
      <c r="V147" s="338"/>
    </row>
    <row r="148" spans="1:24" x14ac:dyDescent="0.25">
      <c r="A148" s="336">
        <f t="shared" si="68"/>
        <v>2016</v>
      </c>
      <c r="B148" s="337">
        <f t="shared" si="67"/>
        <v>8181.5179442872386</v>
      </c>
      <c r="C148" s="337">
        <f t="shared" si="67"/>
        <v>34113.456756003536</v>
      </c>
      <c r="D148" s="337">
        <f t="shared" si="67"/>
        <v>592554.64450603758</v>
      </c>
      <c r="E148" s="337">
        <f t="shared" si="67"/>
        <v>9785395.4376928341</v>
      </c>
      <c r="F148" s="337">
        <f t="shared" si="67"/>
        <v>74623398.90195784</v>
      </c>
      <c r="G148" s="337">
        <f t="shared" si="67"/>
        <v>735.4733663846207</v>
      </c>
      <c r="H148" s="337">
        <f t="shared" si="67"/>
        <v>4001.4003212323755</v>
      </c>
      <c r="I148" s="337">
        <f t="shared" si="67"/>
        <v>6427521.9091300685</v>
      </c>
      <c r="J148" s="456"/>
      <c r="U148" s="338"/>
      <c r="V148" s="338"/>
    </row>
    <row r="149" spans="1:24" x14ac:dyDescent="0.25">
      <c r="A149" s="336">
        <f t="shared" si="68"/>
        <v>2017</v>
      </c>
      <c r="B149" s="337">
        <f t="shared" si="67"/>
        <v>7790.4988096376319</v>
      </c>
      <c r="C149" s="337">
        <f t="shared" si="67"/>
        <v>30920.524440744291</v>
      </c>
      <c r="D149" s="337">
        <f t="shared" si="67"/>
        <v>620258.15036715555</v>
      </c>
      <c r="E149" s="337">
        <f t="shared" si="67"/>
        <v>9484786.2179572508</v>
      </c>
      <c r="F149" s="337">
        <f t="shared" si="67"/>
        <v>73626115.328355417</v>
      </c>
      <c r="G149" s="337">
        <f t="shared" si="67"/>
        <v>586.61004419456731</v>
      </c>
      <c r="H149" s="337">
        <f t="shared" si="67"/>
        <v>4134.6360702326238</v>
      </c>
      <c r="I149" s="337">
        <f t="shared" si="67"/>
        <v>6346796.4915255988</v>
      </c>
      <c r="J149" s="456"/>
      <c r="U149" s="338"/>
      <c r="V149" s="338"/>
    </row>
    <row r="150" spans="1:24" x14ac:dyDescent="0.25">
      <c r="A150" s="329"/>
      <c r="B150" s="340"/>
      <c r="C150" s="340"/>
      <c r="D150" s="340"/>
      <c r="E150" s="340"/>
      <c r="F150" s="340"/>
      <c r="G150" s="340"/>
      <c r="H150" s="340"/>
      <c r="I150" s="340"/>
      <c r="V150" s="338"/>
      <c r="W150" s="338"/>
      <c r="X150" s="338"/>
    </row>
    <row r="151" spans="1:24" x14ac:dyDescent="0.25">
      <c r="A151" s="451" t="s">
        <v>346</v>
      </c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V151" s="338"/>
      <c r="W151" s="338"/>
      <c r="X151" s="338"/>
    </row>
    <row r="152" spans="1:24" ht="60" x14ac:dyDescent="0.25">
      <c r="A152" s="418" t="s">
        <v>198</v>
      </c>
      <c r="B152" s="419" t="str">
        <f>Summary!A15</f>
        <v xml:space="preserve">Residential </v>
      </c>
      <c r="C152" s="419" t="str">
        <f>Summary!A19</f>
        <v>General Service &lt; 50 kW</v>
      </c>
      <c r="D152" s="419" t="str">
        <f>Summary!A23</f>
        <v>General Service &gt; 50 to 999 kW</v>
      </c>
      <c r="E152" s="419" t="str">
        <f>Summary!A28</f>
        <v>General Service &gt; 1000 to 4999 kW</v>
      </c>
      <c r="F152" s="419" t="str">
        <f>Summary!A33</f>
        <v>Large User</v>
      </c>
      <c r="G152" s="417" t="str">
        <f>Summary!A42</f>
        <v>Street Lights</v>
      </c>
      <c r="H152" s="417" t="str">
        <f>Summary!A47</f>
        <v>Sentinel Lights</v>
      </c>
      <c r="I152" s="417" t="str">
        <f>Summary!A52</f>
        <v xml:space="preserve">Unmetered Loads </v>
      </c>
      <c r="J152" s="417" t="str">
        <f>I120</f>
        <v>Embedded Distributor - Hydro One, CND</v>
      </c>
      <c r="K152" s="420" t="str">
        <f>Summary!A66</f>
        <v>Embedded Distributor - Brantford Power, BCP</v>
      </c>
      <c r="L152" s="420" t="str">
        <f>Summary!A71</f>
        <v>Embedded Distributor - Hydro One #1, BCP</v>
      </c>
      <c r="M152" s="420" t="str">
        <f>Summary!A76</f>
        <v>Embedded Distributor - Hydro One #2, BCP</v>
      </c>
      <c r="N152" s="417" t="s">
        <v>12</v>
      </c>
      <c r="W152" s="338"/>
      <c r="X152" s="338"/>
    </row>
    <row r="153" spans="1:24" ht="12.75" customHeight="1" x14ac:dyDescent="0.25">
      <c r="A153" s="457" t="s">
        <v>230</v>
      </c>
      <c r="B153" s="458"/>
      <c r="C153" s="458"/>
      <c r="D153" s="458"/>
      <c r="E153" s="458"/>
      <c r="F153" s="458"/>
      <c r="G153" s="458"/>
      <c r="H153" s="458"/>
      <c r="I153" s="458"/>
      <c r="J153" s="458"/>
      <c r="K153" s="458"/>
      <c r="L153" s="458"/>
      <c r="M153" s="458"/>
      <c r="N153" s="459"/>
      <c r="W153" s="338"/>
      <c r="X153" s="338"/>
    </row>
    <row r="154" spans="1:24" x14ac:dyDescent="0.25">
      <c r="A154" s="341">
        <f t="shared" ref="A154:A161" si="69">A99</f>
        <v>2010</v>
      </c>
      <c r="B154" s="342">
        <f t="shared" ref="B154:E161" si="70">B44+B99</f>
        <v>476.486462394981</v>
      </c>
      <c r="C154" s="342">
        <f t="shared" si="70"/>
        <v>199.23783035864901</v>
      </c>
      <c r="D154" s="342">
        <f t="shared" si="70"/>
        <v>486.52386141307801</v>
      </c>
      <c r="E154" s="342">
        <f t="shared" si="70"/>
        <v>250.45934005862401</v>
      </c>
      <c r="F154" s="342">
        <f t="shared" ref="F154:F161" si="71">F99</f>
        <v>196.557280622706</v>
      </c>
      <c r="G154" s="342">
        <f t="shared" ref="G154:G159" si="72">F44+G99</f>
        <v>11.2286864925451</v>
      </c>
      <c r="H154" s="342">
        <f t="shared" ref="H154:H159" si="73">G44</f>
        <v>0.17528440000000001</v>
      </c>
      <c r="I154" s="342">
        <f t="shared" ref="I154:I159" si="74">H44+H99</f>
        <v>2.60994491050785</v>
      </c>
      <c r="J154" s="342">
        <f t="shared" ref="J154:J160" si="75">I99</f>
        <v>13.614985119719499</v>
      </c>
      <c r="K154" s="342">
        <f t="shared" ref="K154:K161" si="76">I44</f>
        <v>0.37333899999999998</v>
      </c>
      <c r="L154" s="342">
        <f t="shared" ref="L154:M154" si="77">J44</f>
        <v>13.348829459999999</v>
      </c>
      <c r="M154" s="342">
        <f t="shared" si="77"/>
        <v>50.253229850000004</v>
      </c>
      <c r="N154" s="342">
        <f>SUM(B154:M154)</f>
        <v>1700.8690740808106</v>
      </c>
      <c r="O154" s="326"/>
      <c r="W154" s="338"/>
      <c r="X154" s="338"/>
    </row>
    <row r="155" spans="1:24" x14ac:dyDescent="0.25">
      <c r="A155" s="325">
        <f t="shared" si="69"/>
        <v>2011</v>
      </c>
      <c r="B155" s="319">
        <f t="shared" si="70"/>
        <v>478.45672338740701</v>
      </c>
      <c r="C155" s="319">
        <f t="shared" si="70"/>
        <v>194.49249432360298</v>
      </c>
      <c r="D155" s="319">
        <f t="shared" si="70"/>
        <v>500.48757754214199</v>
      </c>
      <c r="E155" s="319">
        <f t="shared" si="70"/>
        <v>269.85193218712999</v>
      </c>
      <c r="F155" s="319">
        <f t="shared" si="71"/>
        <v>169.19580019187001</v>
      </c>
      <c r="G155" s="319">
        <f t="shared" si="72"/>
        <v>11.22939251389375</v>
      </c>
      <c r="H155" s="319">
        <f t="shared" si="73"/>
        <v>0.16400601000000001</v>
      </c>
      <c r="I155" s="319">
        <f t="shared" si="74"/>
        <v>2.5129185874618396</v>
      </c>
      <c r="J155" s="319">
        <f t="shared" si="75"/>
        <v>13.4785937449254</v>
      </c>
      <c r="K155" s="319">
        <f t="shared" si="76"/>
        <v>0.37333899999999998</v>
      </c>
      <c r="L155" s="319">
        <f t="shared" ref="L155:M155" si="78">J45</f>
        <v>13.695349587000001</v>
      </c>
      <c r="M155" s="319">
        <f t="shared" si="78"/>
        <v>51.547773450000001</v>
      </c>
      <c r="N155" s="342">
        <f t="shared" ref="N155:N161" si="79">SUM(B155:M155)</f>
        <v>1705.485900525433</v>
      </c>
      <c r="O155" s="326"/>
      <c r="W155" s="338"/>
      <c r="X155" s="338"/>
    </row>
    <row r="156" spans="1:24" x14ac:dyDescent="0.25">
      <c r="A156" s="325">
        <f t="shared" si="69"/>
        <v>2012</v>
      </c>
      <c r="B156" s="319">
        <f t="shared" si="70"/>
        <v>479.24711786883597</v>
      </c>
      <c r="C156" s="319">
        <f t="shared" si="70"/>
        <v>194.29782873600499</v>
      </c>
      <c r="D156" s="319">
        <f t="shared" si="70"/>
        <v>501.13534483129399</v>
      </c>
      <c r="E156" s="319">
        <f t="shared" si="70"/>
        <v>256.00821877028801</v>
      </c>
      <c r="F156" s="319">
        <f t="shared" si="71"/>
        <v>201.18950521249999</v>
      </c>
      <c r="G156" s="319">
        <f t="shared" si="72"/>
        <v>11.359958941223141</v>
      </c>
      <c r="H156" s="319">
        <f t="shared" si="73"/>
        <v>0.17840639</v>
      </c>
      <c r="I156" s="319">
        <f t="shared" si="74"/>
        <v>2.45745759674505</v>
      </c>
      <c r="J156" s="319">
        <f t="shared" si="75"/>
        <v>13.008528857421899</v>
      </c>
      <c r="K156" s="319">
        <f t="shared" si="76"/>
        <v>0.37482300000000002</v>
      </c>
      <c r="L156" s="319">
        <f t="shared" ref="L156:M156" si="80">J46</f>
        <v>9.8637066199999985</v>
      </c>
      <c r="M156" s="319">
        <f t="shared" si="80"/>
        <v>52.318961540000004</v>
      </c>
      <c r="N156" s="342">
        <f t="shared" si="79"/>
        <v>1721.4398583643133</v>
      </c>
      <c r="O156" s="326"/>
      <c r="W156" s="338"/>
      <c r="X156" s="338"/>
    </row>
    <row r="157" spans="1:24" x14ac:dyDescent="0.25">
      <c r="A157" s="325">
        <f t="shared" si="69"/>
        <v>2013</v>
      </c>
      <c r="B157" s="319">
        <f t="shared" si="70"/>
        <v>464.84834258000001</v>
      </c>
      <c r="C157" s="319">
        <f t="shared" si="70"/>
        <v>193.71726687999998</v>
      </c>
      <c r="D157" s="319">
        <f t="shared" si="70"/>
        <v>518.34876714387099</v>
      </c>
      <c r="E157" s="319">
        <f t="shared" si="70"/>
        <v>270.28054279000003</v>
      </c>
      <c r="F157" s="319">
        <f t="shared" si="71"/>
        <v>204.90625695999998</v>
      </c>
      <c r="G157" s="319">
        <f t="shared" si="72"/>
        <v>11.262943219999999</v>
      </c>
      <c r="H157" s="319">
        <f t="shared" si="73"/>
        <v>0.15280315</v>
      </c>
      <c r="I157" s="319">
        <f t="shared" si="74"/>
        <v>2.4306448189845478</v>
      </c>
      <c r="J157" s="319">
        <f t="shared" si="75"/>
        <v>13.17671122</v>
      </c>
      <c r="K157" s="319">
        <f t="shared" si="76"/>
        <v>0.35627300000000001</v>
      </c>
      <c r="L157" s="319">
        <f t="shared" ref="L157:M157" si="81">J47</f>
        <v>13.883196999999999</v>
      </c>
      <c r="M157" s="319">
        <f t="shared" si="81"/>
        <v>52.117101929999997</v>
      </c>
      <c r="N157" s="342">
        <f t="shared" si="79"/>
        <v>1745.4808506928557</v>
      </c>
      <c r="O157" s="326"/>
      <c r="W157" s="338"/>
      <c r="X157" s="338"/>
    </row>
    <row r="158" spans="1:24" x14ac:dyDescent="0.25">
      <c r="A158" s="325">
        <f t="shared" si="69"/>
        <v>2014</v>
      </c>
      <c r="B158" s="319">
        <f t="shared" si="70"/>
        <v>477.02596810000006</v>
      </c>
      <c r="C158" s="319">
        <f t="shared" si="70"/>
        <v>198.14924467200001</v>
      </c>
      <c r="D158" s="319">
        <f t="shared" si="70"/>
        <v>494.27724177838707</v>
      </c>
      <c r="E158" s="319">
        <f t="shared" si="70"/>
        <v>263.04217585000004</v>
      </c>
      <c r="F158" s="319">
        <f t="shared" si="71"/>
        <v>205.26539456999998</v>
      </c>
      <c r="G158" s="319">
        <f t="shared" si="72"/>
        <v>11.406115660000001</v>
      </c>
      <c r="H158" s="319">
        <f t="shared" si="73"/>
        <v>0.14651524000000002</v>
      </c>
      <c r="I158" s="319">
        <f t="shared" si="74"/>
        <v>2.4514419548110631</v>
      </c>
      <c r="J158" s="319">
        <f t="shared" si="75"/>
        <v>13.845907199999999</v>
      </c>
      <c r="K158" s="319">
        <f t="shared" si="76"/>
        <v>0.33802199999999999</v>
      </c>
      <c r="L158" s="319">
        <f t="shared" ref="L158:M158" si="82">J48</f>
        <v>12.996387</v>
      </c>
      <c r="M158" s="319">
        <f t="shared" si="82"/>
        <v>51.485741349999991</v>
      </c>
      <c r="N158" s="342">
        <f t="shared" si="79"/>
        <v>1730.4301553751984</v>
      </c>
      <c r="O158" s="326"/>
      <c r="W158" s="338"/>
      <c r="X158" s="338"/>
    </row>
    <row r="159" spans="1:24" x14ac:dyDescent="0.25">
      <c r="A159" s="325">
        <f t="shared" si="69"/>
        <v>2015</v>
      </c>
      <c r="B159" s="319">
        <f t="shared" si="70"/>
        <v>486.54129597806093</v>
      </c>
      <c r="C159" s="319">
        <f t="shared" si="70"/>
        <v>203.10057502300143</v>
      </c>
      <c r="D159" s="319">
        <f t="shared" si="70"/>
        <v>485.90414562462064</v>
      </c>
      <c r="E159" s="319">
        <f t="shared" si="70"/>
        <v>263.25532952904666</v>
      </c>
      <c r="F159" s="319">
        <f t="shared" si="71"/>
        <v>207.37436159000001</v>
      </c>
      <c r="G159" s="319">
        <f t="shared" si="72"/>
        <v>11.394265718750002</v>
      </c>
      <c r="H159" s="319">
        <f t="shared" si="73"/>
        <v>0.14270841887585534</v>
      </c>
      <c r="I159" s="319">
        <f t="shared" si="74"/>
        <v>2.4136137725536493</v>
      </c>
      <c r="J159" s="319">
        <f t="shared" si="75"/>
        <v>13.5482025</v>
      </c>
      <c r="K159" s="319">
        <f t="shared" si="76"/>
        <v>0.35206778000000005</v>
      </c>
      <c r="L159" s="319">
        <f t="shared" ref="L159:M159" si="83">J49</f>
        <v>13.8193416</v>
      </c>
      <c r="M159" s="319">
        <f t="shared" si="83"/>
        <v>62.339455030000003</v>
      </c>
      <c r="N159" s="342">
        <f t="shared" si="79"/>
        <v>1750.1853625649089</v>
      </c>
      <c r="O159" s="326"/>
      <c r="W159" s="338"/>
      <c r="X159" s="338"/>
    </row>
    <row r="160" spans="1:24" x14ac:dyDescent="0.25">
      <c r="A160" s="325">
        <f t="shared" si="69"/>
        <v>2016</v>
      </c>
      <c r="B160" s="319">
        <f t="shared" si="70"/>
        <v>479.94415196110009</v>
      </c>
      <c r="C160" s="319">
        <f t="shared" ref="C160:E161" si="84">C50+C105</f>
        <v>212.80751898150004</v>
      </c>
      <c r="D160" s="319">
        <f t="shared" si="84"/>
        <v>484.19996340020009</v>
      </c>
      <c r="E160" s="319">
        <f t="shared" si="84"/>
        <v>261.80462841999997</v>
      </c>
      <c r="F160" s="319">
        <f t="shared" si="71"/>
        <v>151.25031181999995</v>
      </c>
      <c r="G160" s="319">
        <f>F50+G105</f>
        <v>11.108606150000028</v>
      </c>
      <c r="H160" s="319">
        <f>G50</f>
        <v>0.1367010000000001</v>
      </c>
      <c r="I160" s="319">
        <f>H50+H105</f>
        <v>2.3468375999999997</v>
      </c>
      <c r="J160" s="319">
        <f t="shared" si="75"/>
        <v>13.027612079999994</v>
      </c>
      <c r="K160" s="319">
        <f t="shared" si="76"/>
        <v>0.38011444</v>
      </c>
      <c r="L160" s="319">
        <f t="shared" ref="L160:M160" si="85">J50</f>
        <v>13.5602915</v>
      </c>
      <c r="M160" s="319">
        <f t="shared" si="85"/>
        <v>46.050289200000002</v>
      </c>
      <c r="N160" s="342">
        <f t="shared" si="79"/>
        <v>1676.6170265528001</v>
      </c>
      <c r="O160" s="326"/>
      <c r="W160" s="338"/>
      <c r="X160" s="338"/>
    </row>
    <row r="161" spans="1:26" x14ac:dyDescent="0.25">
      <c r="A161" s="325">
        <f t="shared" si="69"/>
        <v>2017</v>
      </c>
      <c r="B161" s="319">
        <f t="shared" si="70"/>
        <v>453.85507499999994</v>
      </c>
      <c r="C161" s="319">
        <f t="shared" si="84"/>
        <v>189.00584753000001</v>
      </c>
      <c r="D161" s="319">
        <f t="shared" si="84"/>
        <v>487.03752193633011</v>
      </c>
      <c r="E161" s="319">
        <f t="shared" si="84"/>
        <v>241.35190512511184</v>
      </c>
      <c r="F161" s="319">
        <f t="shared" si="71"/>
        <v>146.22638816</v>
      </c>
      <c r="G161" s="319">
        <f>F51+G106</f>
        <v>8.3784342200000008</v>
      </c>
      <c r="H161" s="319">
        <f>G51</f>
        <v>0.12698899999999999</v>
      </c>
      <c r="I161" s="319">
        <f>H51+H106</f>
        <v>2.2739879970972421</v>
      </c>
      <c r="J161" s="319">
        <f t="shared" ref="J161" si="86">I106</f>
        <v>12.605162219999999</v>
      </c>
      <c r="K161" s="319">
        <f t="shared" si="76"/>
        <v>0.34775659287776717</v>
      </c>
      <c r="L161" s="319">
        <f t="shared" ref="L161:M161" si="87">J51</f>
        <v>12.191720381133871</v>
      </c>
      <c r="M161" s="319">
        <f t="shared" si="87"/>
        <v>43.274121534063838</v>
      </c>
      <c r="N161" s="342">
        <f t="shared" si="79"/>
        <v>1596.6749096966146</v>
      </c>
      <c r="O161" s="326"/>
      <c r="W161" s="338"/>
      <c r="X161" s="338"/>
    </row>
    <row r="162" spans="1:26" x14ac:dyDescent="0.25">
      <c r="A162" s="468"/>
      <c r="B162" s="469"/>
      <c r="C162" s="469"/>
      <c r="D162" s="469"/>
      <c r="E162" s="469"/>
      <c r="F162" s="469"/>
      <c r="G162" s="469"/>
      <c r="H162" s="469"/>
      <c r="I162" s="469"/>
      <c r="J162" s="469"/>
      <c r="K162" s="469"/>
      <c r="L162" s="469"/>
      <c r="M162" s="469"/>
      <c r="N162" s="470"/>
      <c r="W162" s="338"/>
      <c r="X162" s="338"/>
    </row>
    <row r="163" spans="1:26" ht="12.75" customHeight="1" x14ac:dyDescent="0.25">
      <c r="A163" s="457" t="s">
        <v>231</v>
      </c>
      <c r="B163" s="458"/>
      <c r="C163" s="458"/>
      <c r="D163" s="458"/>
      <c r="E163" s="458"/>
      <c r="F163" s="458"/>
      <c r="G163" s="458"/>
      <c r="H163" s="458"/>
      <c r="I163" s="458"/>
      <c r="J163" s="458"/>
      <c r="K163" s="458"/>
      <c r="L163" s="458"/>
      <c r="M163" s="458"/>
      <c r="N163" s="459"/>
      <c r="W163" s="338"/>
      <c r="X163" s="338"/>
    </row>
    <row r="164" spans="1:26" x14ac:dyDescent="0.25">
      <c r="A164" s="341">
        <f>A154</f>
        <v>2010</v>
      </c>
      <c r="B164" s="343">
        <f t="shared" ref="B164:B171" si="88">B154*F249</f>
        <v>474.49222140564302</v>
      </c>
      <c r="C164" s="343">
        <f t="shared" ref="C164:C171" si="89">C154*F249</f>
        <v>198.40395934806273</v>
      </c>
      <c r="D164" s="343">
        <f t="shared" ref="D164:D171" si="90">D154*F249</f>
        <v>484.4876108513219</v>
      </c>
      <c r="E164" s="343">
        <f t="shared" ref="E164:E171" si="91">E154*F249</f>
        <v>249.41109142717934</v>
      </c>
      <c r="F164" s="343">
        <f t="shared" ref="F164:F171" si="92">F154*F249</f>
        <v>195.73462852929632</v>
      </c>
      <c r="G164" s="343">
        <f t="shared" ref="G164:G171" si="93">G154*F249</f>
        <v>11.181691019164164</v>
      </c>
      <c r="H164" s="343">
        <f t="shared" ref="H164:H171" si="94">H154*F249</f>
        <v>0.17455078139200322</v>
      </c>
      <c r="I164" s="343">
        <f t="shared" ref="I164:I171" si="95">I154*F249</f>
        <v>2.5990214960328881</v>
      </c>
      <c r="J164" s="343">
        <f t="shared" ref="J164:J171" si="96">J154*F249</f>
        <v>13.558002259685033</v>
      </c>
      <c r="K164" s="343">
        <f>K154*$F$249</f>
        <v>0.3717764625608958</v>
      </c>
      <c r="L164" s="343">
        <f t="shared" ref="L164:M164" si="97">L154*$F$249</f>
        <v>13.29296054247607</v>
      </c>
      <c r="M164" s="343">
        <f t="shared" si="97"/>
        <v>50.042904775264894</v>
      </c>
      <c r="N164" s="342">
        <f>SUM(B164:M164)</f>
        <v>1693.7504188980795</v>
      </c>
      <c r="W164" s="338"/>
      <c r="X164" s="338"/>
    </row>
    <row r="165" spans="1:26" x14ac:dyDescent="0.25">
      <c r="A165" s="325">
        <f t="shared" ref="A165:A171" si="98">A155</f>
        <v>2011</v>
      </c>
      <c r="B165" s="327">
        <f t="shared" si="88"/>
        <v>476.71667207662961</v>
      </c>
      <c r="C165" s="327">
        <f t="shared" si="89"/>
        <v>193.78516406123748</v>
      </c>
      <c r="D165" s="327">
        <f t="shared" si="90"/>
        <v>498.6674044256178</v>
      </c>
      <c r="E165" s="327">
        <f t="shared" si="91"/>
        <v>268.87053473702491</v>
      </c>
      <c r="F165" s="327">
        <f t="shared" si="92"/>
        <v>168.58046894139136</v>
      </c>
      <c r="G165" s="327">
        <f t="shared" si="93"/>
        <v>11.18855346156589</v>
      </c>
      <c r="H165" s="327">
        <f t="shared" si="94"/>
        <v>0.16340955297739737</v>
      </c>
      <c r="I165" s="327">
        <f t="shared" si="95"/>
        <v>2.5037796056725727</v>
      </c>
      <c r="J165" s="327">
        <f t="shared" si="96"/>
        <v>13.429574798034558</v>
      </c>
      <c r="K165" s="327">
        <f>K155*$F$250</f>
        <v>0.37198124080348366</v>
      </c>
      <c r="L165" s="327">
        <f t="shared" ref="L165:M165" si="99">L155*$F$250</f>
        <v>13.645542342508385</v>
      </c>
      <c r="M165" s="327">
        <f t="shared" si="99"/>
        <v>51.360304518381078</v>
      </c>
      <c r="N165" s="342">
        <f t="shared" ref="N165:N173" si="100">SUM(B165:M165)</f>
        <v>1699.2833897618445</v>
      </c>
      <c r="W165" s="338"/>
      <c r="X165" s="338"/>
    </row>
    <row r="166" spans="1:26" x14ac:dyDescent="0.25">
      <c r="A166" s="325">
        <f t="shared" si="98"/>
        <v>2012</v>
      </c>
      <c r="B166" s="327">
        <f t="shared" si="88"/>
        <v>476.25581404966442</v>
      </c>
      <c r="C166" s="327">
        <f t="shared" si="89"/>
        <v>193.08508521500207</v>
      </c>
      <c r="D166" s="327">
        <f t="shared" si="90"/>
        <v>498.00742185581146</v>
      </c>
      <c r="E166" s="327">
        <f t="shared" si="91"/>
        <v>254.4102991709959</v>
      </c>
      <c r="F166" s="327">
        <f t="shared" si="92"/>
        <v>199.93374610017477</v>
      </c>
      <c r="G166" s="327">
        <f t="shared" si="93"/>
        <v>11.289053791667682</v>
      </c>
      <c r="H166" s="327">
        <f t="shared" si="94"/>
        <v>0.17729283564385742</v>
      </c>
      <c r="I166" s="327">
        <f t="shared" si="95"/>
        <v>2.4421189498956233</v>
      </c>
      <c r="J166" s="327">
        <f t="shared" si="96"/>
        <v>12.927333873451939</v>
      </c>
      <c r="K166" s="327">
        <f>K156*$F$251</f>
        <v>0.37248347738294341</v>
      </c>
      <c r="L166" s="327">
        <f t="shared" ref="L166:M166" si="101">L156*$F$251</f>
        <v>9.8021405882316675</v>
      </c>
      <c r="M166" s="327">
        <f t="shared" si="101"/>
        <v>51.992403687830461</v>
      </c>
      <c r="N166" s="342">
        <f t="shared" si="100"/>
        <v>1710.6951935957527</v>
      </c>
      <c r="W166" s="338"/>
      <c r="X166" s="338"/>
    </row>
    <row r="167" spans="1:26" x14ac:dyDescent="0.25">
      <c r="A167" s="325">
        <f t="shared" si="98"/>
        <v>2013</v>
      </c>
      <c r="B167" s="327">
        <f t="shared" si="88"/>
        <v>463.56216012738469</v>
      </c>
      <c r="C167" s="327">
        <f t="shared" si="89"/>
        <v>193.18127325238629</v>
      </c>
      <c r="D167" s="327">
        <f t="shared" si="90"/>
        <v>516.9145551061664</v>
      </c>
      <c r="E167" s="327">
        <f t="shared" si="91"/>
        <v>269.53270729274851</v>
      </c>
      <c r="F167" s="327">
        <f t="shared" si="92"/>
        <v>204.33930467042032</v>
      </c>
      <c r="G167" s="327">
        <f t="shared" si="93"/>
        <v>11.231779938113339</v>
      </c>
      <c r="H167" s="327">
        <f t="shared" si="94"/>
        <v>0.15238036107674913</v>
      </c>
      <c r="I167" s="327">
        <f t="shared" si="95"/>
        <v>2.4239195014382551</v>
      </c>
      <c r="J167" s="327">
        <f t="shared" si="96"/>
        <v>13.140252759891739</v>
      </c>
      <c r="K167" s="327">
        <f>K157*$F$252</f>
        <v>0.35528723316172894</v>
      </c>
      <c r="L167" s="327">
        <f t="shared" ref="L167:M167" si="102">L157*$F$252</f>
        <v>13.844783774154132</v>
      </c>
      <c r="M167" s="327">
        <f t="shared" si="102"/>
        <v>51.972899841182191</v>
      </c>
      <c r="N167" s="342">
        <f t="shared" si="100"/>
        <v>1740.6513038581243</v>
      </c>
      <c r="W167" s="338"/>
      <c r="X167" s="338"/>
    </row>
    <row r="168" spans="1:26" x14ac:dyDescent="0.25">
      <c r="A168" s="325">
        <f t="shared" si="98"/>
        <v>2014</v>
      </c>
      <c r="B168" s="327">
        <f t="shared" si="88"/>
        <v>480.9979591320735</v>
      </c>
      <c r="C168" s="327">
        <f t="shared" si="89"/>
        <v>199.79914860906266</v>
      </c>
      <c r="D168" s="327">
        <f t="shared" si="90"/>
        <v>498.39287678149071</v>
      </c>
      <c r="E168" s="327">
        <f t="shared" si="91"/>
        <v>265.23241544574938</v>
      </c>
      <c r="F168" s="327">
        <f t="shared" si="92"/>
        <v>206.97455164099648</v>
      </c>
      <c r="G168" s="327">
        <f t="shared" si="93"/>
        <v>11.50108950239429</v>
      </c>
      <c r="H168" s="327">
        <f t="shared" si="94"/>
        <v>0.14773520968353746</v>
      </c>
      <c r="I168" s="327">
        <f t="shared" si="95"/>
        <v>2.4718540625605452</v>
      </c>
      <c r="J168" s="327">
        <f t="shared" si="96"/>
        <v>13.961196142126925</v>
      </c>
      <c r="K168" s="327">
        <f>K158*$F$253</f>
        <v>0.34083656449423749</v>
      </c>
      <c r="L168" s="327">
        <f t="shared" ref="L168:M168" si="103">L158*$F$253</f>
        <v>13.104602351082386</v>
      </c>
      <c r="M168" s="327">
        <f t="shared" si="103"/>
        <v>51.914441078311185</v>
      </c>
      <c r="N168" s="342">
        <f t="shared" si="100"/>
        <v>1744.8387065200261</v>
      </c>
      <c r="W168" s="338"/>
      <c r="X168" s="338"/>
    </row>
    <row r="169" spans="1:26" x14ac:dyDescent="0.25">
      <c r="A169" s="325">
        <f t="shared" si="98"/>
        <v>2015</v>
      </c>
      <c r="B169" s="327">
        <f t="shared" si="88"/>
        <v>486.82644863558943</v>
      </c>
      <c r="C169" s="327">
        <f t="shared" si="89"/>
        <v>203.21960843124882</v>
      </c>
      <c r="D169" s="327">
        <f t="shared" si="90"/>
        <v>486.18892486036964</v>
      </c>
      <c r="E169" s="327">
        <f t="shared" si="91"/>
        <v>263.40961850193406</v>
      </c>
      <c r="F169" s="327">
        <f t="shared" si="92"/>
        <v>207.49589978377611</v>
      </c>
      <c r="G169" s="327">
        <f t="shared" si="93"/>
        <v>11.400943682526449</v>
      </c>
      <c r="H169" s="327">
        <f t="shared" si="94"/>
        <v>0.14279205758284799</v>
      </c>
      <c r="I169" s="327">
        <f t="shared" si="95"/>
        <v>2.4150283459663902</v>
      </c>
      <c r="J169" s="327">
        <f t="shared" si="96"/>
        <v>13.556142845412701</v>
      </c>
      <c r="K169" s="327">
        <f>K159*$F$254</f>
        <v>0.35227412027147759</v>
      </c>
      <c r="L169" s="327">
        <f t="shared" ref="L169:M169" si="104">L159*$F$254</f>
        <v>13.827440854914451</v>
      </c>
      <c r="M169" s="327">
        <f t="shared" si="104"/>
        <v>62.375991006324369</v>
      </c>
      <c r="N169" s="342">
        <f t="shared" si="100"/>
        <v>1751.2111131259169</v>
      </c>
      <c r="W169" s="338"/>
      <c r="X169" s="338"/>
    </row>
    <row r="170" spans="1:26" x14ac:dyDescent="0.25">
      <c r="A170" s="325">
        <f t="shared" si="98"/>
        <v>2016</v>
      </c>
      <c r="B170" s="327">
        <f t="shared" si="88"/>
        <v>473.58664549502356</v>
      </c>
      <c r="C170" s="327">
        <f t="shared" si="89"/>
        <v>209.98859687894623</v>
      </c>
      <c r="D170" s="327">
        <f t="shared" si="90"/>
        <v>477.78608298179614</v>
      </c>
      <c r="E170" s="327">
        <f t="shared" si="91"/>
        <v>258.33667363561955</v>
      </c>
      <c r="F170" s="327">
        <f t="shared" si="92"/>
        <v>149.24679780391568</v>
      </c>
      <c r="G170" s="327">
        <f t="shared" si="93"/>
        <v>10.961457705458825</v>
      </c>
      <c r="H170" s="327">
        <f t="shared" si="94"/>
        <v>0.13489021120745415</v>
      </c>
      <c r="I170" s="327">
        <f t="shared" si="95"/>
        <v>2.3157505763205428</v>
      </c>
      <c r="J170" s="327">
        <f t="shared" si="96"/>
        <v>12.855043818260137</v>
      </c>
      <c r="K170" s="327">
        <f>K160*$F$255</f>
        <v>0.37507931247469384</v>
      </c>
      <c r="L170" s="327">
        <f t="shared" ref="L170:M170" si="105">L160*$F$255</f>
        <v>13.380667182168704</v>
      </c>
      <c r="M170" s="327">
        <f t="shared" si="105"/>
        <v>45.44029111968706</v>
      </c>
      <c r="N170" s="342">
        <f t="shared" si="100"/>
        <v>1654.4079767208787</v>
      </c>
      <c r="W170" s="338"/>
      <c r="X170" s="338"/>
    </row>
    <row r="171" spans="1:26" x14ac:dyDescent="0.25">
      <c r="A171" s="325">
        <f t="shared" si="98"/>
        <v>2017</v>
      </c>
      <c r="B171" s="327">
        <f t="shared" si="88"/>
        <v>457.03906818441368</v>
      </c>
      <c r="C171" s="327">
        <f t="shared" si="89"/>
        <v>190.33180677007212</v>
      </c>
      <c r="D171" s="327">
        <f t="shared" si="90"/>
        <v>490.45430459629932</v>
      </c>
      <c r="E171" s="327">
        <f t="shared" si="91"/>
        <v>243.04509500728653</v>
      </c>
      <c r="F171" s="327">
        <f t="shared" si="92"/>
        <v>147.25223065671082</v>
      </c>
      <c r="G171" s="327">
        <f t="shared" si="93"/>
        <v>8.4372126250944888</v>
      </c>
      <c r="H171" s="327">
        <f t="shared" si="94"/>
        <v>0.12787988374850828</v>
      </c>
      <c r="I171" s="327">
        <f t="shared" si="95"/>
        <v>2.2899410241383</v>
      </c>
      <c r="J171" s="327">
        <f t="shared" si="96"/>
        <v>12.693592983051198</v>
      </c>
      <c r="K171" s="327">
        <f>K161*$F$256</f>
        <v>0.35019625849472158</v>
      </c>
      <c r="L171" s="327">
        <f t="shared" ref="L171:M171" si="106">L161*$F$256</f>
        <v>12.277250667646165</v>
      </c>
      <c r="M171" s="327">
        <f t="shared" si="106"/>
        <v>43.577708550306745</v>
      </c>
      <c r="N171" s="342">
        <f t="shared" si="100"/>
        <v>1607.8762872072625</v>
      </c>
      <c r="W171" s="338"/>
      <c r="X171" s="338"/>
    </row>
    <row r="172" spans="1:26" x14ac:dyDescent="0.25">
      <c r="A172" s="325" t="s">
        <v>177</v>
      </c>
      <c r="B172" s="327">
        <f>Summary!J17/1000000</f>
        <v>462.09026953014376</v>
      </c>
      <c r="C172" s="327">
        <f>Summary!J21/1000000</f>
        <v>190.0218458686272</v>
      </c>
      <c r="D172" s="327">
        <f>Summary!J25/1000000</f>
        <v>492.87529395718991</v>
      </c>
      <c r="E172" s="327">
        <f>Summary!J30/1000000</f>
        <v>235.54317407176879</v>
      </c>
      <c r="F172" s="327">
        <f>Summary!J35/1000000</f>
        <v>145.62845744683821</v>
      </c>
      <c r="G172" s="327">
        <f>Summary!J44/1000000</f>
        <v>5.1511742704671031</v>
      </c>
      <c r="H172" s="327">
        <f>Summary!J49/1000000</f>
        <v>0.12698900000000002</v>
      </c>
      <c r="I172" s="327">
        <f>Summary!J54/1000000</f>
        <v>2.2739879970972421</v>
      </c>
      <c r="J172" s="327">
        <f>(Summary!J58)/1000000</f>
        <v>12.605162219999999</v>
      </c>
      <c r="K172" s="327">
        <f>Summary!J68/1000000</f>
        <v>0.34775659287776717</v>
      </c>
      <c r="L172" s="327">
        <f>Summary!J73/1000000</f>
        <v>12.191720381133871</v>
      </c>
      <c r="M172" s="327">
        <f>Summary!J78/1000000</f>
        <v>43.274121534063838</v>
      </c>
      <c r="N172" s="342">
        <f t="shared" si="100"/>
        <v>1602.1299528702077</v>
      </c>
      <c r="W172" s="338"/>
      <c r="X172" s="338"/>
    </row>
    <row r="173" spans="1:26" x14ac:dyDescent="0.25">
      <c r="A173" s="325" t="s">
        <v>178</v>
      </c>
      <c r="B173" s="327">
        <f>Summary!K17/1000000</f>
        <v>461.4537158843184</v>
      </c>
      <c r="C173" s="327">
        <f>Summary!K21/1000000</f>
        <v>193.96701130428866</v>
      </c>
      <c r="D173" s="327">
        <f>Summary!K25/1000000</f>
        <v>491.28835611650243</v>
      </c>
      <c r="E173" s="327">
        <f>Summary!K30/1000000</f>
        <v>229.37899023506711</v>
      </c>
      <c r="F173" s="327">
        <f>Summary!K35/1000000</f>
        <v>145.14100646077191</v>
      </c>
      <c r="G173" s="327">
        <f>Summary!K44/1000000</f>
        <v>3.7982808279070697</v>
      </c>
      <c r="H173" s="327">
        <f>Summary!K49/1000000</f>
        <v>0.12698900000000002</v>
      </c>
      <c r="I173" s="327">
        <f>Summary!K54/1000000</f>
        <v>2.2739879970972421</v>
      </c>
      <c r="J173" s="327">
        <f>(Summary!K58)/1000000</f>
        <v>12.605162219999999</v>
      </c>
      <c r="K173" s="327">
        <f>Summary!K68/1000000</f>
        <v>0.34775659287776717</v>
      </c>
      <c r="L173" s="327">
        <f>Summary!K73/1000000</f>
        <v>12.191720381133871</v>
      </c>
      <c r="M173" s="327">
        <f>Summary!K78/1000000</f>
        <v>43.274121534063838</v>
      </c>
      <c r="N173" s="342">
        <f t="shared" si="100"/>
        <v>1595.8470985540282</v>
      </c>
      <c r="W173" s="338"/>
      <c r="X173" s="338"/>
    </row>
    <row r="174" spans="1:26" x14ac:dyDescent="0.25">
      <c r="A174" s="329"/>
      <c r="B174" s="330"/>
      <c r="C174" s="330"/>
      <c r="D174" s="330"/>
      <c r="E174" s="331"/>
      <c r="F174" s="330"/>
      <c r="G174" s="330"/>
      <c r="H174" s="330"/>
      <c r="I174" s="330"/>
      <c r="J174" s="330"/>
      <c r="X174" s="338"/>
      <c r="Y174" s="338"/>
      <c r="Z174" s="338"/>
    </row>
    <row r="175" spans="1:26" x14ac:dyDescent="0.25">
      <c r="A175" s="453" t="s">
        <v>347</v>
      </c>
      <c r="B175" s="453"/>
      <c r="C175" s="453"/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X175" s="338"/>
      <c r="Y175" s="338"/>
      <c r="Z175" s="338"/>
    </row>
    <row r="176" spans="1:26" ht="60" x14ac:dyDescent="0.25">
      <c r="A176" s="418" t="str">
        <f t="shared" ref="A176:N176" si="107">A152</f>
        <v>Year</v>
      </c>
      <c r="B176" s="419" t="str">
        <f t="shared" si="107"/>
        <v xml:space="preserve">Residential </v>
      </c>
      <c r="C176" s="419" t="str">
        <f t="shared" si="107"/>
        <v>General Service &lt; 50 kW</v>
      </c>
      <c r="D176" s="419" t="str">
        <f t="shared" si="107"/>
        <v>General Service &gt; 50 to 999 kW</v>
      </c>
      <c r="E176" s="419" t="str">
        <f t="shared" si="107"/>
        <v>General Service &gt; 1000 to 4999 kW</v>
      </c>
      <c r="F176" s="419" t="str">
        <f t="shared" si="107"/>
        <v>Large User</v>
      </c>
      <c r="G176" s="417" t="str">
        <f t="shared" si="107"/>
        <v>Street Lights</v>
      </c>
      <c r="H176" s="417" t="str">
        <f t="shared" si="107"/>
        <v>Sentinel Lights</v>
      </c>
      <c r="I176" s="417" t="str">
        <f t="shared" si="107"/>
        <v xml:space="preserve">Unmetered Loads </v>
      </c>
      <c r="J176" s="417" t="str">
        <f t="shared" si="107"/>
        <v>Embedded Distributor - Hydro One, CND</v>
      </c>
      <c r="K176" s="417" t="str">
        <f t="shared" si="107"/>
        <v>Embedded Distributor - Brantford Power, BCP</v>
      </c>
      <c r="L176" s="417" t="str">
        <f t="shared" si="107"/>
        <v>Embedded Distributor - Hydro One #1, BCP</v>
      </c>
      <c r="M176" s="417" t="str">
        <f t="shared" si="107"/>
        <v>Embedded Distributor - Hydro One #2, BCP</v>
      </c>
      <c r="N176" s="417" t="str">
        <f t="shared" si="107"/>
        <v>Total</v>
      </c>
      <c r="W176" s="338"/>
      <c r="X176" s="338"/>
    </row>
    <row r="177" spans="1:24" x14ac:dyDescent="0.25">
      <c r="A177" s="344" t="s">
        <v>203</v>
      </c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W177" s="338"/>
      <c r="X177" s="338"/>
    </row>
    <row r="178" spans="1:24" x14ac:dyDescent="0.25">
      <c r="A178" s="325">
        <f t="shared" ref="A178:A187" si="108">A164</f>
        <v>2010</v>
      </c>
      <c r="B178" s="333">
        <f t="shared" ref="B178:E179" si="109">B67+B122</f>
        <v>53053.824999999997</v>
      </c>
      <c r="C178" s="333">
        <f t="shared" si="109"/>
        <v>5893.3649999999998</v>
      </c>
      <c r="D178" s="333">
        <f t="shared" si="109"/>
        <v>802.59164999999996</v>
      </c>
      <c r="E178" s="333">
        <f t="shared" si="109"/>
        <v>31</v>
      </c>
      <c r="F178" s="333">
        <f>F122</f>
        <v>2</v>
      </c>
      <c r="G178" s="333">
        <f>F67+G122</f>
        <v>15198.5</v>
      </c>
      <c r="H178" s="333">
        <f>G67</f>
        <v>219.19</v>
      </c>
      <c r="I178" s="333">
        <f>H67+H122</f>
        <v>588.875</v>
      </c>
      <c r="J178" s="333">
        <f>I122</f>
        <v>2</v>
      </c>
      <c r="K178" s="333">
        <f t="shared" ref="K178:K185" si="110">I67</f>
        <v>1</v>
      </c>
      <c r="L178" s="333">
        <f t="shared" ref="L178:M178" si="111">J67</f>
        <v>1</v>
      </c>
      <c r="M178" s="333">
        <f t="shared" si="111"/>
        <v>4</v>
      </c>
      <c r="N178" s="333">
        <f>SUM(B178:M178)</f>
        <v>75797.346649999992</v>
      </c>
      <c r="O178" s="150"/>
      <c r="W178" s="338"/>
      <c r="X178" s="338"/>
    </row>
    <row r="179" spans="1:24" x14ac:dyDescent="0.25">
      <c r="A179" s="325">
        <f t="shared" si="108"/>
        <v>2011</v>
      </c>
      <c r="B179" s="333">
        <f t="shared" si="109"/>
        <v>54019.096548117159</v>
      </c>
      <c r="C179" s="333">
        <f t="shared" si="109"/>
        <v>5932.2793346659055</v>
      </c>
      <c r="D179" s="333">
        <f t="shared" si="109"/>
        <v>822.44998333333331</v>
      </c>
      <c r="E179" s="333">
        <f t="shared" si="109"/>
        <v>33</v>
      </c>
      <c r="F179" s="333">
        <f>F123</f>
        <v>2</v>
      </c>
      <c r="G179" s="333">
        <f>F68+G123</f>
        <v>15263.5</v>
      </c>
      <c r="H179" s="333">
        <f>G68</f>
        <v>189.12055555555554</v>
      </c>
      <c r="I179" s="333">
        <f>H68+H123</f>
        <v>564.95000000000005</v>
      </c>
      <c r="J179" s="333">
        <f>I123</f>
        <v>2</v>
      </c>
      <c r="K179" s="333">
        <f t="shared" si="110"/>
        <v>1</v>
      </c>
      <c r="L179" s="333">
        <f t="shared" ref="L179:M179" si="112">J68</f>
        <v>1</v>
      </c>
      <c r="M179" s="333">
        <f t="shared" si="112"/>
        <v>4</v>
      </c>
      <c r="N179" s="333">
        <f t="shared" ref="N179:N187" si="113">SUM(B179:M179)</f>
        <v>76834.396421671932</v>
      </c>
      <c r="O179" s="150"/>
      <c r="W179" s="338"/>
      <c r="X179" s="338"/>
    </row>
    <row r="180" spans="1:24" x14ac:dyDescent="0.25">
      <c r="A180" s="325">
        <f t="shared" si="108"/>
        <v>2012</v>
      </c>
      <c r="B180" s="333">
        <f t="shared" ref="B180:E182" si="114">B70+B124</f>
        <v>54633.271548117154</v>
      </c>
      <c r="C180" s="333">
        <f t="shared" si="114"/>
        <v>5980.4143346659048</v>
      </c>
      <c r="D180" s="333">
        <f t="shared" si="114"/>
        <v>838.98333333333335</v>
      </c>
      <c r="E180" s="333">
        <f t="shared" si="114"/>
        <v>32</v>
      </c>
      <c r="F180" s="333">
        <f>F124</f>
        <v>2</v>
      </c>
      <c r="G180" s="333">
        <f>F70+G124</f>
        <v>15362</v>
      </c>
      <c r="H180" s="333">
        <f t="shared" ref="H180:H185" si="115">G70</f>
        <v>176.89706230751005</v>
      </c>
      <c r="I180" s="333">
        <f>H70+H124</f>
        <v>538.45000000000005</v>
      </c>
      <c r="J180" s="333">
        <f>I124</f>
        <v>2</v>
      </c>
      <c r="K180" s="333">
        <f t="shared" si="110"/>
        <v>1</v>
      </c>
      <c r="L180" s="333">
        <f t="shared" ref="L180:M180" si="116">J69</f>
        <v>1</v>
      </c>
      <c r="M180" s="333">
        <f t="shared" si="116"/>
        <v>4</v>
      </c>
      <c r="N180" s="333">
        <f t="shared" si="113"/>
        <v>77572.016278423907</v>
      </c>
      <c r="O180" s="150"/>
      <c r="W180" s="338"/>
      <c r="X180" s="338"/>
    </row>
    <row r="181" spans="1:24" x14ac:dyDescent="0.25">
      <c r="A181" s="325">
        <f t="shared" si="108"/>
        <v>2013</v>
      </c>
      <c r="B181" s="333">
        <f t="shared" si="114"/>
        <v>55069.766666666663</v>
      </c>
      <c r="C181" s="333">
        <f t="shared" si="114"/>
        <v>6004.383517763541</v>
      </c>
      <c r="D181" s="333">
        <f t="shared" si="114"/>
        <v>840.00026063386156</v>
      </c>
      <c r="E181" s="333">
        <f t="shared" si="114"/>
        <v>29.5</v>
      </c>
      <c r="F181" s="333">
        <f>F125</f>
        <v>2.5</v>
      </c>
      <c r="G181" s="333">
        <f>F71+G125</f>
        <v>15453.073785272187</v>
      </c>
      <c r="H181" s="333">
        <f t="shared" si="115"/>
        <v>190.6022269604359</v>
      </c>
      <c r="I181" s="333">
        <f>H71+H125</f>
        <v>534</v>
      </c>
      <c r="J181" s="333">
        <f>I125</f>
        <v>2</v>
      </c>
      <c r="K181" s="333">
        <f t="shared" si="110"/>
        <v>1</v>
      </c>
      <c r="L181" s="333">
        <f t="shared" ref="L181:M181" si="117">J70</f>
        <v>1</v>
      </c>
      <c r="M181" s="333">
        <f t="shared" si="117"/>
        <v>4</v>
      </c>
      <c r="N181" s="333">
        <f t="shared" si="113"/>
        <v>78131.826457296687</v>
      </c>
      <c r="O181" s="150"/>
      <c r="W181" s="338"/>
      <c r="X181" s="338"/>
    </row>
    <row r="182" spans="1:24" x14ac:dyDescent="0.25">
      <c r="A182" s="325">
        <f t="shared" si="108"/>
        <v>2014</v>
      </c>
      <c r="B182" s="333">
        <f t="shared" si="114"/>
        <v>55463.033333333333</v>
      </c>
      <c r="C182" s="333">
        <f t="shared" si="114"/>
        <v>6056.767035527082</v>
      </c>
      <c r="D182" s="333">
        <f t="shared" si="114"/>
        <v>825.00052126772312</v>
      </c>
      <c r="E182" s="333">
        <f t="shared" si="114"/>
        <v>29</v>
      </c>
      <c r="F182" s="333">
        <f>F126</f>
        <v>2.5</v>
      </c>
      <c r="G182" s="333">
        <f>F72+G126</f>
        <v>15512.073785272187</v>
      </c>
      <c r="H182" s="333">
        <f t="shared" si="115"/>
        <v>188.52144041696278</v>
      </c>
      <c r="I182" s="333">
        <f>H72+H126</f>
        <v>531</v>
      </c>
      <c r="J182" s="333">
        <f>I127</f>
        <v>2</v>
      </c>
      <c r="K182" s="333">
        <f t="shared" si="110"/>
        <v>1</v>
      </c>
      <c r="L182" s="333">
        <f t="shared" ref="L182:M182" si="118">J71</f>
        <v>1</v>
      </c>
      <c r="M182" s="333">
        <f t="shared" si="118"/>
        <v>4</v>
      </c>
      <c r="N182" s="333">
        <f t="shared" si="113"/>
        <v>78615.89611581729</v>
      </c>
      <c r="O182" s="150"/>
      <c r="W182" s="338"/>
      <c r="X182" s="338"/>
    </row>
    <row r="183" spans="1:24" x14ac:dyDescent="0.25">
      <c r="A183" s="325">
        <f t="shared" si="108"/>
        <v>2015</v>
      </c>
      <c r="B183" s="333">
        <f t="shared" ref="B183:E185" si="119">B73+B128</f>
        <v>55921.837967914442</v>
      </c>
      <c r="C183" s="333">
        <f t="shared" si="119"/>
        <v>6149.0998196068595</v>
      </c>
      <c r="D183" s="333">
        <f t="shared" si="119"/>
        <v>807.93707304671113</v>
      </c>
      <c r="E183" s="333">
        <f t="shared" si="119"/>
        <v>29</v>
      </c>
      <c r="F183" s="333">
        <f>F128</f>
        <v>2</v>
      </c>
      <c r="G183" s="333">
        <f>F73+G128</f>
        <v>15538.5</v>
      </c>
      <c r="H183" s="333">
        <f t="shared" si="115"/>
        <v>188.78204217010187</v>
      </c>
      <c r="I183" s="333">
        <f>H73+H128</f>
        <v>534</v>
      </c>
      <c r="J183" s="333">
        <f>I128</f>
        <v>2</v>
      </c>
      <c r="K183" s="333">
        <f t="shared" si="110"/>
        <v>1</v>
      </c>
      <c r="L183" s="333">
        <f t="shared" ref="L183:M183" si="120">J72</f>
        <v>1</v>
      </c>
      <c r="M183" s="333">
        <f t="shared" si="120"/>
        <v>4</v>
      </c>
      <c r="N183" s="333">
        <f t="shared" si="113"/>
        <v>79179.156902738119</v>
      </c>
      <c r="O183" s="150"/>
      <c r="W183" s="338"/>
      <c r="X183" s="338"/>
    </row>
    <row r="184" spans="1:24" x14ac:dyDescent="0.25">
      <c r="A184" s="325">
        <f t="shared" si="108"/>
        <v>2016</v>
      </c>
      <c r="B184" s="333">
        <f t="shared" si="119"/>
        <v>56560.571301247772</v>
      </c>
      <c r="C184" s="333">
        <f t="shared" ref="C184:E185" si="121">C74+C129</f>
        <v>6240.7163018433184</v>
      </c>
      <c r="D184" s="333">
        <f t="shared" si="121"/>
        <v>805.93681241284958</v>
      </c>
      <c r="E184" s="333">
        <f t="shared" si="121"/>
        <v>28.5</v>
      </c>
      <c r="F184" s="333">
        <f>F129</f>
        <v>2</v>
      </c>
      <c r="G184" s="333">
        <f>F74+G129</f>
        <v>15726</v>
      </c>
      <c r="H184" s="333">
        <f t="shared" si="115"/>
        <v>181.02132196162046</v>
      </c>
      <c r="I184" s="333">
        <f>H74+H129</f>
        <v>523</v>
      </c>
      <c r="J184" s="333">
        <f>I129</f>
        <v>2</v>
      </c>
      <c r="K184" s="333">
        <f t="shared" si="110"/>
        <v>1</v>
      </c>
      <c r="L184" s="333">
        <f t="shared" ref="L184:M184" si="122">J73</f>
        <v>1</v>
      </c>
      <c r="M184" s="333">
        <f t="shared" si="122"/>
        <v>4</v>
      </c>
      <c r="N184" s="333">
        <f t="shared" si="113"/>
        <v>80075.745737465564</v>
      </c>
      <c r="O184" s="150"/>
      <c r="W184" s="338"/>
      <c r="X184" s="338"/>
    </row>
    <row r="185" spans="1:24" x14ac:dyDescent="0.25">
      <c r="A185" s="325">
        <f t="shared" si="108"/>
        <v>2017</v>
      </c>
      <c r="B185" s="333">
        <f t="shared" si="119"/>
        <v>57271.5</v>
      </c>
      <c r="C185" s="333">
        <f t="shared" si="121"/>
        <v>6297.5</v>
      </c>
      <c r="D185" s="333">
        <f t="shared" si="121"/>
        <v>796</v>
      </c>
      <c r="E185" s="333">
        <f t="shared" si="121"/>
        <v>28</v>
      </c>
      <c r="F185" s="333">
        <f>F130</f>
        <v>2</v>
      </c>
      <c r="G185" s="333">
        <f>F75+G130</f>
        <v>16024</v>
      </c>
      <c r="H185" s="333">
        <f t="shared" si="115"/>
        <v>168</v>
      </c>
      <c r="I185" s="333">
        <f>H75+H130</f>
        <v>499</v>
      </c>
      <c r="J185" s="333">
        <f>I130</f>
        <v>2</v>
      </c>
      <c r="K185" s="333">
        <f t="shared" si="110"/>
        <v>1</v>
      </c>
      <c r="L185" s="333">
        <f t="shared" ref="L185:M185" si="123">J74</f>
        <v>1</v>
      </c>
      <c r="M185" s="333">
        <f t="shared" si="123"/>
        <v>4</v>
      </c>
      <c r="N185" s="333">
        <f t="shared" si="113"/>
        <v>81094</v>
      </c>
      <c r="O185" s="150"/>
      <c r="W185" s="338"/>
      <c r="X185" s="338"/>
    </row>
    <row r="186" spans="1:24" x14ac:dyDescent="0.25">
      <c r="A186" s="325" t="str">
        <f t="shared" si="108"/>
        <v>2018 Bridge</v>
      </c>
      <c r="B186" s="333">
        <f>Summary!J16</f>
        <v>57970.103375516119</v>
      </c>
      <c r="C186" s="333">
        <f>Summary!J20</f>
        <v>6373.6893471967605</v>
      </c>
      <c r="D186" s="333">
        <f>Summary!J24</f>
        <v>798.19667260588278</v>
      </c>
      <c r="E186" s="333">
        <f>Summary!J29</f>
        <v>27.493472574956247</v>
      </c>
      <c r="F186" s="333">
        <f>Summary!J34</f>
        <v>2</v>
      </c>
      <c r="G186" s="333">
        <f>Summary!J43</f>
        <v>16141.350826567697</v>
      </c>
      <c r="H186" s="333">
        <f>Summary!J48</f>
        <v>168</v>
      </c>
      <c r="I186" s="333">
        <f>Summary!J53</f>
        <v>499</v>
      </c>
      <c r="J186" s="333">
        <f>Summary!J57</f>
        <v>2</v>
      </c>
      <c r="K186" s="333">
        <f>Summary!J67</f>
        <v>1</v>
      </c>
      <c r="L186" s="333">
        <f>Summary!J72</f>
        <v>1</v>
      </c>
      <c r="M186" s="333">
        <f>Summary!J77</f>
        <v>4</v>
      </c>
      <c r="N186" s="333">
        <f t="shared" si="113"/>
        <v>81987.833694461413</v>
      </c>
      <c r="O186" s="150"/>
      <c r="W186" s="338"/>
      <c r="X186" s="338"/>
    </row>
    <row r="187" spans="1:24" x14ac:dyDescent="0.25">
      <c r="A187" s="325" t="str">
        <f t="shared" si="108"/>
        <v>2019 Test</v>
      </c>
      <c r="B187" s="333">
        <f>Summary!K16</f>
        <v>58677.228383541995</v>
      </c>
      <c r="C187" s="333">
        <f>Summary!K20</f>
        <v>6450.8004596378669</v>
      </c>
      <c r="D187" s="333">
        <f>Summary!K24</f>
        <v>800.39940723505379</v>
      </c>
      <c r="E187" s="333">
        <f>Summary!K29</f>
        <v>26.996108365352548</v>
      </c>
      <c r="F187" s="333">
        <f>Summary!K34</f>
        <v>2</v>
      </c>
      <c r="G187" s="333">
        <f>Summary!K43</f>
        <v>16259.561065048532</v>
      </c>
      <c r="H187" s="333">
        <f>Summary!K48</f>
        <v>168</v>
      </c>
      <c r="I187" s="333">
        <f>Summary!K53</f>
        <v>499</v>
      </c>
      <c r="J187" s="333">
        <f>Summary!K57</f>
        <v>2</v>
      </c>
      <c r="K187" s="333">
        <f>Summary!K67</f>
        <v>1</v>
      </c>
      <c r="L187" s="333">
        <f>Summary!K72</f>
        <v>1</v>
      </c>
      <c r="M187" s="333">
        <f>Summary!K77</f>
        <v>4</v>
      </c>
      <c r="N187" s="333">
        <f t="shared" si="113"/>
        <v>82891.985423828795</v>
      </c>
      <c r="O187" s="150"/>
      <c r="W187" s="338"/>
      <c r="X187" s="338"/>
    </row>
    <row r="188" spans="1:24" x14ac:dyDescent="0.25">
      <c r="A188" s="444" t="s">
        <v>232</v>
      </c>
      <c r="B188" s="444"/>
      <c r="C188" s="444"/>
      <c r="D188" s="444"/>
      <c r="E188" s="444"/>
      <c r="F188" s="444"/>
      <c r="G188" s="444"/>
      <c r="H188" s="444"/>
      <c r="I188" s="444"/>
      <c r="J188" s="444"/>
      <c r="K188" s="444"/>
      <c r="L188" s="444"/>
      <c r="M188" s="444"/>
      <c r="U188" s="338"/>
      <c r="V188" s="338"/>
    </row>
    <row r="189" spans="1:24" x14ac:dyDescent="0.25">
      <c r="A189" s="347">
        <f>A178</f>
        <v>2010</v>
      </c>
      <c r="B189" s="348">
        <f t="shared" ref="B189:K189" si="124">B154*1000000/B178</f>
        <v>8981.18962006945</v>
      </c>
      <c r="C189" s="348">
        <f t="shared" si="124"/>
        <v>33807.142499853486</v>
      </c>
      <c r="D189" s="348">
        <f t="shared" si="124"/>
        <v>606191.033027914</v>
      </c>
      <c r="E189" s="348">
        <f t="shared" si="124"/>
        <v>8079333.5502781933</v>
      </c>
      <c r="F189" s="348">
        <f t="shared" si="124"/>
        <v>98278640.311352998</v>
      </c>
      <c r="G189" s="348">
        <f t="shared" si="124"/>
        <v>738.80228262954233</v>
      </c>
      <c r="H189" s="348">
        <f t="shared" si="124"/>
        <v>799.69159176969754</v>
      </c>
      <c r="I189" s="348">
        <f t="shared" si="124"/>
        <v>4432.0864538447886</v>
      </c>
      <c r="J189" s="348">
        <f t="shared" si="124"/>
        <v>6807492.5598597499</v>
      </c>
      <c r="K189" s="348">
        <f t="shared" si="124"/>
        <v>373339</v>
      </c>
      <c r="L189" s="348">
        <f t="shared" ref="L189:M189" si="125">L154*1000000/L178</f>
        <v>13348829.459999999</v>
      </c>
      <c r="M189" s="348">
        <f t="shared" si="125"/>
        <v>12563307.4625</v>
      </c>
      <c r="U189" s="338"/>
      <c r="V189" s="338"/>
    </row>
    <row r="190" spans="1:24" x14ac:dyDescent="0.25">
      <c r="A190" s="336">
        <f t="shared" ref="A190:A196" si="126">A179</f>
        <v>2011</v>
      </c>
      <c r="B190" s="337">
        <f t="shared" ref="B190:K190" si="127">B155*1000000/B179</f>
        <v>8857.1774420778183</v>
      </c>
      <c r="C190" s="337">
        <f t="shared" si="127"/>
        <v>32785.457890876009</v>
      </c>
      <c r="D190" s="337">
        <f t="shared" si="127"/>
        <v>608532.54019618337</v>
      </c>
      <c r="E190" s="337">
        <f t="shared" si="127"/>
        <v>8177331.2783978777</v>
      </c>
      <c r="F190" s="337">
        <f t="shared" si="127"/>
        <v>84597900.095935002</v>
      </c>
      <c r="G190" s="337">
        <f t="shared" si="127"/>
        <v>735.70232999598716</v>
      </c>
      <c r="H190" s="337">
        <f t="shared" si="127"/>
        <v>867.20351216302367</v>
      </c>
      <c r="I190" s="337">
        <f t="shared" si="127"/>
        <v>4448.0371492377008</v>
      </c>
      <c r="J190" s="337">
        <f t="shared" si="127"/>
        <v>6739296.8724627001</v>
      </c>
      <c r="K190" s="337">
        <f t="shared" si="127"/>
        <v>373339</v>
      </c>
      <c r="L190" s="337">
        <f t="shared" ref="L190:M190" si="128">L155*1000000/L179</f>
        <v>13695349.587000001</v>
      </c>
      <c r="M190" s="337">
        <f t="shared" si="128"/>
        <v>12886943.362500001</v>
      </c>
      <c r="U190" s="338"/>
      <c r="V190" s="338"/>
    </row>
    <row r="191" spans="1:24" x14ac:dyDescent="0.25">
      <c r="A191" s="336">
        <f t="shared" si="126"/>
        <v>2012</v>
      </c>
      <c r="B191" s="337">
        <f t="shared" ref="B191:K191" si="129">B156*1000000/B180</f>
        <v>8772.0743109214818</v>
      </c>
      <c r="C191" s="337">
        <f t="shared" si="129"/>
        <v>32489.02464997175</v>
      </c>
      <c r="D191" s="337">
        <f t="shared" si="129"/>
        <v>597312.63413809647</v>
      </c>
      <c r="E191" s="337">
        <f t="shared" si="129"/>
        <v>8000256.8365715006</v>
      </c>
      <c r="F191" s="337">
        <f t="shared" si="129"/>
        <v>100594752.60625</v>
      </c>
      <c r="G191" s="337">
        <f t="shared" si="129"/>
        <v>739.48437320812013</v>
      </c>
      <c r="H191" s="337">
        <f t="shared" si="129"/>
        <v>1008.5322371824705</v>
      </c>
      <c r="I191" s="337">
        <f t="shared" si="129"/>
        <v>4563.9476214041224</v>
      </c>
      <c r="J191" s="337">
        <f t="shared" si="129"/>
        <v>6504264.4287109496</v>
      </c>
      <c r="K191" s="337">
        <f t="shared" si="129"/>
        <v>374823</v>
      </c>
      <c r="L191" s="337">
        <f t="shared" ref="L191:M191" si="130">L156*1000000/L180</f>
        <v>9863706.6199999992</v>
      </c>
      <c r="M191" s="337">
        <f t="shared" si="130"/>
        <v>13079740.385000002</v>
      </c>
      <c r="U191" s="338"/>
      <c r="V191" s="338"/>
    </row>
    <row r="192" spans="1:24" x14ac:dyDescent="0.25">
      <c r="A192" s="336">
        <f t="shared" si="126"/>
        <v>2013</v>
      </c>
      <c r="B192" s="337">
        <f t="shared" ref="B192:K192" si="131">B157*1000000/B181</f>
        <v>8441.0806639819912</v>
      </c>
      <c r="C192" s="337">
        <f t="shared" si="131"/>
        <v>32262.640503708873</v>
      </c>
      <c r="D192" s="337">
        <f t="shared" si="131"/>
        <v>617081.67418034689</v>
      </c>
      <c r="E192" s="337">
        <f t="shared" si="131"/>
        <v>9162052.2979661021</v>
      </c>
      <c r="F192" s="337">
        <f t="shared" si="131"/>
        <v>81962502.783999994</v>
      </c>
      <c r="G192" s="337">
        <f t="shared" si="131"/>
        <v>728.84808398018117</v>
      </c>
      <c r="H192" s="337">
        <f t="shared" si="131"/>
        <v>801.68606860883096</v>
      </c>
      <c r="I192" s="337">
        <f t="shared" si="131"/>
        <v>4551.7693239411001</v>
      </c>
      <c r="J192" s="337">
        <f t="shared" si="131"/>
        <v>6588355.6099999994</v>
      </c>
      <c r="K192" s="337">
        <f t="shared" si="131"/>
        <v>356273</v>
      </c>
      <c r="L192" s="337">
        <f t="shared" ref="L192:M192" si="132">L157*1000000/L181</f>
        <v>13883197</v>
      </c>
      <c r="M192" s="337">
        <f t="shared" si="132"/>
        <v>13029275.4825</v>
      </c>
      <c r="U192" s="338"/>
      <c r="V192" s="338"/>
    </row>
    <row r="193" spans="1:24" x14ac:dyDescent="0.25">
      <c r="A193" s="336">
        <f t="shared" si="126"/>
        <v>2014</v>
      </c>
      <c r="B193" s="337">
        <f t="shared" ref="B193:K193" si="133">B158*1000000/B182</f>
        <v>8600.791183436897</v>
      </c>
      <c r="C193" s="337">
        <f t="shared" si="133"/>
        <v>32715.348553067859</v>
      </c>
      <c r="D193" s="337">
        <f t="shared" si="133"/>
        <v>599123.55087832466</v>
      </c>
      <c r="E193" s="337">
        <f t="shared" si="133"/>
        <v>9070419.8568965532</v>
      </c>
      <c r="F193" s="337">
        <f t="shared" si="133"/>
        <v>82106157.827999994</v>
      </c>
      <c r="G193" s="337">
        <f t="shared" si="133"/>
        <v>735.30566047393654</v>
      </c>
      <c r="H193" s="337">
        <f t="shared" si="133"/>
        <v>777.18077941662534</v>
      </c>
      <c r="I193" s="337">
        <f t="shared" si="133"/>
        <v>4616.6515156517198</v>
      </c>
      <c r="J193" s="337">
        <f t="shared" si="133"/>
        <v>6922953.5999999996</v>
      </c>
      <c r="K193" s="337">
        <f t="shared" si="133"/>
        <v>338022</v>
      </c>
      <c r="L193" s="337">
        <f t="shared" ref="L193:M193" si="134">L158*1000000/L182</f>
        <v>12996387</v>
      </c>
      <c r="M193" s="337">
        <f t="shared" si="134"/>
        <v>12871435.337499999</v>
      </c>
      <c r="U193" s="338"/>
      <c r="V193" s="338"/>
    </row>
    <row r="194" spans="1:24" x14ac:dyDescent="0.25">
      <c r="A194" s="336">
        <f t="shared" si="126"/>
        <v>2015</v>
      </c>
      <c r="B194" s="337">
        <f t="shared" ref="B194:K194" si="135">B159*1000000/B183</f>
        <v>8700.3809899312946</v>
      </c>
      <c r="C194" s="337">
        <f t="shared" si="135"/>
        <v>33029.318271172022</v>
      </c>
      <c r="D194" s="337">
        <f t="shared" si="135"/>
        <v>601413.35486969037</v>
      </c>
      <c r="E194" s="337">
        <f t="shared" si="135"/>
        <v>9077769.9837602302</v>
      </c>
      <c r="F194" s="337">
        <f t="shared" si="135"/>
        <v>103687180.795</v>
      </c>
      <c r="G194" s="337">
        <f t="shared" si="135"/>
        <v>733.29251335392746</v>
      </c>
      <c r="H194" s="337">
        <f t="shared" si="135"/>
        <v>755.94276465802852</v>
      </c>
      <c r="I194" s="337">
        <f t="shared" si="135"/>
        <v>4519.8759785648863</v>
      </c>
      <c r="J194" s="337">
        <f t="shared" si="135"/>
        <v>6774101.25</v>
      </c>
      <c r="K194" s="337">
        <f t="shared" si="135"/>
        <v>352067.78</v>
      </c>
      <c r="L194" s="337">
        <f t="shared" ref="L194:M194" si="136">L159*1000000/L183</f>
        <v>13819341.6</v>
      </c>
      <c r="M194" s="337">
        <f t="shared" si="136"/>
        <v>15584863.7575</v>
      </c>
      <c r="U194" s="338"/>
      <c r="V194" s="338"/>
    </row>
    <row r="195" spans="1:24" x14ac:dyDescent="0.25">
      <c r="A195" s="336">
        <f t="shared" si="126"/>
        <v>2016</v>
      </c>
      <c r="B195" s="337">
        <f t="shared" ref="B195:K195" si="137">B160*1000000/B184</f>
        <v>8485.4898194868856</v>
      </c>
      <c r="C195" s="337">
        <f t="shared" si="137"/>
        <v>34099.854678323245</v>
      </c>
      <c r="D195" s="337">
        <f t="shared" si="137"/>
        <v>600791.47141893243</v>
      </c>
      <c r="E195" s="337">
        <f t="shared" si="137"/>
        <v>9186127.3129824549</v>
      </c>
      <c r="F195" s="337">
        <f t="shared" si="137"/>
        <v>75625155.909999982</v>
      </c>
      <c r="G195" s="337">
        <f t="shared" si="137"/>
        <v>706.38472275213201</v>
      </c>
      <c r="H195" s="337">
        <f t="shared" si="137"/>
        <v>755.16518451336344</v>
      </c>
      <c r="I195" s="337">
        <f t="shared" si="137"/>
        <v>4487.2611854684501</v>
      </c>
      <c r="J195" s="337">
        <f t="shared" si="137"/>
        <v>6513806.0399999972</v>
      </c>
      <c r="K195" s="337">
        <f t="shared" si="137"/>
        <v>380114.44</v>
      </c>
      <c r="L195" s="337">
        <f t="shared" ref="L195:M195" si="138">L160*1000000/L184</f>
        <v>13560291.5</v>
      </c>
      <c r="M195" s="337">
        <f t="shared" si="138"/>
        <v>11512572.300000001</v>
      </c>
      <c r="U195" s="338"/>
      <c r="V195" s="338"/>
    </row>
    <row r="196" spans="1:24" x14ac:dyDescent="0.25">
      <c r="A196" s="336">
        <f t="shared" si="126"/>
        <v>2017</v>
      </c>
      <c r="B196" s="337">
        <f t="shared" ref="B196:K196" si="139">B161*1000000/B185</f>
        <v>7924.6235038369859</v>
      </c>
      <c r="C196" s="337">
        <f t="shared" si="139"/>
        <v>30012.838035728462</v>
      </c>
      <c r="D196" s="337">
        <f t="shared" si="139"/>
        <v>611856.1833370981</v>
      </c>
      <c r="E196" s="337">
        <f t="shared" si="139"/>
        <v>8619710.8973254226</v>
      </c>
      <c r="F196" s="337">
        <f t="shared" si="139"/>
        <v>73113194.079999998</v>
      </c>
      <c r="G196" s="337">
        <f t="shared" si="139"/>
        <v>522.86783699450825</v>
      </c>
      <c r="H196" s="337">
        <f t="shared" si="139"/>
        <v>755.8869047619047</v>
      </c>
      <c r="I196" s="337">
        <f t="shared" si="139"/>
        <v>4557.0901745435713</v>
      </c>
      <c r="J196" s="337">
        <f t="shared" si="139"/>
        <v>6302581.1099999994</v>
      </c>
      <c r="K196" s="337">
        <f t="shared" si="139"/>
        <v>347756.59287776717</v>
      </c>
      <c r="L196" s="337">
        <f t="shared" ref="L196:M196" si="140">L161*1000000/L185</f>
        <v>12191720.381133871</v>
      </c>
      <c r="M196" s="337">
        <f t="shared" si="140"/>
        <v>10818530.38351596</v>
      </c>
      <c r="U196" s="338"/>
      <c r="V196" s="338"/>
    </row>
    <row r="197" spans="1:24" x14ac:dyDescent="0.25">
      <c r="A197" s="444" t="s">
        <v>233</v>
      </c>
      <c r="B197" s="444"/>
      <c r="C197" s="444"/>
      <c r="D197" s="444"/>
      <c r="E197" s="444"/>
      <c r="F197" s="444"/>
      <c r="G197" s="444"/>
      <c r="H197" s="444"/>
      <c r="I197" s="444"/>
      <c r="J197" s="444"/>
      <c r="K197" s="444"/>
      <c r="L197" s="444"/>
      <c r="M197" s="444"/>
      <c r="U197" s="338"/>
      <c r="V197" s="338"/>
    </row>
    <row r="198" spans="1:24" x14ac:dyDescent="0.25">
      <c r="A198" s="336">
        <f>A178</f>
        <v>2010</v>
      </c>
      <c r="B198" s="337">
        <f t="shared" ref="B198:K198" si="141">B164*1000000/B178</f>
        <v>8943.6006057177419</v>
      </c>
      <c r="C198" s="337">
        <f t="shared" si="141"/>
        <v>33665.649310379165</v>
      </c>
      <c r="D198" s="337">
        <f t="shared" si="141"/>
        <v>603653.9389007123</v>
      </c>
      <c r="E198" s="337">
        <f t="shared" si="141"/>
        <v>8045519.0782961072</v>
      </c>
      <c r="F198" s="337">
        <f t="shared" si="141"/>
        <v>97867314.264648154</v>
      </c>
      <c r="G198" s="337">
        <f t="shared" si="141"/>
        <v>735.71017002757924</v>
      </c>
      <c r="H198" s="337">
        <f t="shared" si="141"/>
        <v>796.34463886127674</v>
      </c>
      <c r="I198" s="337">
        <f t="shared" si="141"/>
        <v>4413.5368219620259</v>
      </c>
      <c r="J198" s="337">
        <f t="shared" si="141"/>
        <v>6779001.129842516</v>
      </c>
      <c r="K198" s="337">
        <f t="shared" si="141"/>
        <v>371776.46256089583</v>
      </c>
      <c r="L198" s="337">
        <f t="shared" ref="L198:M198" si="142">L164*1000000/L178</f>
        <v>13292960.542476071</v>
      </c>
      <c r="M198" s="337">
        <f t="shared" si="142"/>
        <v>12510726.193816224</v>
      </c>
      <c r="U198" s="338"/>
      <c r="V198" s="338"/>
    </row>
    <row r="199" spans="1:24" x14ac:dyDescent="0.25">
      <c r="A199" s="336">
        <f t="shared" ref="A199:A207" si="143">A179</f>
        <v>2011</v>
      </c>
      <c r="B199" s="337">
        <f t="shared" ref="B199:K199" si="144">B165*1000000/B179</f>
        <v>8824.9656610231777</v>
      </c>
      <c r="C199" s="337">
        <f t="shared" si="144"/>
        <v>32666.223744528223</v>
      </c>
      <c r="D199" s="337">
        <f t="shared" si="144"/>
        <v>606319.42918225017</v>
      </c>
      <c r="E199" s="337">
        <f t="shared" si="144"/>
        <v>8147591.9617280271</v>
      </c>
      <c r="F199" s="337">
        <f t="shared" si="144"/>
        <v>84290234.470695674</v>
      </c>
      <c r="G199" s="337">
        <f t="shared" si="144"/>
        <v>733.02672791731186</v>
      </c>
      <c r="H199" s="337">
        <f t="shared" si="144"/>
        <v>864.04966661275819</v>
      </c>
      <c r="I199" s="337">
        <f t="shared" si="144"/>
        <v>4431.8605286708071</v>
      </c>
      <c r="J199" s="337">
        <f t="shared" si="144"/>
        <v>6714787.399017279</v>
      </c>
      <c r="K199" s="337">
        <f t="shared" si="144"/>
        <v>371981.24080348364</v>
      </c>
      <c r="L199" s="337">
        <f t="shared" ref="L199:M199" si="145">L165*1000000/L179</f>
        <v>13645542.342508385</v>
      </c>
      <c r="M199" s="337">
        <f t="shared" si="145"/>
        <v>12840076.12959527</v>
      </c>
      <c r="U199" s="338"/>
      <c r="V199" s="338"/>
    </row>
    <row r="200" spans="1:24" x14ac:dyDescent="0.25">
      <c r="A200" s="336">
        <f t="shared" si="143"/>
        <v>2012</v>
      </c>
      <c r="B200" s="337">
        <f t="shared" ref="B200:K200" si="146">B166*1000000/B180</f>
        <v>8717.3218911155946</v>
      </c>
      <c r="C200" s="337">
        <f t="shared" si="146"/>
        <v>32286.23878044208</v>
      </c>
      <c r="D200" s="337">
        <f t="shared" si="146"/>
        <v>593584.40396807028</v>
      </c>
      <c r="E200" s="337">
        <f t="shared" si="146"/>
        <v>7950321.8490936216</v>
      </c>
      <c r="F200" s="337">
        <f t="shared" si="146"/>
        <v>99966873.050087392</v>
      </c>
      <c r="G200" s="337">
        <f t="shared" si="146"/>
        <v>734.86875352608263</v>
      </c>
      <c r="H200" s="337">
        <f t="shared" si="146"/>
        <v>1002.2373086991088</v>
      </c>
      <c r="I200" s="337">
        <f t="shared" si="146"/>
        <v>4535.4609525408541</v>
      </c>
      <c r="J200" s="337">
        <f t="shared" si="146"/>
        <v>6463666.9367259694</v>
      </c>
      <c r="K200" s="337">
        <f t="shared" si="146"/>
        <v>372483.47738294338</v>
      </c>
      <c r="L200" s="337">
        <f t="shared" ref="L200:M200" si="147">L166*1000000/L180</f>
        <v>9802140.5882316679</v>
      </c>
      <c r="M200" s="337">
        <f t="shared" si="147"/>
        <v>12998100.921957616</v>
      </c>
      <c r="U200" s="338"/>
      <c r="V200" s="338"/>
    </row>
    <row r="201" spans="1:24" x14ac:dyDescent="0.25">
      <c r="A201" s="336">
        <f t="shared" si="143"/>
        <v>2013</v>
      </c>
      <c r="B201" s="337">
        <f t="shared" ref="B201:K201" si="148">B167*1000000/B181</f>
        <v>8417.725154589687</v>
      </c>
      <c r="C201" s="337">
        <f t="shared" si="148"/>
        <v>32173.373449726063</v>
      </c>
      <c r="D201" s="337">
        <f t="shared" si="148"/>
        <v>615374.27942713292</v>
      </c>
      <c r="E201" s="337">
        <f t="shared" si="148"/>
        <v>9136701.9421270676</v>
      </c>
      <c r="F201" s="337">
        <f t="shared" si="148"/>
        <v>81735721.868168131</v>
      </c>
      <c r="G201" s="337">
        <f t="shared" si="148"/>
        <v>726.83144429284857</v>
      </c>
      <c r="H201" s="337">
        <f t="shared" si="148"/>
        <v>799.46789450880533</v>
      </c>
      <c r="I201" s="337">
        <f t="shared" si="148"/>
        <v>4539.1750963263203</v>
      </c>
      <c r="J201" s="337">
        <f t="shared" si="148"/>
        <v>6570126.3799458696</v>
      </c>
      <c r="K201" s="337">
        <f t="shared" si="148"/>
        <v>355287.23316172895</v>
      </c>
      <c r="L201" s="337">
        <f t="shared" ref="L201:M201" si="149">L167*1000000/L181</f>
        <v>13844783.774154132</v>
      </c>
      <c r="M201" s="337">
        <f t="shared" si="149"/>
        <v>12993224.960295547</v>
      </c>
      <c r="U201" s="338"/>
      <c r="V201" s="338"/>
    </row>
    <row r="202" spans="1:24" x14ac:dyDescent="0.25">
      <c r="A202" s="336">
        <f t="shared" si="143"/>
        <v>2014</v>
      </c>
      <c r="B202" s="337">
        <f t="shared" ref="B202:K202" si="150">B168*1000000/B182</f>
        <v>8672.4062898123775</v>
      </c>
      <c r="C202" s="337">
        <f t="shared" si="150"/>
        <v>32987.755255750133</v>
      </c>
      <c r="D202" s="337">
        <f t="shared" si="150"/>
        <v>604112.19621491106</v>
      </c>
      <c r="E202" s="337">
        <f t="shared" si="150"/>
        <v>9145945.3601982538</v>
      </c>
      <c r="F202" s="337">
        <f t="shared" si="150"/>
        <v>82789820.656398594</v>
      </c>
      <c r="G202" s="337">
        <f t="shared" si="150"/>
        <v>741.42823594056824</v>
      </c>
      <c r="H202" s="337">
        <f t="shared" si="150"/>
        <v>783.65203107287812</v>
      </c>
      <c r="I202" s="337">
        <f t="shared" si="150"/>
        <v>4655.092396535867</v>
      </c>
      <c r="J202" s="337">
        <f t="shared" si="150"/>
        <v>6980598.0710634626</v>
      </c>
      <c r="K202" s="337">
        <f t="shared" si="150"/>
        <v>340836.56449423748</v>
      </c>
      <c r="L202" s="337">
        <f t="shared" ref="L202:M202" si="151">L168*1000000/L182</f>
        <v>13104602.351082386</v>
      </c>
      <c r="M202" s="337">
        <f t="shared" si="151"/>
        <v>12978610.269577796</v>
      </c>
      <c r="U202" s="338"/>
      <c r="V202" s="338"/>
    </row>
    <row r="203" spans="1:24" x14ac:dyDescent="0.25">
      <c r="A203" s="336">
        <f t="shared" si="143"/>
        <v>2015</v>
      </c>
      <c r="B203" s="337">
        <f t="shared" ref="B203:K203" si="152">B169*1000000/B183</f>
        <v>8705.4801187848934</v>
      </c>
      <c r="C203" s="337">
        <f t="shared" si="152"/>
        <v>33048.676130328553</v>
      </c>
      <c r="D203" s="337">
        <f t="shared" si="152"/>
        <v>601765.83186975564</v>
      </c>
      <c r="E203" s="337">
        <f t="shared" si="152"/>
        <v>9083090.2931701392</v>
      </c>
      <c r="F203" s="337">
        <f t="shared" si="152"/>
        <v>103747949.89188805</v>
      </c>
      <c r="G203" s="337">
        <f t="shared" si="152"/>
        <v>733.72228223615207</v>
      </c>
      <c r="H203" s="337">
        <f t="shared" si="152"/>
        <v>756.38580842443332</v>
      </c>
      <c r="I203" s="337">
        <f t="shared" si="152"/>
        <v>4522.5249924464242</v>
      </c>
      <c r="J203" s="337">
        <f t="shared" si="152"/>
        <v>6778071.4227063507</v>
      </c>
      <c r="K203" s="337">
        <f t="shared" si="152"/>
        <v>352274.12027147762</v>
      </c>
      <c r="L203" s="337">
        <f t="shared" ref="L203:M203" si="153">L169*1000000/L183</f>
        <v>13827440.854914451</v>
      </c>
      <c r="M203" s="337">
        <f t="shared" si="153"/>
        <v>15593997.751581091</v>
      </c>
      <c r="U203" s="338"/>
      <c r="V203" s="338"/>
    </row>
    <row r="204" spans="1:24" x14ac:dyDescent="0.25">
      <c r="A204" s="336">
        <f t="shared" si="143"/>
        <v>2016</v>
      </c>
      <c r="B204" s="337">
        <f t="shared" ref="B204:K204" si="154">B170*1000000/B184</f>
        <v>8373.0880823789666</v>
      </c>
      <c r="C204" s="337">
        <f t="shared" si="154"/>
        <v>33648.156192730945</v>
      </c>
      <c r="D204" s="337">
        <f t="shared" si="154"/>
        <v>592833.17950371176</v>
      </c>
      <c r="E204" s="337">
        <f t="shared" si="154"/>
        <v>9064444.6889691073</v>
      </c>
      <c r="F204" s="337">
        <f t="shared" si="154"/>
        <v>74623398.90195784</v>
      </c>
      <c r="G204" s="337">
        <f t="shared" si="154"/>
        <v>697.02770605740977</v>
      </c>
      <c r="H204" s="337">
        <f t="shared" si="154"/>
        <v>745.16200492698385</v>
      </c>
      <c r="I204" s="337">
        <f t="shared" si="154"/>
        <v>4427.8213696377497</v>
      </c>
      <c r="J204" s="337">
        <f t="shared" si="154"/>
        <v>6427521.9091300685</v>
      </c>
      <c r="K204" s="337">
        <f t="shared" si="154"/>
        <v>375079.31247469381</v>
      </c>
      <c r="L204" s="337">
        <f t="shared" ref="L204:M204" si="155">L170*1000000/L184</f>
        <v>13380667.182168704</v>
      </c>
      <c r="M204" s="337">
        <f t="shared" si="155"/>
        <v>11360072.779921765</v>
      </c>
      <c r="U204" s="338"/>
      <c r="V204" s="338"/>
    </row>
    <row r="205" spans="1:24" x14ac:dyDescent="0.25">
      <c r="A205" s="336">
        <f t="shared" si="143"/>
        <v>2017</v>
      </c>
      <c r="B205" s="337">
        <f t="shared" ref="B205:K205" si="156">B171*1000000/B185</f>
        <v>7980.2182269438317</v>
      </c>
      <c r="C205" s="337">
        <f t="shared" si="156"/>
        <v>30223.391309261155</v>
      </c>
      <c r="D205" s="337">
        <f t="shared" si="156"/>
        <v>616148.62386469764</v>
      </c>
      <c r="E205" s="337">
        <f t="shared" si="156"/>
        <v>8680181.9645459484</v>
      </c>
      <c r="F205" s="337">
        <f t="shared" si="156"/>
        <v>73626115.328355417</v>
      </c>
      <c r="G205" s="337">
        <f t="shared" si="156"/>
        <v>526.53598509076937</v>
      </c>
      <c r="H205" s="337">
        <f t="shared" si="156"/>
        <v>761.18978421731117</v>
      </c>
      <c r="I205" s="337">
        <f t="shared" si="156"/>
        <v>4589.060168613828</v>
      </c>
      <c r="J205" s="337">
        <f t="shared" si="156"/>
        <v>6346796.4915255988</v>
      </c>
      <c r="K205" s="337">
        <f t="shared" si="156"/>
        <v>350196.25849472155</v>
      </c>
      <c r="L205" s="337">
        <f t="shared" ref="L205:M205" si="157">L171*1000000/L185</f>
        <v>12277250.667646164</v>
      </c>
      <c r="M205" s="337">
        <f t="shared" si="157"/>
        <v>10894427.137576686</v>
      </c>
      <c r="U205" s="338"/>
      <c r="V205" s="338"/>
    </row>
    <row r="206" spans="1:24" x14ac:dyDescent="0.25">
      <c r="A206" s="336" t="str">
        <f t="shared" si="143"/>
        <v>2018 Bridge</v>
      </c>
      <c r="B206" s="337">
        <f t="shared" ref="B206:K206" si="158">B172*1000000/B186</f>
        <v>7971.1824306545777</v>
      </c>
      <c r="C206" s="337">
        <f t="shared" si="158"/>
        <v>29813.477801863926</v>
      </c>
      <c r="D206" s="337">
        <f t="shared" si="158"/>
        <v>617486.02928660891</v>
      </c>
      <c r="E206" s="337">
        <f t="shared" si="158"/>
        <v>8567239.8577371649</v>
      </c>
      <c r="F206" s="337">
        <f t="shared" si="158"/>
        <v>72814228.7234191</v>
      </c>
      <c r="G206" s="337">
        <f t="shared" si="158"/>
        <v>319.12906954407924</v>
      </c>
      <c r="H206" s="337">
        <f t="shared" si="158"/>
        <v>755.88690476190482</v>
      </c>
      <c r="I206" s="337">
        <f t="shared" si="158"/>
        <v>4557.0901745435713</v>
      </c>
      <c r="J206" s="337">
        <f t="shared" si="158"/>
        <v>6302581.1099999994</v>
      </c>
      <c r="K206" s="337">
        <f t="shared" si="158"/>
        <v>347756.59287776717</v>
      </c>
      <c r="L206" s="337">
        <f t="shared" ref="L206:M206" si="159">L172*1000000/L186</f>
        <v>12191720.381133871</v>
      </c>
      <c r="M206" s="337">
        <f t="shared" si="159"/>
        <v>10818530.38351596</v>
      </c>
      <c r="U206" s="338"/>
      <c r="V206" s="338"/>
    </row>
    <row r="207" spans="1:24" x14ac:dyDescent="0.25">
      <c r="A207" s="336" t="str">
        <f t="shared" si="143"/>
        <v>2019 Test</v>
      </c>
      <c r="B207" s="337">
        <f t="shared" ref="B207:K207" si="160">B173*1000000/B187</f>
        <v>7864.272539732784</v>
      </c>
      <c r="C207" s="337">
        <f t="shared" si="160"/>
        <v>30068.673262787222</v>
      </c>
      <c r="D207" s="337">
        <f t="shared" si="160"/>
        <v>613803.99794852105</v>
      </c>
      <c r="E207" s="337">
        <f t="shared" si="160"/>
        <v>8496742.8316244874</v>
      </c>
      <c r="F207" s="337">
        <f t="shared" si="160"/>
        <v>72570503.230385959</v>
      </c>
      <c r="G207" s="337">
        <f t="shared" si="160"/>
        <v>233.60291293913426</v>
      </c>
      <c r="H207" s="337">
        <f t="shared" si="160"/>
        <v>755.88690476190482</v>
      </c>
      <c r="I207" s="337">
        <f t="shared" si="160"/>
        <v>4557.0901745435713</v>
      </c>
      <c r="J207" s="337">
        <f t="shared" si="160"/>
        <v>6302581.1099999994</v>
      </c>
      <c r="K207" s="337">
        <f t="shared" si="160"/>
        <v>347756.59287776717</v>
      </c>
      <c r="L207" s="337">
        <f t="shared" ref="L207:M207" si="161">L173*1000000/L187</f>
        <v>12191720.381133871</v>
      </c>
      <c r="M207" s="337">
        <f t="shared" si="161"/>
        <v>10818530.38351596</v>
      </c>
      <c r="U207" s="338"/>
      <c r="V207" s="338"/>
    </row>
    <row r="208" spans="1:24" x14ac:dyDescent="0.25">
      <c r="A208" s="329"/>
      <c r="B208" s="340"/>
      <c r="C208" s="340"/>
      <c r="D208" s="340"/>
      <c r="E208" s="340"/>
      <c r="F208" s="340"/>
      <c r="G208" s="340"/>
      <c r="H208" s="340"/>
      <c r="I208" s="340"/>
      <c r="V208" s="338"/>
      <c r="W208" s="338"/>
      <c r="X208" s="338"/>
    </row>
    <row r="209" spans="1:16" ht="23.25" customHeight="1" x14ac:dyDescent="0.25">
      <c r="O209" s="450" t="s">
        <v>349</v>
      </c>
      <c r="P209" s="450"/>
    </row>
    <row r="210" spans="1:16" x14ac:dyDescent="0.25">
      <c r="O210" s="472" t="s">
        <v>271</v>
      </c>
      <c r="P210" s="472"/>
    </row>
    <row r="211" spans="1:16" x14ac:dyDescent="0.25">
      <c r="F211" s="349"/>
      <c r="O211" s="318" t="s">
        <v>26</v>
      </c>
      <c r="P211" s="350">
        <f>'Purchased Power Model'!Z6</f>
        <v>0.85750493677880291</v>
      </c>
    </row>
    <row r="212" spans="1:16" x14ac:dyDescent="0.25">
      <c r="O212" s="318" t="s">
        <v>27</v>
      </c>
      <c r="P212" s="350">
        <f>'Purchased Power Model'!Z7</f>
        <v>0.84859899532747807</v>
      </c>
    </row>
    <row r="213" spans="1:16" x14ac:dyDescent="0.25">
      <c r="O213" s="318" t="s">
        <v>204</v>
      </c>
      <c r="P213" s="351">
        <f>'Purchased Power Model'!AC13</f>
        <v>96.28459174871881</v>
      </c>
    </row>
    <row r="214" spans="1:16" x14ac:dyDescent="0.25">
      <c r="O214" s="318" t="s">
        <v>205</v>
      </c>
      <c r="P214" s="350">
        <f>'Purchased Power Model'!V123</f>
        <v>2.4503736657788711E-2</v>
      </c>
    </row>
    <row r="215" spans="1:16" x14ac:dyDescent="0.25">
      <c r="O215" s="318" t="s">
        <v>206</v>
      </c>
      <c r="P215" s="351"/>
    </row>
    <row r="216" spans="1:16" x14ac:dyDescent="0.25">
      <c r="O216" s="352" t="str">
        <f>'Purchased Power Model'!Y19</f>
        <v>Heating Degree Days</v>
      </c>
      <c r="P216" s="353">
        <f>'Purchased Power Model'!AB19</f>
        <v>11.481996958225027</v>
      </c>
    </row>
    <row r="217" spans="1:16" x14ac:dyDescent="0.25">
      <c r="O217" s="352" t="str">
        <f>'Purchased Power Model'!Y20</f>
        <v>Cooling Degree Days</v>
      </c>
      <c r="P217" s="353">
        <f>'Purchased Power Model'!AB20</f>
        <v>14.48738636161009</v>
      </c>
    </row>
    <row r="218" spans="1:16" x14ac:dyDescent="0.25">
      <c r="O218" s="352" t="str">
        <f>'Purchased Power Model'!Y21</f>
        <v>Number of Days in Month</v>
      </c>
      <c r="P218" s="353">
        <f>'Purchased Power Model'!AB21</f>
        <v>4.837741888860414</v>
      </c>
    </row>
    <row r="219" spans="1:16" x14ac:dyDescent="0.25">
      <c r="O219" s="352" t="str">
        <f>'Purchased Power Model'!Y22</f>
        <v>Spring Fall Flag</v>
      </c>
      <c r="P219" s="353">
        <f>'Purchased Power Model'!AB22</f>
        <v>-3.99484120317944</v>
      </c>
    </row>
    <row r="220" spans="1:16" x14ac:dyDescent="0.25">
      <c r="O220" s="352" t="str">
        <f>'Purchased Power Model'!Y23</f>
        <v>Number of Peak Hours</v>
      </c>
      <c r="P220" s="353">
        <f>'Purchased Power Model'!AB23</f>
        <v>3.9379103689214494</v>
      </c>
    </row>
    <row r="221" spans="1:16" x14ac:dyDescent="0.25">
      <c r="O221" s="352" t="str">
        <f>'Purchased Power Model'!Y24</f>
        <v>Co-generation Facility Flag</v>
      </c>
      <c r="P221" s="353">
        <f>'Purchased Power Model'!AB24</f>
        <v>-10.553727527774527</v>
      </c>
    </row>
    <row r="222" spans="1:16" x14ac:dyDescent="0.25">
      <c r="O222" s="352" t="str">
        <f>'Purchased Power Model'!Y25</f>
        <v>Unemployment Kitchener-Waterloo-Barrie (000's)</v>
      </c>
      <c r="P222" s="353">
        <f>'Purchased Power Model'!AB25</f>
        <v>-5.6755854843286704</v>
      </c>
    </row>
    <row r="223" spans="1:16" x14ac:dyDescent="0.25">
      <c r="A223" s="354"/>
      <c r="B223" s="355"/>
      <c r="O223" s="352">
        <f>'Purchased Power Model'!Y26</f>
        <v>0</v>
      </c>
      <c r="P223" s="353">
        <f>'Purchased Power Model'!AB26</f>
        <v>0</v>
      </c>
    </row>
    <row r="224" spans="1:16" x14ac:dyDescent="0.25">
      <c r="A224" s="354"/>
      <c r="B224" s="355"/>
      <c r="O224" s="352" t="s">
        <v>207</v>
      </c>
      <c r="P224" s="353">
        <f>'Purchased Power Model'!AB18</f>
        <v>3.3153795410620095</v>
      </c>
    </row>
    <row r="225" spans="1:16" x14ac:dyDescent="0.25">
      <c r="A225" s="354"/>
      <c r="B225" s="355"/>
      <c r="O225" s="354"/>
      <c r="P225" s="355"/>
    </row>
    <row r="226" spans="1:16" x14ac:dyDescent="0.25">
      <c r="A226" s="354"/>
      <c r="B226" s="355"/>
      <c r="C226" s="450" t="s">
        <v>348</v>
      </c>
      <c r="D226" s="450"/>
      <c r="E226" s="450"/>
      <c r="F226" s="450"/>
      <c r="G226" s="450"/>
      <c r="H226" s="450"/>
      <c r="O226" s="354"/>
      <c r="P226" s="355"/>
    </row>
    <row r="227" spans="1:16" ht="121.5" customHeight="1" x14ac:dyDescent="0.25">
      <c r="A227" s="354"/>
      <c r="B227" s="355"/>
      <c r="C227" s="418" t="s">
        <v>198</v>
      </c>
      <c r="D227" s="419" t="s">
        <v>256</v>
      </c>
      <c r="E227" s="419" t="s">
        <v>257</v>
      </c>
      <c r="F227" s="419" t="s">
        <v>258</v>
      </c>
      <c r="G227" s="419" t="s">
        <v>308</v>
      </c>
      <c r="H227" s="419" t="s">
        <v>259</v>
      </c>
      <c r="I227" s="417" t="s">
        <v>260</v>
      </c>
      <c r="O227" s="354"/>
      <c r="P227" s="355"/>
    </row>
    <row r="228" spans="1:16" x14ac:dyDescent="0.25">
      <c r="A228" s="354"/>
      <c r="B228" s="355"/>
      <c r="C228" s="318">
        <f>'CDM Activity '!A4</f>
        <v>2006</v>
      </c>
      <c r="D228" s="337">
        <f>'CDM Activity '!B4</f>
        <v>2199695.3612610851</v>
      </c>
      <c r="E228" s="337">
        <f>'CDM Activity '!C4</f>
        <v>0</v>
      </c>
      <c r="F228" s="337">
        <f>'CDM Activity '!D4</f>
        <v>0</v>
      </c>
      <c r="G228" s="337">
        <f>'CDM Activity '!E4</f>
        <v>0</v>
      </c>
      <c r="H228" s="337">
        <f>'CDM Activity '!F4</f>
        <v>0</v>
      </c>
      <c r="I228" s="337">
        <f>SUM(D228:H228)</f>
        <v>2199695.3612610851</v>
      </c>
      <c r="O228" s="354"/>
      <c r="P228" s="355"/>
    </row>
    <row r="229" spans="1:16" x14ac:dyDescent="0.25">
      <c r="A229" s="354"/>
      <c r="B229" s="355"/>
      <c r="C229" s="318">
        <f>'CDM Activity '!A5</f>
        <v>2007</v>
      </c>
      <c r="D229" s="337">
        <f>'CDM Activity '!B5</f>
        <v>5865380.9545399398</v>
      </c>
      <c r="E229" s="337">
        <f>'CDM Activity '!C5</f>
        <v>0</v>
      </c>
      <c r="F229" s="337">
        <f>'CDM Activity '!D5</f>
        <v>0</v>
      </c>
      <c r="G229" s="337">
        <f>'CDM Activity '!E5</f>
        <v>0</v>
      </c>
      <c r="H229" s="337">
        <f>'CDM Activity '!F5</f>
        <v>0</v>
      </c>
      <c r="I229" s="337">
        <f t="shared" ref="I229:I241" si="162">SUM(D229:H229)</f>
        <v>5865380.9545399398</v>
      </c>
      <c r="O229" s="354"/>
      <c r="P229" s="355"/>
    </row>
    <row r="230" spans="1:16" x14ac:dyDescent="0.25">
      <c r="A230" s="354"/>
      <c r="B230" s="355"/>
      <c r="C230" s="318">
        <f>'CDM Activity '!A6</f>
        <v>2008</v>
      </c>
      <c r="D230" s="337">
        <f>'CDM Activity '!B6</f>
        <v>8715686.3449556809</v>
      </c>
      <c r="E230" s="337">
        <f>'CDM Activity '!C6</f>
        <v>0</v>
      </c>
      <c r="F230" s="337">
        <f>'CDM Activity '!D6</f>
        <v>0</v>
      </c>
      <c r="G230" s="337">
        <f>'CDM Activity '!E6</f>
        <v>0</v>
      </c>
      <c r="H230" s="337">
        <f>'CDM Activity '!F6</f>
        <v>0</v>
      </c>
      <c r="I230" s="337">
        <f t="shared" si="162"/>
        <v>8715686.3449556809</v>
      </c>
      <c r="O230" s="354"/>
      <c r="P230" s="355"/>
    </row>
    <row r="231" spans="1:16" x14ac:dyDescent="0.25">
      <c r="A231" s="354"/>
      <c r="B231" s="355"/>
      <c r="C231" s="318">
        <f>'CDM Activity '!A7</f>
        <v>2009</v>
      </c>
      <c r="D231" s="337">
        <f>'CDM Activity '!B7</f>
        <v>14062057.38329369</v>
      </c>
      <c r="E231" s="337">
        <f>'CDM Activity '!C7</f>
        <v>0</v>
      </c>
      <c r="F231" s="337">
        <f>'CDM Activity '!D7</f>
        <v>0</v>
      </c>
      <c r="G231" s="337">
        <f>'CDM Activity '!E7</f>
        <v>0</v>
      </c>
      <c r="H231" s="337">
        <f>'CDM Activity '!F7</f>
        <v>0</v>
      </c>
      <c r="I231" s="337">
        <f t="shared" si="162"/>
        <v>14062057.38329369</v>
      </c>
      <c r="O231" s="354"/>
      <c r="P231" s="355"/>
    </row>
    <row r="232" spans="1:16" x14ac:dyDescent="0.25">
      <c r="A232" s="354"/>
      <c r="B232" s="355"/>
      <c r="C232" s="318">
        <f>'CDM Activity '!A8</f>
        <v>2010</v>
      </c>
      <c r="D232" s="337">
        <f>'CDM Activity '!B8</f>
        <v>19632401.026942715</v>
      </c>
      <c r="E232" s="337">
        <f>'CDM Activity '!C8</f>
        <v>0</v>
      </c>
      <c r="F232" s="337">
        <f>'CDM Activity '!D8</f>
        <v>0</v>
      </c>
      <c r="G232" s="337">
        <f>'CDM Activity '!E8</f>
        <v>0</v>
      </c>
      <c r="H232" s="337">
        <f>'CDM Activity '!F8</f>
        <v>0</v>
      </c>
      <c r="I232" s="337">
        <f t="shared" si="162"/>
        <v>19632401.026942715</v>
      </c>
      <c r="O232" s="354"/>
      <c r="P232" s="355"/>
    </row>
    <row r="233" spans="1:16" x14ac:dyDescent="0.25">
      <c r="A233" s="354"/>
      <c r="B233" s="355"/>
      <c r="C233" s="318">
        <f>'CDM Activity '!A9</f>
        <v>2011</v>
      </c>
      <c r="D233" s="337">
        <f>'CDM Activity '!B9</f>
        <v>23543735.668849543</v>
      </c>
      <c r="E233" s="337">
        <f>'CDM Activity '!C9</f>
        <v>6993904.1266628653</v>
      </c>
      <c r="F233" s="337">
        <f>'CDM Activity '!D9</f>
        <v>0</v>
      </c>
      <c r="G233" s="337">
        <f>'CDM Activity '!E9</f>
        <v>0</v>
      </c>
      <c r="H233" s="337">
        <f>'CDM Activity '!F9</f>
        <v>0</v>
      </c>
      <c r="I233" s="337">
        <f t="shared" si="162"/>
        <v>30537639.795512408</v>
      </c>
      <c r="O233" s="354"/>
      <c r="P233" s="355"/>
    </row>
    <row r="234" spans="1:16" x14ac:dyDescent="0.25">
      <c r="A234" s="354"/>
      <c r="B234" s="355"/>
      <c r="C234" s="318">
        <f>'CDM Activity '!A10</f>
        <v>2012</v>
      </c>
      <c r="D234" s="337">
        <f>'CDM Activity '!B10</f>
        <v>23185905.657823481</v>
      </c>
      <c r="E234" s="337">
        <f>'CDM Activity '!C10</f>
        <v>19010177.342864227</v>
      </c>
      <c r="F234" s="337">
        <f>'CDM Activity '!D10</f>
        <v>0</v>
      </c>
      <c r="G234" s="337">
        <f>'CDM Activity '!E10</f>
        <v>0</v>
      </c>
      <c r="H234" s="337">
        <f>'CDM Activity '!F10</f>
        <v>0</v>
      </c>
      <c r="I234" s="337">
        <f t="shared" si="162"/>
        <v>42196083.000687703</v>
      </c>
      <c r="O234" s="354"/>
      <c r="P234" s="355"/>
    </row>
    <row r="235" spans="1:16" x14ac:dyDescent="0.25">
      <c r="A235" s="354"/>
      <c r="B235" s="355"/>
      <c r="C235" s="318">
        <f>'CDM Activity '!A11</f>
        <v>2013</v>
      </c>
      <c r="D235" s="337">
        <f>'CDM Activity '!B11</f>
        <v>23093273.383187491</v>
      </c>
      <c r="E235" s="337">
        <f>'CDM Activity '!C11</f>
        <v>29756732.742700759</v>
      </c>
      <c r="F235" s="337">
        <f>'CDM Activity '!D11</f>
        <v>0</v>
      </c>
      <c r="G235" s="337">
        <f>'CDM Activity '!E11</f>
        <v>0</v>
      </c>
      <c r="H235" s="337">
        <f>'CDM Activity '!F11</f>
        <v>0</v>
      </c>
      <c r="I235" s="337">
        <f t="shared" si="162"/>
        <v>52850006.125888251</v>
      </c>
      <c r="O235" s="354"/>
      <c r="P235" s="355"/>
    </row>
    <row r="236" spans="1:16" x14ac:dyDescent="0.25">
      <c r="A236" s="354"/>
      <c r="B236" s="355"/>
      <c r="C236" s="318">
        <f>'CDM Activity '!A12</f>
        <v>2014</v>
      </c>
      <c r="D236" s="337">
        <f>'CDM Activity '!B12</f>
        <v>22519904.220766161</v>
      </c>
      <c r="E236" s="337">
        <f>'CDM Activity '!C12</f>
        <v>45730998.767416835</v>
      </c>
      <c r="F236" s="337">
        <f>'CDM Activity '!D12</f>
        <v>0</v>
      </c>
      <c r="G236" s="337">
        <f>'CDM Activity '!E12</f>
        <v>0</v>
      </c>
      <c r="H236" s="337">
        <f>'CDM Activity '!F12</f>
        <v>0</v>
      </c>
      <c r="I236" s="337">
        <f t="shared" si="162"/>
        <v>68250902.988182992</v>
      </c>
      <c r="O236" s="354"/>
      <c r="P236" s="355"/>
    </row>
    <row r="237" spans="1:16" x14ac:dyDescent="0.25">
      <c r="A237" s="354"/>
      <c r="B237" s="355"/>
      <c r="C237" s="318">
        <f>'CDM Activity '!A13</f>
        <v>2015</v>
      </c>
      <c r="D237" s="337">
        <f>'CDM Activity '!B13</f>
        <v>20225484.941065822</v>
      </c>
      <c r="E237" s="337">
        <f>'CDM Activity '!C13</f>
        <v>55118688.551353671</v>
      </c>
      <c r="F237" s="337">
        <f>'CDM Activity '!D13</f>
        <v>10515309.5</v>
      </c>
      <c r="G237" s="337">
        <f>'CDM Activity '!E13</f>
        <v>0</v>
      </c>
      <c r="H237" s="337">
        <f>'CDM Activity '!F13</f>
        <v>0</v>
      </c>
      <c r="I237" s="337">
        <f t="shared" si="162"/>
        <v>85859482.992419496</v>
      </c>
      <c r="O237" s="354"/>
      <c r="P237" s="355"/>
    </row>
    <row r="238" spans="1:16" x14ac:dyDescent="0.25">
      <c r="A238" s="354"/>
      <c r="B238" s="355"/>
      <c r="C238" s="318">
        <f>'CDM Activity '!A14</f>
        <v>2016</v>
      </c>
      <c r="D238" s="337">
        <f>'CDM Activity '!B14</f>
        <v>19336761.166483566</v>
      </c>
      <c r="E238" s="337">
        <f>'CDM Activity '!C14</f>
        <v>54157230.135607593</v>
      </c>
      <c r="F238" s="337">
        <f>'CDM Activity '!D14</f>
        <v>20981651</v>
      </c>
      <c r="G238" s="337">
        <f>'CDM Activity '!E14</f>
        <v>8714054</v>
      </c>
      <c r="H238" s="337">
        <f>'CDM Activity '!F14</f>
        <v>0</v>
      </c>
      <c r="I238" s="337">
        <f t="shared" si="162"/>
        <v>103189696.30209115</v>
      </c>
      <c r="O238" s="354"/>
      <c r="P238" s="355"/>
    </row>
    <row r="239" spans="1:16" x14ac:dyDescent="0.25">
      <c r="A239" s="354"/>
      <c r="B239" s="355"/>
      <c r="C239" s="318">
        <f>'CDM Activity '!A15</f>
        <v>2017</v>
      </c>
      <c r="D239" s="337">
        <f>'CDM Activity '!B15</f>
        <v>16614718.7831212</v>
      </c>
      <c r="E239" s="337">
        <f>'CDM Activity '!C15</f>
        <v>52313261.574779622</v>
      </c>
      <c r="F239" s="337">
        <f>'CDM Activity '!D15</f>
        <v>20698092</v>
      </c>
      <c r="G239" s="337">
        <f>'CDM Activity '!E15</f>
        <v>17428107</v>
      </c>
      <c r="H239" s="337">
        <f>'CDM Activity '!F15</f>
        <v>16410757</v>
      </c>
      <c r="I239" s="337">
        <f t="shared" si="162"/>
        <v>123464936.35790083</v>
      </c>
      <c r="O239" s="354"/>
      <c r="P239" s="355"/>
    </row>
    <row r="240" spans="1:16" x14ac:dyDescent="0.25">
      <c r="A240" s="354"/>
      <c r="B240" s="355"/>
      <c r="C240" s="318">
        <f>'CDM Activity '!A16</f>
        <v>2018</v>
      </c>
      <c r="D240" s="337">
        <f>'CDM Activity '!B16</f>
        <v>13279278.834750477</v>
      </c>
      <c r="E240" s="337">
        <f>'CDM Activity '!C16</f>
        <v>51465421.515413366</v>
      </c>
      <c r="F240" s="337">
        <f>'CDM Activity '!D16</f>
        <v>20605060</v>
      </c>
      <c r="G240" s="337">
        <f>'CDM Activity '!E16</f>
        <v>17454763</v>
      </c>
      <c r="H240" s="337">
        <f>'CDM Activity '!F16</f>
        <v>30494190</v>
      </c>
      <c r="I240" s="337">
        <f t="shared" si="162"/>
        <v>133298713.35016385</v>
      </c>
      <c r="O240" s="354"/>
      <c r="P240" s="355"/>
    </row>
    <row r="241" spans="1:16" x14ac:dyDescent="0.25">
      <c r="A241" s="354"/>
      <c r="B241" s="355"/>
      <c r="C241" s="318">
        <f>'CDM Activity '!A17</f>
        <v>2019</v>
      </c>
      <c r="D241" s="337">
        <f>'CDM Activity '!B17</f>
        <v>7609615.3956155851</v>
      </c>
      <c r="E241" s="337">
        <f>'CDM Activity '!C17</f>
        <v>50830908.090940356</v>
      </c>
      <c r="F241" s="337">
        <f>'CDM Activity '!D17</f>
        <v>20593543</v>
      </c>
      <c r="G241" s="337">
        <f>'CDM Activity '!E17</f>
        <v>17454763</v>
      </c>
      <c r="H241" s="337">
        <f>'CDM Activity '!F17</f>
        <v>30486756</v>
      </c>
      <c r="I241" s="337">
        <f t="shared" si="162"/>
        <v>126975585.48655593</v>
      </c>
      <c r="O241" s="354"/>
      <c r="P241" s="355"/>
    </row>
    <row r="242" spans="1:16" x14ac:dyDescent="0.25">
      <c r="A242" s="338"/>
      <c r="B242" s="355"/>
      <c r="O242" s="354"/>
      <c r="P242" s="355"/>
    </row>
    <row r="243" spans="1:16" x14ac:dyDescent="0.25">
      <c r="L243" s="349"/>
    </row>
    <row r="244" spans="1:16" x14ac:dyDescent="0.25">
      <c r="A244" s="450" t="s">
        <v>350</v>
      </c>
      <c r="B244" s="450"/>
      <c r="C244" s="450"/>
      <c r="D244" s="450"/>
      <c r="E244" s="450"/>
      <c r="F244" s="450"/>
      <c r="G244" s="450"/>
      <c r="H244" s="313"/>
      <c r="I244" s="313"/>
      <c r="J244" s="313"/>
      <c r="K244" s="313"/>
      <c r="L244" s="308"/>
    </row>
    <row r="245" spans="1:16" ht="60" x14ac:dyDescent="0.25">
      <c r="A245" s="418" t="s">
        <v>198</v>
      </c>
      <c r="B245" s="419" t="s">
        <v>208</v>
      </c>
      <c r="C245" s="419" t="s">
        <v>209</v>
      </c>
      <c r="D245" s="419" t="s">
        <v>11</v>
      </c>
      <c r="E245" s="419" t="s">
        <v>234</v>
      </c>
      <c r="F245" s="419" t="s">
        <v>235</v>
      </c>
      <c r="G245" s="417" t="s">
        <v>236</v>
      </c>
      <c r="H245" s="150"/>
      <c r="I245" s="150"/>
      <c r="J245" s="150"/>
      <c r="K245" s="150"/>
      <c r="L245" s="150"/>
      <c r="M245" s="150"/>
    </row>
    <row r="246" spans="1:16" x14ac:dyDescent="0.25">
      <c r="A246" s="444" t="s">
        <v>210</v>
      </c>
      <c r="B246" s="444"/>
      <c r="C246" s="444"/>
      <c r="D246" s="444"/>
      <c r="E246" s="444"/>
      <c r="F246" s="444"/>
      <c r="G246" s="444"/>
      <c r="H246" s="313"/>
      <c r="I246" s="313"/>
      <c r="J246" s="313"/>
      <c r="K246" s="313"/>
      <c r="L246" s="308"/>
    </row>
    <row r="247" spans="1:16" x14ac:dyDescent="0.25">
      <c r="A247" s="318">
        <v>2008</v>
      </c>
      <c r="B247" s="319">
        <f>'Purchased Power Model'!F152/1000000</f>
        <v>1813.4103249300001</v>
      </c>
      <c r="C247" s="319">
        <f>'Purchased Power Model'!S152/1000000</f>
        <v>1795.2064402228432</v>
      </c>
      <c r="D247" s="356">
        <f t="shared" ref="D247:D256" si="163">C247/B247-1</f>
        <v>-1.0038480787771809E-2</v>
      </c>
      <c r="E247" s="319">
        <f>'Purchased Power Model WN'!R152/1000000</f>
        <v>1798.471338075866</v>
      </c>
      <c r="F247" s="357">
        <f t="shared" ref="F247:F259" si="164">E247/C247</f>
        <v>1.0018186754346856</v>
      </c>
      <c r="G247" s="319">
        <f t="shared" ref="G247:G256" si="165">B247*F247</f>
        <v>1816.7083297409556</v>
      </c>
      <c r="H247" s="330"/>
      <c r="I247" s="330"/>
      <c r="J247" s="330"/>
      <c r="K247" s="330"/>
      <c r="L247" s="308"/>
    </row>
    <row r="248" spans="1:16" x14ac:dyDescent="0.25">
      <c r="A248" s="318">
        <v>2009</v>
      </c>
      <c r="B248" s="319">
        <f>'Purchased Power Model'!F153/1000000</f>
        <v>1693.68774332</v>
      </c>
      <c r="C248" s="319">
        <f>'Purchased Power Model'!S153/1000000</f>
        <v>1710.8741000131142</v>
      </c>
      <c r="D248" s="356">
        <f t="shared" si="163"/>
        <v>1.014729944223669E-2</v>
      </c>
      <c r="E248" s="319">
        <f>'Purchased Power Model WN'!R153/1000000</f>
        <v>1732.4757052379764</v>
      </c>
      <c r="F248" s="357">
        <f t="shared" si="164"/>
        <v>1.0126260636154913</v>
      </c>
      <c r="G248" s="319">
        <f t="shared" si="165"/>
        <v>1715.0723525119363</v>
      </c>
      <c r="H248" s="330"/>
      <c r="I248" s="330"/>
      <c r="J248" s="330"/>
      <c r="K248" s="330"/>
      <c r="L248" s="308"/>
    </row>
    <row r="249" spans="1:16" x14ac:dyDescent="0.25">
      <c r="A249" s="318">
        <f t="shared" ref="A249:A258" si="166">A30</f>
        <v>2010</v>
      </c>
      <c r="B249" s="319">
        <f>'Purchased Power Model'!F154/1000000</f>
        <v>1761.92185144</v>
      </c>
      <c r="C249" s="319">
        <f>'Purchased Power Model'!S154/1000000</f>
        <v>1748.3953865384983</v>
      </c>
      <c r="D249" s="356">
        <f t="shared" si="163"/>
        <v>-7.6771083180826594E-3</v>
      </c>
      <c r="E249" s="319">
        <f>'Purchased Power Model WN'!R154/1000000</f>
        <v>1741.0778192609748</v>
      </c>
      <c r="F249" s="357">
        <f t="shared" si="164"/>
        <v>0.99581469538648748</v>
      </c>
      <c r="G249" s="319">
        <f t="shared" si="165"/>
        <v>1754.5476717865197</v>
      </c>
      <c r="H249" s="330"/>
      <c r="I249" s="330"/>
      <c r="J249" s="330"/>
      <c r="K249" s="330"/>
      <c r="L249" s="308"/>
    </row>
    <row r="250" spans="1:16" x14ac:dyDescent="0.25">
      <c r="A250" s="318">
        <f t="shared" si="166"/>
        <v>2011</v>
      </c>
      <c r="B250" s="319">
        <f>'Purchased Power Model'!F155/1000000</f>
        <v>1767.0321007299995</v>
      </c>
      <c r="C250" s="319">
        <f>'Purchased Power Model'!S155/1000000</f>
        <v>1768.9634481354212</v>
      </c>
      <c r="D250" s="356">
        <f t="shared" si="163"/>
        <v>1.0929894282192265E-3</v>
      </c>
      <c r="E250" s="319">
        <f>'Purchased Power Model WN'!R155/1000000</f>
        <v>1762.5300822400632</v>
      </c>
      <c r="F250" s="357">
        <f t="shared" si="164"/>
        <v>0.99636320021075664</v>
      </c>
      <c r="G250" s="319">
        <f t="shared" si="165"/>
        <v>1760.6057587584783</v>
      </c>
      <c r="H250" s="330"/>
      <c r="I250" s="330"/>
      <c r="J250" s="330"/>
      <c r="K250" s="330"/>
      <c r="L250" s="308"/>
    </row>
    <row r="251" spans="1:16" x14ac:dyDescent="0.25">
      <c r="A251" s="318">
        <f t="shared" si="166"/>
        <v>2012</v>
      </c>
      <c r="B251" s="319">
        <f>'Purchased Power Model'!F156/1000000</f>
        <v>1775.1574637770282</v>
      </c>
      <c r="C251" s="319">
        <f>'Purchased Power Model'!S156/1000000</f>
        <v>1787.2044599350174</v>
      </c>
      <c r="D251" s="356">
        <f t="shared" si="163"/>
        <v>6.7864380506035271E-3</v>
      </c>
      <c r="E251" s="319">
        <f>'Purchased Power Model WN'!R156/1000000</f>
        <v>1776.0493140252881</v>
      </c>
      <c r="F251" s="357">
        <f t="shared" si="164"/>
        <v>0.99375832695150346</v>
      </c>
      <c r="G251" s="319">
        <f t="shared" si="165"/>
        <v>1764.0775112785336</v>
      </c>
      <c r="H251" s="330"/>
      <c r="I251" s="330"/>
      <c r="J251" s="330"/>
      <c r="K251" s="330"/>
      <c r="L251" s="308"/>
    </row>
    <row r="252" spans="1:16" x14ac:dyDescent="0.25">
      <c r="A252" s="318">
        <f t="shared" si="166"/>
        <v>2013</v>
      </c>
      <c r="B252" s="319">
        <f>'Purchased Power Model'!F157/1000000</f>
        <v>1780.6741239999999</v>
      </c>
      <c r="C252" s="319">
        <f>'Purchased Power Model'!S157/1000000</f>
        <v>1778.3513754538742</v>
      </c>
      <c r="D252" s="356">
        <f t="shared" si="163"/>
        <v>-1.3044209015111718E-3</v>
      </c>
      <c r="E252" s="319">
        <f>'Purchased Power Model WN'!R157/1000000</f>
        <v>1773.4308796186126</v>
      </c>
      <c r="F252" s="357">
        <f t="shared" si="164"/>
        <v>0.9972331138248729</v>
      </c>
      <c r="G252" s="319">
        <f t="shared" si="165"/>
        <v>1775.7472013838976</v>
      </c>
      <c r="H252" s="330"/>
      <c r="I252" s="330"/>
      <c r="J252" s="330"/>
      <c r="K252" s="330"/>
      <c r="L252" s="308"/>
    </row>
    <row r="253" spans="1:16" x14ac:dyDescent="0.25">
      <c r="A253" s="318">
        <f t="shared" si="166"/>
        <v>2014</v>
      </c>
      <c r="B253" s="319">
        <f>'Purchased Power Model'!F158/1000000</f>
        <v>1782.419695</v>
      </c>
      <c r="C253" s="319">
        <f>'Purchased Power Model'!S158/1000000</f>
        <v>1769.0391329827464</v>
      </c>
      <c r="D253" s="356">
        <f t="shared" si="163"/>
        <v>-7.5069648606265194E-3</v>
      </c>
      <c r="E253" s="319">
        <f>'Purchased Power Model WN'!R158/1000000</f>
        <v>1783.7691645564603</v>
      </c>
      <c r="F253" s="357">
        <f t="shared" si="164"/>
        <v>1.0083265719220569</v>
      </c>
      <c r="G253" s="319">
        <f t="shared" si="165"/>
        <v>1797.2611407857082</v>
      </c>
      <c r="H253" s="330"/>
      <c r="I253" s="330"/>
      <c r="J253" s="330"/>
      <c r="K253" s="330"/>
      <c r="L253" s="308"/>
    </row>
    <row r="254" spans="1:16" x14ac:dyDescent="0.25">
      <c r="A254" s="318">
        <f t="shared" si="166"/>
        <v>2015</v>
      </c>
      <c r="B254" s="319">
        <f>'Purchased Power Model'!F159/1000000</f>
        <v>1777.3793992303861</v>
      </c>
      <c r="C254" s="319">
        <f>'Purchased Power Model'!S159/1000000</f>
        <v>1793.6483591459023</v>
      </c>
      <c r="D254" s="356">
        <f t="shared" si="163"/>
        <v>9.153341105765378E-3</v>
      </c>
      <c r="E254" s="319">
        <f>'Purchased Power Model WN'!R159/1000000</f>
        <v>1794.6995825477186</v>
      </c>
      <c r="F254" s="357">
        <f t="shared" si="164"/>
        <v>1.0005860810991496</v>
      </c>
      <c r="G254" s="319">
        <f t="shared" si="165"/>
        <v>1778.4210877022929</v>
      </c>
      <c r="H254" s="330"/>
      <c r="I254" s="330"/>
      <c r="J254" s="330"/>
      <c r="K254" s="330"/>
      <c r="L254" s="308"/>
    </row>
    <row r="255" spans="1:16" ht="12.75" customHeight="1" x14ac:dyDescent="0.25">
      <c r="A255" s="318">
        <f t="shared" si="166"/>
        <v>2016</v>
      </c>
      <c r="B255" s="319">
        <f>'Purchased Power Model'!F160/1000000</f>
        <v>1722.1872560000002</v>
      </c>
      <c r="C255" s="319">
        <f>'Purchased Power Model'!S160/1000000</f>
        <v>1699.4325052365862</v>
      </c>
      <c r="D255" s="356">
        <f t="shared" si="163"/>
        <v>-1.3212704184250468E-2</v>
      </c>
      <c r="E255" s="319">
        <f>'Purchased Power Model WN'!R160/1000000</f>
        <v>1676.9212336718524</v>
      </c>
      <c r="F255" s="357">
        <f t="shared" si="164"/>
        <v>0.98675365364886913</v>
      </c>
      <c r="G255" s="319">
        <f t="shared" si="165"/>
        <v>1699.3745671255206</v>
      </c>
      <c r="H255" s="330"/>
      <c r="I255" s="330"/>
      <c r="J255" s="330"/>
      <c r="K255" s="330"/>
    </row>
    <row r="256" spans="1:16" x14ac:dyDescent="0.25">
      <c r="A256" s="318">
        <f t="shared" si="166"/>
        <v>2017</v>
      </c>
      <c r="B256" s="319">
        <f>'Purchased Power Model'!F161/1000000</f>
        <v>1643.582346551877</v>
      </c>
      <c r="C256" s="319">
        <f>'Purchased Power Model'!S161/1000000</f>
        <v>1666.3370973152921</v>
      </c>
      <c r="D256" s="356">
        <f t="shared" si="163"/>
        <v>1.3844606454403108E-2</v>
      </c>
      <c r="E256" s="319">
        <f>'Purchased Power Model WN'!R161/1000000</f>
        <v>1678.0271857444843</v>
      </c>
      <c r="F256" s="357">
        <f t="shared" si="164"/>
        <v>1.0070154403019813</v>
      </c>
      <c r="G256" s="319">
        <f t="shared" si="165"/>
        <v>1655.1128003855019</v>
      </c>
      <c r="H256" s="330"/>
      <c r="I256" s="330"/>
      <c r="J256" s="330"/>
      <c r="K256" s="330"/>
      <c r="L256" s="349"/>
    </row>
    <row r="257" spans="1:15" s="308" customFormat="1" x14ac:dyDescent="0.25">
      <c r="A257" s="318" t="str">
        <f t="shared" si="166"/>
        <v>2018 Bridge</v>
      </c>
      <c r="B257" s="319"/>
      <c r="C257" s="319">
        <f>'Purchased Power Model'!S162/1000000</f>
        <v>1678.0271857444841</v>
      </c>
      <c r="D257" s="356"/>
      <c r="E257" s="319">
        <f>'Purchased Power Model WN'!R162/1000000</f>
        <v>1678.0271857444841</v>
      </c>
      <c r="F257" s="357">
        <f t="shared" si="164"/>
        <v>1</v>
      </c>
      <c r="G257" s="358"/>
      <c r="H257" s="150"/>
      <c r="I257" s="150"/>
      <c r="J257" s="150"/>
      <c r="K257" s="150"/>
      <c r="L257" s="150"/>
    </row>
    <row r="258" spans="1:15" x14ac:dyDescent="0.25">
      <c r="A258" s="318" t="str">
        <f t="shared" si="166"/>
        <v>2019 Test</v>
      </c>
      <c r="B258" s="319"/>
      <c r="C258" s="319">
        <f>'Purchased Power Model'!S163/1000000</f>
        <v>1678.0271857444841</v>
      </c>
      <c r="D258" s="356"/>
      <c r="E258" s="319">
        <f>'Purchased Power Model WN'!R163/1000000</f>
        <v>1678.0271857444841</v>
      </c>
      <c r="F258" s="357">
        <f t="shared" si="164"/>
        <v>1</v>
      </c>
      <c r="G258" s="358"/>
    </row>
    <row r="259" spans="1:15" x14ac:dyDescent="0.25">
      <c r="A259" s="318" t="s">
        <v>265</v>
      </c>
      <c r="B259" s="319"/>
      <c r="C259" s="319">
        <f>'Purchased Power Model'!T183/1000000</f>
        <v>1676.0179268915613</v>
      </c>
      <c r="D259" s="356"/>
      <c r="E259" s="319">
        <f>C259</f>
        <v>1676.0179268915613</v>
      </c>
      <c r="F259" s="357">
        <f t="shared" si="164"/>
        <v>1</v>
      </c>
      <c r="G259" s="358"/>
    </row>
    <row r="261" spans="1:15" x14ac:dyDescent="0.25">
      <c r="A261" s="359" t="s">
        <v>351</v>
      </c>
      <c r="B261" s="360"/>
      <c r="C261" s="360"/>
      <c r="D261" s="360"/>
      <c r="E261" s="360"/>
      <c r="F261" s="360"/>
      <c r="G261" s="360"/>
      <c r="H261" s="360"/>
      <c r="I261" s="360"/>
      <c r="J261" s="313"/>
      <c r="K261" s="313"/>
      <c r="M261" s="349"/>
    </row>
    <row r="262" spans="1:15" ht="60" x14ac:dyDescent="0.25">
      <c r="A262" s="418" t="s">
        <v>198</v>
      </c>
      <c r="B262" s="419" t="str">
        <f t="shared" ref="B262:K262" si="167">B176</f>
        <v xml:space="preserve">Residential </v>
      </c>
      <c r="C262" s="419" t="str">
        <f t="shared" si="167"/>
        <v>General Service &lt; 50 kW</v>
      </c>
      <c r="D262" s="419" t="str">
        <f t="shared" si="167"/>
        <v>General Service &gt; 50 to 999 kW</v>
      </c>
      <c r="E262" s="419" t="str">
        <f t="shared" si="167"/>
        <v>General Service &gt; 1000 to 4999 kW</v>
      </c>
      <c r="F262" s="419" t="str">
        <f t="shared" si="167"/>
        <v>Large User</v>
      </c>
      <c r="G262" s="417" t="str">
        <f t="shared" si="167"/>
        <v>Street Lights</v>
      </c>
      <c r="H262" s="417" t="str">
        <f t="shared" si="167"/>
        <v>Sentinel Lights</v>
      </c>
      <c r="I262" s="417" t="str">
        <f t="shared" si="167"/>
        <v xml:space="preserve">Unmetered Loads </v>
      </c>
      <c r="J262" s="417" t="str">
        <f t="shared" si="167"/>
        <v>Embedded Distributor - Hydro One, CND</v>
      </c>
      <c r="K262" s="417" t="str">
        <f t="shared" si="167"/>
        <v>Embedded Distributor - Brantford Power, BCP</v>
      </c>
      <c r="L262" s="417" t="str">
        <f t="shared" ref="L262:M262" si="168">L176</f>
        <v>Embedded Distributor - Hydro One #1, BCP</v>
      </c>
      <c r="M262" s="417" t="str">
        <f t="shared" si="168"/>
        <v>Embedded Distributor - Hydro One #2, BCP</v>
      </c>
      <c r="N262" s="417" t="str">
        <f>N176</f>
        <v>Total</v>
      </c>
    </row>
    <row r="263" spans="1:15" x14ac:dyDescent="0.25">
      <c r="A263" s="445" t="s">
        <v>203</v>
      </c>
      <c r="B263" s="446"/>
      <c r="C263" s="446"/>
      <c r="D263" s="446"/>
      <c r="E263" s="446"/>
      <c r="F263" s="446"/>
      <c r="G263" s="446"/>
      <c r="H263" s="446"/>
      <c r="I263" s="446"/>
      <c r="J263" s="446"/>
      <c r="K263" s="446"/>
      <c r="L263" s="446"/>
      <c r="M263" s="446"/>
      <c r="N263" s="447"/>
    </row>
    <row r="264" spans="1:15" x14ac:dyDescent="0.25">
      <c r="A264" s="318">
        <v>2008</v>
      </c>
      <c r="B264" s="361">
        <f>'Rate Class Customer Model'!B11</f>
        <v>51351</v>
      </c>
      <c r="C264" s="361">
        <f>'Rate Class Customer Model'!C11</f>
        <v>5651.5</v>
      </c>
      <c r="D264" s="361">
        <f>'Rate Class Customer Model'!D11</f>
        <v>776.5</v>
      </c>
      <c r="E264" s="361">
        <f>'Rate Class Customer Model'!E11</f>
        <v>33</v>
      </c>
      <c r="F264" s="361">
        <f>'Rate Class Customer Model'!F11</f>
        <v>2</v>
      </c>
      <c r="G264" s="361">
        <f>'Rate Class Customer Model'!G11</f>
        <v>15005.5</v>
      </c>
      <c r="H264" s="361">
        <f>'Rate Class Customer Model'!H11</f>
        <v>138.5</v>
      </c>
      <c r="I264" s="361">
        <f>'Rate Class Customer Model'!I11</f>
        <v>511.5</v>
      </c>
      <c r="J264" s="361">
        <f>'Rate Class Customer Model'!M11</f>
        <v>2</v>
      </c>
      <c r="K264" s="361">
        <f>'Rate Class Customer Model'!K11</f>
        <v>1</v>
      </c>
      <c r="L264" s="361">
        <f>'Rate Class Customer Model'!K11</f>
        <v>1</v>
      </c>
      <c r="M264" s="361">
        <f>'Rate Class Customer Model'!L11</f>
        <v>4</v>
      </c>
      <c r="N264" s="361">
        <f>SUM(B264:M264)</f>
        <v>73477.5</v>
      </c>
      <c r="O264" s="338"/>
    </row>
    <row r="265" spans="1:15" x14ac:dyDescent="0.25">
      <c r="A265" s="318">
        <v>2009</v>
      </c>
      <c r="B265" s="361">
        <f>'Rate Class Customer Model'!B12</f>
        <v>51969.5</v>
      </c>
      <c r="C265" s="361">
        <f>'Rate Class Customer Model'!C12</f>
        <v>5789</v>
      </c>
      <c r="D265" s="361">
        <f>'Rate Class Customer Model'!D12</f>
        <v>785.625</v>
      </c>
      <c r="E265" s="361">
        <f>'Rate Class Customer Model'!E12</f>
        <v>31.5</v>
      </c>
      <c r="F265" s="361">
        <f>'Rate Class Customer Model'!F12</f>
        <v>2</v>
      </c>
      <c r="G265" s="361">
        <f>'Rate Class Customer Model'!G12</f>
        <v>15099.5</v>
      </c>
      <c r="H265" s="361">
        <f>'Rate Class Customer Model'!H12</f>
        <v>179.125</v>
      </c>
      <c r="I265" s="361">
        <f>'Rate Class Customer Model'!I12</f>
        <v>550.375</v>
      </c>
      <c r="J265" s="361">
        <f>'Rate Class Customer Model'!M12</f>
        <v>2</v>
      </c>
      <c r="K265" s="361">
        <f>'Rate Class Customer Model'!K12</f>
        <v>1</v>
      </c>
      <c r="L265" s="361">
        <f>'Rate Class Customer Model'!K12</f>
        <v>1</v>
      </c>
      <c r="M265" s="361">
        <f>'Rate Class Customer Model'!L12</f>
        <v>4</v>
      </c>
      <c r="N265" s="361">
        <f t="shared" ref="N265:N273" si="169">SUM(B265:M265)</f>
        <v>74414.625</v>
      </c>
      <c r="O265" s="338"/>
    </row>
    <row r="266" spans="1:15" x14ac:dyDescent="0.25">
      <c r="A266" s="318">
        <f t="shared" ref="A266:K266" si="170">A178</f>
        <v>2010</v>
      </c>
      <c r="B266" s="361">
        <f t="shared" si="170"/>
        <v>53053.824999999997</v>
      </c>
      <c r="C266" s="361">
        <f t="shared" si="170"/>
        <v>5893.3649999999998</v>
      </c>
      <c r="D266" s="361">
        <f t="shared" si="170"/>
        <v>802.59164999999996</v>
      </c>
      <c r="E266" s="361">
        <f t="shared" si="170"/>
        <v>31</v>
      </c>
      <c r="F266" s="361">
        <f t="shared" si="170"/>
        <v>2</v>
      </c>
      <c r="G266" s="361">
        <f t="shared" si="170"/>
        <v>15198.5</v>
      </c>
      <c r="H266" s="361">
        <f t="shared" si="170"/>
        <v>219.19</v>
      </c>
      <c r="I266" s="361">
        <f t="shared" si="170"/>
        <v>588.875</v>
      </c>
      <c r="J266" s="361">
        <f t="shared" si="170"/>
        <v>2</v>
      </c>
      <c r="K266" s="361">
        <f t="shared" si="170"/>
        <v>1</v>
      </c>
      <c r="L266" s="361">
        <f>'Rate Class Customer Model'!K13</f>
        <v>1</v>
      </c>
      <c r="M266" s="361">
        <f>'Rate Class Customer Model'!L13</f>
        <v>4</v>
      </c>
      <c r="N266" s="361">
        <f t="shared" si="169"/>
        <v>75797.346649999992</v>
      </c>
      <c r="O266" s="338"/>
    </row>
    <row r="267" spans="1:15" x14ac:dyDescent="0.25">
      <c r="A267" s="318">
        <f t="shared" ref="A267:K267" si="171">A179</f>
        <v>2011</v>
      </c>
      <c r="B267" s="361">
        <f t="shared" si="171"/>
        <v>54019.096548117159</v>
      </c>
      <c r="C267" s="361">
        <f t="shared" si="171"/>
        <v>5932.2793346659055</v>
      </c>
      <c r="D267" s="361">
        <f t="shared" si="171"/>
        <v>822.44998333333331</v>
      </c>
      <c r="E267" s="361">
        <f t="shared" si="171"/>
        <v>33</v>
      </c>
      <c r="F267" s="361">
        <f t="shared" si="171"/>
        <v>2</v>
      </c>
      <c r="G267" s="361">
        <f t="shared" si="171"/>
        <v>15263.5</v>
      </c>
      <c r="H267" s="361">
        <f t="shared" si="171"/>
        <v>189.12055555555554</v>
      </c>
      <c r="I267" s="361">
        <f t="shared" si="171"/>
        <v>564.95000000000005</v>
      </c>
      <c r="J267" s="361">
        <f t="shared" si="171"/>
        <v>2</v>
      </c>
      <c r="K267" s="361">
        <f t="shared" si="171"/>
        <v>1</v>
      </c>
      <c r="L267" s="361">
        <f>'Rate Class Customer Model'!K14</f>
        <v>1</v>
      </c>
      <c r="M267" s="361">
        <f>'Rate Class Customer Model'!L14</f>
        <v>4</v>
      </c>
      <c r="N267" s="361">
        <f t="shared" si="169"/>
        <v>76834.396421671932</v>
      </c>
      <c r="O267" s="338"/>
    </row>
    <row r="268" spans="1:15" x14ac:dyDescent="0.25">
      <c r="A268" s="318">
        <f t="shared" ref="A268:K268" si="172">A180</f>
        <v>2012</v>
      </c>
      <c r="B268" s="361">
        <f t="shared" si="172"/>
        <v>54633.271548117154</v>
      </c>
      <c r="C268" s="361">
        <f t="shared" si="172"/>
        <v>5980.4143346659048</v>
      </c>
      <c r="D268" s="361">
        <f t="shared" si="172"/>
        <v>838.98333333333335</v>
      </c>
      <c r="E268" s="361">
        <f t="shared" si="172"/>
        <v>32</v>
      </c>
      <c r="F268" s="361">
        <f t="shared" si="172"/>
        <v>2</v>
      </c>
      <c r="G268" s="361">
        <f t="shared" si="172"/>
        <v>15362</v>
      </c>
      <c r="H268" s="361">
        <f t="shared" si="172"/>
        <v>176.89706230751005</v>
      </c>
      <c r="I268" s="361">
        <f t="shared" si="172"/>
        <v>538.45000000000005</v>
      </c>
      <c r="J268" s="361">
        <f t="shared" si="172"/>
        <v>2</v>
      </c>
      <c r="K268" s="361">
        <f t="shared" si="172"/>
        <v>1</v>
      </c>
      <c r="L268" s="361">
        <f>'Rate Class Customer Model'!K15</f>
        <v>1</v>
      </c>
      <c r="M268" s="361">
        <f>'Rate Class Customer Model'!L15</f>
        <v>4</v>
      </c>
      <c r="N268" s="361">
        <f t="shared" si="169"/>
        <v>77572.016278423907</v>
      </c>
      <c r="O268" s="338"/>
    </row>
    <row r="269" spans="1:15" x14ac:dyDescent="0.25">
      <c r="A269" s="318">
        <f t="shared" ref="A269:K269" si="173">A181</f>
        <v>2013</v>
      </c>
      <c r="B269" s="361">
        <f t="shared" si="173"/>
        <v>55069.766666666663</v>
      </c>
      <c r="C269" s="361">
        <f t="shared" si="173"/>
        <v>6004.383517763541</v>
      </c>
      <c r="D269" s="361">
        <f t="shared" si="173"/>
        <v>840.00026063386156</v>
      </c>
      <c r="E269" s="361">
        <f t="shared" si="173"/>
        <v>29.5</v>
      </c>
      <c r="F269" s="361">
        <f t="shared" si="173"/>
        <v>2.5</v>
      </c>
      <c r="G269" s="361">
        <f t="shared" si="173"/>
        <v>15453.073785272187</v>
      </c>
      <c r="H269" s="361">
        <f t="shared" si="173"/>
        <v>190.6022269604359</v>
      </c>
      <c r="I269" s="361">
        <f t="shared" si="173"/>
        <v>534</v>
      </c>
      <c r="J269" s="361">
        <f t="shared" si="173"/>
        <v>2</v>
      </c>
      <c r="K269" s="361">
        <f t="shared" si="173"/>
        <v>1</v>
      </c>
      <c r="L269" s="361">
        <f>'Rate Class Customer Model'!K16</f>
        <v>1</v>
      </c>
      <c r="M269" s="361">
        <f>'Rate Class Customer Model'!L16</f>
        <v>4</v>
      </c>
      <c r="N269" s="361">
        <f t="shared" si="169"/>
        <v>78131.826457296687</v>
      </c>
      <c r="O269" s="338"/>
    </row>
    <row r="270" spans="1:15" x14ac:dyDescent="0.25">
      <c r="A270" s="318">
        <f t="shared" ref="A270:K270" si="174">A182</f>
        <v>2014</v>
      </c>
      <c r="B270" s="361">
        <f t="shared" si="174"/>
        <v>55463.033333333333</v>
      </c>
      <c r="C270" s="361">
        <f t="shared" si="174"/>
        <v>6056.767035527082</v>
      </c>
      <c r="D270" s="361">
        <f t="shared" si="174"/>
        <v>825.00052126772312</v>
      </c>
      <c r="E270" s="361">
        <f t="shared" si="174"/>
        <v>29</v>
      </c>
      <c r="F270" s="361">
        <f t="shared" si="174"/>
        <v>2.5</v>
      </c>
      <c r="G270" s="361">
        <f t="shared" si="174"/>
        <v>15512.073785272187</v>
      </c>
      <c r="H270" s="361">
        <f t="shared" si="174"/>
        <v>188.52144041696278</v>
      </c>
      <c r="I270" s="361">
        <f t="shared" si="174"/>
        <v>531</v>
      </c>
      <c r="J270" s="361">
        <f t="shared" si="174"/>
        <v>2</v>
      </c>
      <c r="K270" s="361">
        <f t="shared" si="174"/>
        <v>1</v>
      </c>
      <c r="L270" s="361">
        <f>'Rate Class Customer Model'!K17</f>
        <v>1</v>
      </c>
      <c r="M270" s="361">
        <f>'Rate Class Customer Model'!L17</f>
        <v>4</v>
      </c>
      <c r="N270" s="361">
        <f t="shared" si="169"/>
        <v>78615.89611581729</v>
      </c>
      <c r="O270" s="338"/>
    </row>
    <row r="271" spans="1:15" x14ac:dyDescent="0.25">
      <c r="A271" s="318">
        <f t="shared" ref="A271:K271" si="175">A183</f>
        <v>2015</v>
      </c>
      <c r="B271" s="361">
        <f t="shared" si="175"/>
        <v>55921.837967914442</v>
      </c>
      <c r="C271" s="361">
        <f t="shared" si="175"/>
        <v>6149.0998196068595</v>
      </c>
      <c r="D271" s="361">
        <f t="shared" si="175"/>
        <v>807.93707304671113</v>
      </c>
      <c r="E271" s="361">
        <f t="shared" si="175"/>
        <v>29</v>
      </c>
      <c r="F271" s="361">
        <f t="shared" si="175"/>
        <v>2</v>
      </c>
      <c r="G271" s="361">
        <f t="shared" si="175"/>
        <v>15538.5</v>
      </c>
      <c r="H271" s="361">
        <f t="shared" si="175"/>
        <v>188.78204217010187</v>
      </c>
      <c r="I271" s="361">
        <f t="shared" si="175"/>
        <v>534</v>
      </c>
      <c r="J271" s="361">
        <f t="shared" si="175"/>
        <v>2</v>
      </c>
      <c r="K271" s="361">
        <f t="shared" si="175"/>
        <v>1</v>
      </c>
      <c r="L271" s="361">
        <f>'Rate Class Customer Model'!K18</f>
        <v>1</v>
      </c>
      <c r="M271" s="361">
        <f>'Rate Class Customer Model'!L18</f>
        <v>4</v>
      </c>
      <c r="N271" s="361">
        <f t="shared" si="169"/>
        <v>79179.156902738119</v>
      </c>
      <c r="O271" s="338"/>
    </row>
    <row r="272" spans="1:15" x14ac:dyDescent="0.25">
      <c r="A272" s="318">
        <f t="shared" ref="A272:K272" si="176">A184</f>
        <v>2016</v>
      </c>
      <c r="B272" s="361">
        <f t="shared" si="176"/>
        <v>56560.571301247772</v>
      </c>
      <c r="C272" s="361">
        <f t="shared" si="176"/>
        <v>6240.7163018433184</v>
      </c>
      <c r="D272" s="361">
        <f t="shared" si="176"/>
        <v>805.93681241284958</v>
      </c>
      <c r="E272" s="361">
        <f t="shared" si="176"/>
        <v>28.5</v>
      </c>
      <c r="F272" s="361">
        <f t="shared" si="176"/>
        <v>2</v>
      </c>
      <c r="G272" s="361">
        <f t="shared" si="176"/>
        <v>15726</v>
      </c>
      <c r="H272" s="361">
        <f t="shared" si="176"/>
        <v>181.02132196162046</v>
      </c>
      <c r="I272" s="361">
        <f t="shared" si="176"/>
        <v>523</v>
      </c>
      <c r="J272" s="361">
        <f t="shared" si="176"/>
        <v>2</v>
      </c>
      <c r="K272" s="361">
        <f t="shared" si="176"/>
        <v>1</v>
      </c>
      <c r="L272" s="361">
        <f>'Rate Class Customer Model'!K19</f>
        <v>1</v>
      </c>
      <c r="M272" s="361">
        <f>'Rate Class Customer Model'!L19</f>
        <v>4</v>
      </c>
      <c r="N272" s="361">
        <f t="shared" si="169"/>
        <v>80075.745737465564</v>
      </c>
      <c r="O272" s="338"/>
    </row>
    <row r="273" spans="1:15" x14ac:dyDescent="0.25">
      <c r="A273" s="318">
        <f t="shared" ref="A273:K273" si="177">A185</f>
        <v>2017</v>
      </c>
      <c r="B273" s="361">
        <f t="shared" si="177"/>
        <v>57271.5</v>
      </c>
      <c r="C273" s="361">
        <f t="shared" si="177"/>
        <v>6297.5</v>
      </c>
      <c r="D273" s="361">
        <f t="shared" si="177"/>
        <v>796</v>
      </c>
      <c r="E273" s="361">
        <f t="shared" si="177"/>
        <v>28</v>
      </c>
      <c r="F273" s="361">
        <f t="shared" si="177"/>
        <v>2</v>
      </c>
      <c r="G273" s="361">
        <f t="shared" si="177"/>
        <v>16024</v>
      </c>
      <c r="H273" s="361">
        <f t="shared" si="177"/>
        <v>168</v>
      </c>
      <c r="I273" s="361">
        <f t="shared" si="177"/>
        <v>499</v>
      </c>
      <c r="J273" s="361">
        <f t="shared" si="177"/>
        <v>2</v>
      </c>
      <c r="K273" s="361">
        <f t="shared" si="177"/>
        <v>1</v>
      </c>
      <c r="L273" s="361">
        <f>'Rate Class Customer Model'!K20</f>
        <v>1</v>
      </c>
      <c r="M273" s="361">
        <f>'Rate Class Customer Model'!L20</f>
        <v>4</v>
      </c>
      <c r="N273" s="361">
        <f t="shared" si="169"/>
        <v>81094</v>
      </c>
      <c r="O273" s="338"/>
    </row>
    <row r="274" spans="1:15" x14ac:dyDescent="0.25">
      <c r="A274" s="362"/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</row>
    <row r="276" spans="1:15" x14ac:dyDescent="0.25">
      <c r="A276" s="467" t="s">
        <v>352</v>
      </c>
      <c r="B276" s="453"/>
      <c r="C276" s="453"/>
      <c r="D276" s="453"/>
      <c r="E276" s="453"/>
      <c r="F276" s="453"/>
      <c r="L276" s="308"/>
    </row>
    <row r="277" spans="1:15" ht="60" x14ac:dyDescent="0.25">
      <c r="A277" s="418" t="s">
        <v>198</v>
      </c>
      <c r="B277" s="419" t="str">
        <f t="shared" ref="B277:M277" si="178">B262</f>
        <v xml:space="preserve">Residential </v>
      </c>
      <c r="C277" s="419" t="str">
        <f t="shared" si="178"/>
        <v>General Service &lt; 50 kW</v>
      </c>
      <c r="D277" s="419" t="str">
        <f t="shared" si="178"/>
        <v>General Service &gt; 50 to 999 kW</v>
      </c>
      <c r="E277" s="419" t="str">
        <f t="shared" si="178"/>
        <v>General Service &gt; 1000 to 4999 kW</v>
      </c>
      <c r="F277" s="419" t="str">
        <f t="shared" si="178"/>
        <v>Large User</v>
      </c>
      <c r="G277" s="417" t="str">
        <f t="shared" si="178"/>
        <v>Street Lights</v>
      </c>
      <c r="H277" s="417" t="str">
        <f t="shared" si="178"/>
        <v>Sentinel Lights</v>
      </c>
      <c r="I277" s="417" t="str">
        <f t="shared" si="178"/>
        <v xml:space="preserve">Unmetered Loads </v>
      </c>
      <c r="J277" s="417" t="str">
        <f t="shared" si="178"/>
        <v>Embedded Distributor - Hydro One, CND</v>
      </c>
      <c r="K277" s="417" t="str">
        <f t="shared" si="178"/>
        <v>Embedded Distributor - Brantford Power, BCP</v>
      </c>
      <c r="L277" s="417" t="str">
        <f t="shared" si="178"/>
        <v>Embedded Distributor - Hydro One #1, BCP</v>
      </c>
      <c r="M277" s="417" t="str">
        <f t="shared" si="178"/>
        <v>Embedded Distributor - Hydro One #2, BCP</v>
      </c>
    </row>
    <row r="278" spans="1:15" x14ac:dyDescent="0.25">
      <c r="A278" s="444" t="s">
        <v>211</v>
      </c>
      <c r="B278" s="444"/>
      <c r="C278" s="444"/>
      <c r="D278" s="444"/>
      <c r="E278" s="444"/>
      <c r="F278" s="444"/>
      <c r="G278" s="444"/>
      <c r="H278" s="444"/>
      <c r="I278" s="444"/>
      <c r="J278" s="444"/>
      <c r="K278" s="444"/>
      <c r="L278" s="444"/>
      <c r="M278" s="444"/>
    </row>
    <row r="279" spans="1:15" x14ac:dyDescent="0.25">
      <c r="A279" s="341">
        <f t="shared" ref="A279:A288" si="179">A264</f>
        <v>2008</v>
      </c>
      <c r="B279" s="364"/>
      <c r="C279" s="364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</row>
    <row r="280" spans="1:15" x14ac:dyDescent="0.25">
      <c r="A280" s="341">
        <f t="shared" si="179"/>
        <v>2009</v>
      </c>
      <c r="B280" s="365">
        <f t="shared" ref="B280:I288" si="180">B265/B264-1</f>
        <v>1.2044556094331194E-2</v>
      </c>
      <c r="C280" s="365">
        <f t="shared" si="180"/>
        <v>2.4329823940546724E-2</v>
      </c>
      <c r="D280" s="365">
        <f t="shared" si="180"/>
        <v>1.1751448808757337E-2</v>
      </c>
      <c r="E280" s="365">
        <f t="shared" si="180"/>
        <v>-4.5454545454545414E-2</v>
      </c>
      <c r="F280" s="365">
        <f t="shared" si="180"/>
        <v>0</v>
      </c>
      <c r="G280" s="365">
        <f t="shared" si="180"/>
        <v>6.2643697310986735E-3</v>
      </c>
      <c r="H280" s="365">
        <f t="shared" si="180"/>
        <v>0.29332129963898912</v>
      </c>
      <c r="I280" s="365">
        <f t="shared" si="180"/>
        <v>7.6001955034213031E-2</v>
      </c>
      <c r="J280" s="365"/>
      <c r="K280" s="365">
        <f t="shared" ref="K280:M288" si="181">K265/K264-1</f>
        <v>0</v>
      </c>
      <c r="L280" s="365">
        <f t="shared" si="181"/>
        <v>0</v>
      </c>
      <c r="M280" s="365">
        <f t="shared" si="181"/>
        <v>0</v>
      </c>
    </row>
    <row r="281" spans="1:15" x14ac:dyDescent="0.25">
      <c r="A281" s="341">
        <f t="shared" si="179"/>
        <v>2010</v>
      </c>
      <c r="B281" s="365">
        <f t="shared" si="180"/>
        <v>2.0864641761032754E-2</v>
      </c>
      <c r="C281" s="365">
        <f t="shared" si="180"/>
        <v>1.8028156849196675E-2</v>
      </c>
      <c r="D281" s="365">
        <f t="shared" si="180"/>
        <v>2.1596372315035639E-2</v>
      </c>
      <c r="E281" s="365">
        <f t="shared" si="180"/>
        <v>-1.5873015873015928E-2</v>
      </c>
      <c r="F281" s="365">
        <f t="shared" si="180"/>
        <v>0</v>
      </c>
      <c r="G281" s="365">
        <f t="shared" si="180"/>
        <v>6.5565084936587414E-3</v>
      </c>
      <c r="H281" s="365">
        <f t="shared" si="180"/>
        <v>0.22367062107466862</v>
      </c>
      <c r="I281" s="365">
        <f t="shared" si="180"/>
        <v>6.9952305246422819E-2</v>
      </c>
      <c r="J281" s="365">
        <f t="shared" ref="J281:J288" si="182">J266/J265-1</f>
        <v>0</v>
      </c>
      <c r="K281" s="365">
        <f t="shared" si="181"/>
        <v>0</v>
      </c>
      <c r="L281" s="365">
        <f t="shared" si="181"/>
        <v>0</v>
      </c>
      <c r="M281" s="365">
        <f t="shared" si="181"/>
        <v>0</v>
      </c>
    </row>
    <row r="282" spans="1:15" x14ac:dyDescent="0.25">
      <c r="A282" s="341">
        <f t="shared" si="179"/>
        <v>2011</v>
      </c>
      <c r="B282" s="365">
        <f t="shared" si="180"/>
        <v>1.819419331437766E-2</v>
      </c>
      <c r="C282" s="365">
        <f t="shared" si="180"/>
        <v>6.6030756055166506E-3</v>
      </c>
      <c r="D282" s="365">
        <f t="shared" si="180"/>
        <v>2.4742760946159015E-2</v>
      </c>
      <c r="E282" s="365">
        <f t="shared" si="180"/>
        <v>6.4516129032258007E-2</v>
      </c>
      <c r="F282" s="365">
        <f t="shared" si="180"/>
        <v>0</v>
      </c>
      <c r="G282" s="365">
        <f t="shared" si="180"/>
        <v>4.276737835970712E-3</v>
      </c>
      <c r="H282" s="365">
        <f t="shared" si="180"/>
        <v>-0.13718438087706764</v>
      </c>
      <c r="I282" s="365">
        <f t="shared" si="180"/>
        <v>-4.0628316705582646E-2</v>
      </c>
      <c r="J282" s="365">
        <f t="shared" si="182"/>
        <v>0</v>
      </c>
      <c r="K282" s="365">
        <f t="shared" si="181"/>
        <v>0</v>
      </c>
      <c r="L282" s="365">
        <f t="shared" si="181"/>
        <v>0</v>
      </c>
      <c r="M282" s="365">
        <f t="shared" si="181"/>
        <v>0</v>
      </c>
    </row>
    <row r="283" spans="1:15" x14ac:dyDescent="0.25">
      <c r="A283" s="341">
        <f t="shared" si="179"/>
        <v>2012</v>
      </c>
      <c r="B283" s="365">
        <f t="shared" si="180"/>
        <v>1.1369590371673954E-2</v>
      </c>
      <c r="C283" s="365">
        <f t="shared" si="180"/>
        <v>8.1140818367599898E-3</v>
      </c>
      <c r="D283" s="365">
        <f t="shared" si="180"/>
        <v>2.010255983347653E-2</v>
      </c>
      <c r="E283" s="365">
        <f t="shared" si="180"/>
        <v>-3.0303030303030276E-2</v>
      </c>
      <c r="F283" s="365">
        <f t="shared" si="180"/>
        <v>0</v>
      </c>
      <c r="G283" s="365">
        <f t="shared" si="180"/>
        <v>6.4533036328495719E-3</v>
      </c>
      <c r="H283" s="365">
        <f t="shared" si="180"/>
        <v>-6.4633340422134866E-2</v>
      </c>
      <c r="I283" s="365">
        <f t="shared" si="180"/>
        <v>-4.690680591202756E-2</v>
      </c>
      <c r="J283" s="365">
        <f t="shared" si="182"/>
        <v>0</v>
      </c>
      <c r="K283" s="365">
        <f t="shared" si="181"/>
        <v>0</v>
      </c>
      <c r="L283" s="365">
        <f t="shared" si="181"/>
        <v>0</v>
      </c>
      <c r="M283" s="365">
        <f t="shared" si="181"/>
        <v>0</v>
      </c>
    </row>
    <row r="284" spans="1:15" x14ac:dyDescent="0.25">
      <c r="A284" s="341">
        <f t="shared" si="179"/>
        <v>2013</v>
      </c>
      <c r="B284" s="365">
        <f t="shared" si="180"/>
        <v>7.9895475079700962E-3</v>
      </c>
      <c r="C284" s="365">
        <f t="shared" si="180"/>
        <v>4.0079469007183732E-3</v>
      </c>
      <c r="D284" s="365">
        <f t="shared" si="180"/>
        <v>1.2120947581735209E-3</v>
      </c>
      <c r="E284" s="365">
        <f t="shared" si="180"/>
        <v>-7.8125E-2</v>
      </c>
      <c r="F284" s="365">
        <f t="shared" si="180"/>
        <v>0.25</v>
      </c>
      <c r="G284" s="365">
        <f t="shared" si="180"/>
        <v>5.9285109537943192E-3</v>
      </c>
      <c r="H284" s="365">
        <f t="shared" si="180"/>
        <v>7.747536603576477E-2</v>
      </c>
      <c r="I284" s="365">
        <f t="shared" si="180"/>
        <v>-8.2644628099174389E-3</v>
      </c>
      <c r="J284" s="365">
        <f t="shared" si="182"/>
        <v>0</v>
      </c>
      <c r="K284" s="365">
        <f t="shared" si="181"/>
        <v>0</v>
      </c>
      <c r="L284" s="365">
        <f t="shared" si="181"/>
        <v>0</v>
      </c>
      <c r="M284" s="365">
        <f t="shared" si="181"/>
        <v>0</v>
      </c>
    </row>
    <row r="285" spans="1:15" x14ac:dyDescent="0.25">
      <c r="A285" s="341">
        <f t="shared" si="179"/>
        <v>2014</v>
      </c>
      <c r="B285" s="365">
        <f t="shared" si="180"/>
        <v>7.1412444698937261E-3</v>
      </c>
      <c r="C285" s="365">
        <f t="shared" si="180"/>
        <v>8.7242125038429208E-3</v>
      </c>
      <c r="D285" s="365">
        <f t="shared" si="180"/>
        <v>-1.7856827038148393E-2</v>
      </c>
      <c r="E285" s="365">
        <f t="shared" si="180"/>
        <v>-1.6949152542372836E-2</v>
      </c>
      <c r="F285" s="365">
        <f t="shared" si="180"/>
        <v>0</v>
      </c>
      <c r="G285" s="365">
        <f t="shared" si="180"/>
        <v>3.8180106314014139E-3</v>
      </c>
      <c r="H285" s="365">
        <f t="shared" si="180"/>
        <v>-1.0916905729045023E-2</v>
      </c>
      <c r="I285" s="365">
        <f t="shared" si="180"/>
        <v>-5.6179775280899014E-3</v>
      </c>
      <c r="J285" s="365">
        <f t="shared" si="182"/>
        <v>0</v>
      </c>
      <c r="K285" s="365">
        <f t="shared" si="181"/>
        <v>0</v>
      </c>
      <c r="L285" s="365">
        <f t="shared" si="181"/>
        <v>0</v>
      </c>
      <c r="M285" s="365">
        <f t="shared" si="181"/>
        <v>0</v>
      </c>
    </row>
    <row r="286" spans="1:15" x14ac:dyDescent="0.25">
      <c r="A286" s="341">
        <f t="shared" si="179"/>
        <v>2015</v>
      </c>
      <c r="B286" s="365">
        <f t="shared" si="180"/>
        <v>8.272260044337898E-3</v>
      </c>
      <c r="C286" s="365">
        <f t="shared" si="180"/>
        <v>1.5244565877832628E-2</v>
      </c>
      <c r="D286" s="365">
        <f t="shared" si="180"/>
        <v>-2.0682954472309611E-2</v>
      </c>
      <c r="E286" s="365">
        <f t="shared" si="180"/>
        <v>0</v>
      </c>
      <c r="F286" s="365">
        <f t="shared" si="180"/>
        <v>-0.19999999999999996</v>
      </c>
      <c r="G286" s="365">
        <f t="shared" si="180"/>
        <v>1.7035900611110932E-3</v>
      </c>
      <c r="H286" s="365">
        <f t="shared" si="180"/>
        <v>1.3823454380716971E-3</v>
      </c>
      <c r="I286" s="365">
        <f t="shared" si="180"/>
        <v>5.6497175141243527E-3</v>
      </c>
      <c r="J286" s="365">
        <f t="shared" si="182"/>
        <v>0</v>
      </c>
      <c r="K286" s="365">
        <f t="shared" si="181"/>
        <v>0</v>
      </c>
      <c r="L286" s="365">
        <f t="shared" si="181"/>
        <v>0</v>
      </c>
      <c r="M286" s="365">
        <f t="shared" si="181"/>
        <v>0</v>
      </c>
    </row>
    <row r="287" spans="1:15" x14ac:dyDescent="0.25">
      <c r="A287" s="341">
        <f t="shared" si="179"/>
        <v>2016</v>
      </c>
      <c r="B287" s="365">
        <f t="shared" si="180"/>
        <v>1.1421894496740359E-2</v>
      </c>
      <c r="C287" s="365">
        <f t="shared" si="180"/>
        <v>1.4899169784873711E-2</v>
      </c>
      <c r="D287" s="365">
        <f t="shared" si="180"/>
        <v>-2.4757629035621065E-3</v>
      </c>
      <c r="E287" s="365">
        <f t="shared" si="180"/>
        <v>-1.7241379310344862E-2</v>
      </c>
      <c r="F287" s="365">
        <f t="shared" si="180"/>
        <v>0</v>
      </c>
      <c r="G287" s="365">
        <f t="shared" si="180"/>
        <v>1.2066801814847095E-2</v>
      </c>
      <c r="H287" s="365">
        <f t="shared" si="180"/>
        <v>-4.1109419726949592E-2</v>
      </c>
      <c r="I287" s="365">
        <f t="shared" si="180"/>
        <v>-2.0599250936329638E-2</v>
      </c>
      <c r="J287" s="365">
        <f t="shared" si="182"/>
        <v>0</v>
      </c>
      <c r="K287" s="365">
        <f t="shared" si="181"/>
        <v>0</v>
      </c>
      <c r="L287" s="365">
        <f t="shared" si="181"/>
        <v>0</v>
      </c>
      <c r="M287" s="365">
        <f t="shared" si="181"/>
        <v>0</v>
      </c>
    </row>
    <row r="288" spans="1:15" x14ac:dyDescent="0.25">
      <c r="A288" s="341">
        <f t="shared" si="179"/>
        <v>2017</v>
      </c>
      <c r="B288" s="365">
        <f t="shared" si="180"/>
        <v>1.2569333767258994E-2</v>
      </c>
      <c r="C288" s="365">
        <f t="shared" si="180"/>
        <v>9.0989071462692639E-3</v>
      </c>
      <c r="D288" s="365">
        <f t="shared" si="180"/>
        <v>-1.2329517971887083E-2</v>
      </c>
      <c r="E288" s="365">
        <f t="shared" si="180"/>
        <v>-1.7543859649122862E-2</v>
      </c>
      <c r="F288" s="365">
        <f t="shared" si="180"/>
        <v>0</v>
      </c>
      <c r="G288" s="365">
        <f t="shared" si="180"/>
        <v>1.8949510365000588E-2</v>
      </c>
      <c r="H288" s="365">
        <f t="shared" si="180"/>
        <v>-7.1932531596367366E-2</v>
      </c>
      <c r="I288" s="365">
        <f t="shared" si="180"/>
        <v>-4.5889101338432159E-2</v>
      </c>
      <c r="J288" s="365">
        <f t="shared" si="182"/>
        <v>0</v>
      </c>
      <c r="K288" s="365">
        <f t="shared" si="181"/>
        <v>0</v>
      </c>
      <c r="L288" s="365">
        <f t="shared" si="181"/>
        <v>0</v>
      </c>
      <c r="M288" s="365">
        <f t="shared" si="181"/>
        <v>0</v>
      </c>
    </row>
    <row r="289" spans="1:14" x14ac:dyDescent="0.25">
      <c r="A289" s="325" t="s">
        <v>237</v>
      </c>
      <c r="B289" s="365">
        <f>'Rate Class Customer Model'!B38-1</f>
        <v>1.2198098103177291E-2</v>
      </c>
      <c r="C289" s="365">
        <f>'Rate Class Customer Model'!C38-1</f>
        <v>1.2098348105876955E-2</v>
      </c>
      <c r="D289" s="365">
        <f>'Rate Class Customer Model'!D38-1</f>
        <v>2.759638952114063E-3</v>
      </c>
      <c r="E289" s="365">
        <f>'Rate Class Customer Model'!E38-1</f>
        <v>-1.8090265180134013E-2</v>
      </c>
      <c r="F289" s="365">
        <f>'Rate Class Customer Model'!F38-1</f>
        <v>0</v>
      </c>
      <c r="G289" s="365">
        <f>'Rate Class Customer Model'!G38-1</f>
        <v>7.3234414982337181E-3</v>
      </c>
      <c r="H289" s="365">
        <f>'Rate Class Customer Model'!H38-1</f>
        <v>2.1686660571934357E-2</v>
      </c>
      <c r="I289" s="365">
        <f>'Rate Class Customer Model'!I38-1</f>
        <v>-2.7452792145963301E-3</v>
      </c>
      <c r="J289" s="365">
        <f>'Rate Class Customer Model'!M38-1</f>
        <v>0</v>
      </c>
      <c r="K289" s="365">
        <f>'Rate Class Customer Model'!J38-1</f>
        <v>0</v>
      </c>
      <c r="L289" s="365">
        <f>'Rate Class Customer Model'!K38-1</f>
        <v>0</v>
      </c>
      <c r="M289" s="365">
        <f>'Rate Class Customer Model'!L38-1</f>
        <v>0</v>
      </c>
    </row>
    <row r="290" spans="1:14" x14ac:dyDescent="0.25">
      <c r="M290" s="308"/>
    </row>
    <row r="291" spans="1:14" x14ac:dyDescent="0.25">
      <c r="A291" s="450" t="s">
        <v>353</v>
      </c>
      <c r="B291" s="450"/>
      <c r="C291" s="450"/>
      <c r="D291" s="450"/>
      <c r="E291" s="450"/>
      <c r="F291" s="450"/>
      <c r="G291" s="450"/>
      <c r="H291" s="450"/>
      <c r="I291" s="450"/>
      <c r="M291" s="349"/>
    </row>
    <row r="292" spans="1:14" ht="60" x14ac:dyDescent="0.25">
      <c r="A292" s="418" t="str">
        <f t="shared" ref="A292:M292" si="183">A262</f>
        <v>Year</v>
      </c>
      <c r="B292" s="419" t="str">
        <f t="shared" si="183"/>
        <v xml:space="preserve">Residential </v>
      </c>
      <c r="C292" s="419" t="str">
        <f t="shared" si="183"/>
        <v>General Service &lt; 50 kW</v>
      </c>
      <c r="D292" s="419" t="str">
        <f t="shared" si="183"/>
        <v>General Service &gt; 50 to 999 kW</v>
      </c>
      <c r="E292" s="419" t="str">
        <f t="shared" si="183"/>
        <v>General Service &gt; 1000 to 4999 kW</v>
      </c>
      <c r="F292" s="419" t="str">
        <f t="shared" si="183"/>
        <v>Large User</v>
      </c>
      <c r="G292" s="417" t="str">
        <f t="shared" si="183"/>
        <v>Street Lights</v>
      </c>
      <c r="H292" s="417" t="str">
        <f t="shared" si="183"/>
        <v>Sentinel Lights</v>
      </c>
      <c r="I292" s="417" t="str">
        <f t="shared" si="183"/>
        <v xml:space="preserve">Unmetered Loads </v>
      </c>
      <c r="J292" s="417" t="str">
        <f t="shared" si="183"/>
        <v>Embedded Distributor - Hydro One, CND</v>
      </c>
      <c r="K292" s="417" t="str">
        <f t="shared" si="183"/>
        <v>Embedded Distributor - Brantford Power, BCP</v>
      </c>
      <c r="L292" s="417" t="str">
        <f t="shared" si="183"/>
        <v>Embedded Distributor - Hydro One #1, BCP</v>
      </c>
      <c r="M292" s="417" t="str">
        <f t="shared" si="183"/>
        <v>Embedded Distributor - Hydro One #2, BCP</v>
      </c>
      <c r="N292" s="417" t="str">
        <f>N262</f>
        <v>Total</v>
      </c>
    </row>
    <row r="293" spans="1:14" x14ac:dyDescent="0.25">
      <c r="A293" s="444" t="s">
        <v>238</v>
      </c>
      <c r="B293" s="444"/>
      <c r="C293" s="444"/>
      <c r="D293" s="444"/>
      <c r="E293" s="444"/>
      <c r="F293" s="444"/>
      <c r="G293" s="444"/>
      <c r="H293" s="444"/>
      <c r="I293" s="444"/>
      <c r="J293" s="444"/>
      <c r="K293" s="444"/>
      <c r="L293" s="444"/>
      <c r="M293" s="444"/>
      <c r="N293" s="444"/>
    </row>
    <row r="294" spans="1:14" x14ac:dyDescent="0.25">
      <c r="A294" s="305" t="str">
        <f>A257</f>
        <v>2018 Bridge</v>
      </c>
      <c r="B294" s="361">
        <f t="shared" ref="B294:G294" si="184">B273*(1+B289)</f>
        <v>57970.103375516119</v>
      </c>
      <c r="C294" s="361">
        <f t="shared" si="184"/>
        <v>6373.6893471967605</v>
      </c>
      <c r="D294" s="361">
        <f t="shared" si="184"/>
        <v>798.19667260588278</v>
      </c>
      <c r="E294" s="361">
        <f t="shared" si="184"/>
        <v>27.493472574956247</v>
      </c>
      <c r="F294" s="361">
        <f t="shared" si="184"/>
        <v>2</v>
      </c>
      <c r="G294" s="361">
        <f t="shared" si="184"/>
        <v>16141.350826567697</v>
      </c>
      <c r="H294" s="361">
        <f>H273</f>
        <v>168</v>
      </c>
      <c r="I294" s="361">
        <f>I273</f>
        <v>499</v>
      </c>
      <c r="J294" s="361">
        <f>J273*(1+J289)</f>
        <v>2</v>
      </c>
      <c r="K294" s="361">
        <f>K273*(1+K289)</f>
        <v>1</v>
      </c>
      <c r="L294" s="361">
        <f t="shared" ref="L294:M294" si="185">L273*(1+L289)</f>
        <v>1</v>
      </c>
      <c r="M294" s="361">
        <f t="shared" si="185"/>
        <v>4</v>
      </c>
      <c r="N294" s="361">
        <f>SUM(B294:M294)</f>
        <v>81987.833694461413</v>
      </c>
    </row>
    <row r="295" spans="1:14" x14ac:dyDescent="0.25">
      <c r="A295" s="305" t="str">
        <f>A258</f>
        <v>2019 Test</v>
      </c>
      <c r="B295" s="361">
        <f>B294*(1+B289)</f>
        <v>58677.228383541995</v>
      </c>
      <c r="C295" s="361">
        <f t="shared" ref="C295:F295" si="186">C294*(1+C289)</f>
        <v>6450.8004596378669</v>
      </c>
      <c r="D295" s="361">
        <f t="shared" si="186"/>
        <v>800.39940723505379</v>
      </c>
      <c r="E295" s="361">
        <f t="shared" si="186"/>
        <v>26.996108365352548</v>
      </c>
      <c r="F295" s="361">
        <f t="shared" si="186"/>
        <v>2</v>
      </c>
      <c r="G295" s="361">
        <f>G294*(1+G289)</f>
        <v>16259.561065048532</v>
      </c>
      <c r="H295" s="361">
        <f>H294</f>
        <v>168</v>
      </c>
      <c r="I295" s="361">
        <f>I294</f>
        <v>499</v>
      </c>
      <c r="J295" s="361">
        <f>J294*(1+J289)</f>
        <v>2</v>
      </c>
      <c r="K295" s="361">
        <f>K294*(1+K289)</f>
        <v>1</v>
      </c>
      <c r="L295" s="361">
        <f t="shared" ref="L295:M295" si="187">L294*(1+L289)</f>
        <v>1</v>
      </c>
      <c r="M295" s="361">
        <f t="shared" si="187"/>
        <v>4</v>
      </c>
      <c r="N295" s="361">
        <f>SUM(B295:M295)</f>
        <v>82891.985423828795</v>
      </c>
    </row>
    <row r="297" spans="1:14" x14ac:dyDescent="0.25">
      <c r="A297" s="444" t="s">
        <v>354</v>
      </c>
      <c r="B297" s="444"/>
      <c r="C297" s="444"/>
      <c r="D297" s="444"/>
      <c r="E297" s="444"/>
      <c r="F297" s="444"/>
      <c r="G297" s="444"/>
      <c r="H297" s="444"/>
      <c r="I297" s="444"/>
      <c r="J297" s="444"/>
      <c r="K297" s="444"/>
    </row>
    <row r="298" spans="1:14" ht="60" x14ac:dyDescent="0.25">
      <c r="A298" s="418" t="s">
        <v>198</v>
      </c>
      <c r="B298" s="419" t="str">
        <f>B292</f>
        <v xml:space="preserve">Residential </v>
      </c>
      <c r="C298" s="419" t="str">
        <f t="shared" ref="C298:M298" si="188">C292</f>
        <v>General Service &lt; 50 kW</v>
      </c>
      <c r="D298" s="419" t="str">
        <f t="shared" si="188"/>
        <v>General Service &gt; 50 to 999 kW</v>
      </c>
      <c r="E298" s="419" t="str">
        <f t="shared" si="188"/>
        <v>General Service &gt; 1000 to 4999 kW</v>
      </c>
      <c r="F298" s="419" t="str">
        <f t="shared" si="188"/>
        <v>Large User</v>
      </c>
      <c r="G298" s="417" t="str">
        <f t="shared" si="188"/>
        <v>Street Lights</v>
      </c>
      <c r="H298" s="417" t="str">
        <f t="shared" si="188"/>
        <v>Sentinel Lights</v>
      </c>
      <c r="I298" s="417" t="str">
        <f t="shared" si="188"/>
        <v xml:space="preserve">Unmetered Loads </v>
      </c>
      <c r="J298" s="417" t="str">
        <f t="shared" si="188"/>
        <v>Embedded Distributor - Hydro One, CND</v>
      </c>
      <c r="K298" s="417" t="str">
        <f t="shared" si="188"/>
        <v>Embedded Distributor - Brantford Power, BCP</v>
      </c>
      <c r="L298" s="417" t="str">
        <f t="shared" si="188"/>
        <v>Embedded Distributor - Hydro One #1, BCP</v>
      </c>
      <c r="M298" s="417" t="str">
        <f t="shared" si="188"/>
        <v>Embedded Distributor - Hydro One #2, BCP</v>
      </c>
    </row>
    <row r="299" spans="1:14" x14ac:dyDescent="0.25">
      <c r="A299" s="444" t="s">
        <v>212</v>
      </c>
      <c r="B299" s="444"/>
      <c r="C299" s="444"/>
      <c r="D299" s="444"/>
      <c r="E299" s="444"/>
      <c r="F299" s="444"/>
      <c r="G299" s="444"/>
      <c r="H299" s="444"/>
      <c r="I299" s="444"/>
      <c r="J299" s="444"/>
      <c r="K299" s="444"/>
    </row>
    <row r="300" spans="1:14" x14ac:dyDescent="0.25">
      <c r="A300" s="318">
        <v>2017</v>
      </c>
      <c r="B300" s="361">
        <f>'Rate Class Energy Model'!H48</f>
        <v>7924.6235038369859</v>
      </c>
      <c r="C300" s="361">
        <f>'Rate Class Energy Model'!I48</f>
        <v>30012.838035728462</v>
      </c>
      <c r="D300" s="361">
        <f>'Rate Class Energy Model'!J48</f>
        <v>611856.1833370981</v>
      </c>
      <c r="E300" s="361">
        <f>'Rate Class Energy Model'!K48</f>
        <v>8619710.8973254226</v>
      </c>
      <c r="F300" s="361">
        <f>'Rate Class Energy Model'!L48</f>
        <v>73113194.079999998</v>
      </c>
      <c r="G300" s="361">
        <f>'Rate Class Energy Model'!M48</f>
        <v>522.86783699450825</v>
      </c>
      <c r="H300" s="361">
        <f>'Rate Class Energy Model'!N48</f>
        <v>755.88690476190482</v>
      </c>
      <c r="I300" s="361">
        <f>'Rate Class Energy Model'!O48</f>
        <v>4557.0901745435713</v>
      </c>
      <c r="J300" s="361">
        <f>'Rate Class Energy Model'!S48</f>
        <v>6302581.1099999994</v>
      </c>
      <c r="K300" s="361">
        <f>'Rate Class Energy Model'!P48</f>
        <v>347756.59287776717</v>
      </c>
      <c r="L300" s="361">
        <f>'Rate Class Energy Model'!Q48</f>
        <v>12191720.381133871</v>
      </c>
      <c r="M300" s="361">
        <f>'Rate Class Energy Model'!R48</f>
        <v>10818530.38351596</v>
      </c>
    </row>
    <row r="301" spans="1:14" x14ac:dyDescent="0.25">
      <c r="A301" s="362"/>
      <c r="B301" s="363"/>
      <c r="C301" s="363"/>
      <c r="D301" s="363"/>
      <c r="E301" s="363"/>
    </row>
    <row r="302" spans="1:14" x14ac:dyDescent="0.25">
      <c r="K302" s="366"/>
    </row>
    <row r="303" spans="1:14" x14ac:dyDescent="0.25">
      <c r="A303" s="359" t="s">
        <v>355</v>
      </c>
      <c r="B303" s="360"/>
      <c r="C303" s="360"/>
      <c r="D303" s="360"/>
      <c r="E303" s="360"/>
      <c r="F303" s="360"/>
      <c r="G303" s="360"/>
    </row>
    <row r="304" spans="1:14" ht="60" x14ac:dyDescent="0.25">
      <c r="A304" s="418" t="str">
        <f>A298</f>
        <v>Year</v>
      </c>
      <c r="B304" s="419" t="str">
        <f t="shared" ref="B304:M304" si="189">B298</f>
        <v xml:space="preserve">Residential </v>
      </c>
      <c r="C304" s="419" t="str">
        <f t="shared" si="189"/>
        <v>General Service &lt; 50 kW</v>
      </c>
      <c r="D304" s="419" t="str">
        <f t="shared" si="189"/>
        <v>General Service &gt; 50 to 999 kW</v>
      </c>
      <c r="E304" s="419" t="str">
        <f t="shared" si="189"/>
        <v>General Service &gt; 1000 to 4999 kW</v>
      </c>
      <c r="F304" s="419" t="str">
        <f t="shared" si="189"/>
        <v>Large User</v>
      </c>
      <c r="G304" s="417" t="str">
        <f t="shared" si="189"/>
        <v>Street Lights</v>
      </c>
      <c r="H304" s="417" t="str">
        <f t="shared" si="189"/>
        <v>Sentinel Lights</v>
      </c>
      <c r="I304" s="417" t="str">
        <f t="shared" si="189"/>
        <v xml:space="preserve">Unmetered Loads </v>
      </c>
      <c r="J304" s="417" t="str">
        <f t="shared" si="189"/>
        <v>Embedded Distributor - Hydro One, CND</v>
      </c>
      <c r="K304" s="417" t="str">
        <f t="shared" si="189"/>
        <v>Embedded Distributor - Brantford Power, BCP</v>
      </c>
      <c r="L304" s="417" t="str">
        <f t="shared" si="189"/>
        <v>Embedded Distributor - Hydro One #1, BCP</v>
      </c>
      <c r="M304" s="417" t="str">
        <f t="shared" si="189"/>
        <v>Embedded Distributor - Hydro One #2, BCP</v>
      </c>
    </row>
    <row r="305" spans="1:14" x14ac:dyDescent="0.25">
      <c r="A305" s="444" t="s">
        <v>213</v>
      </c>
      <c r="B305" s="444"/>
      <c r="C305" s="444"/>
      <c r="D305" s="444"/>
      <c r="E305" s="444"/>
      <c r="F305" s="444"/>
      <c r="G305" s="444"/>
      <c r="H305" s="444"/>
      <c r="I305" s="444"/>
      <c r="J305" s="444"/>
      <c r="K305" s="444"/>
      <c r="L305" s="444"/>
      <c r="M305" s="444"/>
    </row>
    <row r="306" spans="1:14" x14ac:dyDescent="0.25">
      <c r="A306" s="347" t="str">
        <f>A294</f>
        <v>2018 Bridge</v>
      </c>
      <c r="B306" s="367">
        <f>B300</f>
        <v>7924.6235038369859</v>
      </c>
      <c r="C306" s="367">
        <f t="shared" ref="C306:M306" si="190">C300</f>
        <v>30012.838035728462</v>
      </c>
      <c r="D306" s="367">
        <f t="shared" si="190"/>
        <v>611856.1833370981</v>
      </c>
      <c r="E306" s="367">
        <f t="shared" si="190"/>
        <v>8619710.8973254226</v>
      </c>
      <c r="F306" s="367">
        <f t="shared" si="190"/>
        <v>73113194.079999998</v>
      </c>
      <c r="G306" s="367">
        <f t="shared" si="190"/>
        <v>522.86783699450825</v>
      </c>
      <c r="H306" s="367">
        <f t="shared" si="190"/>
        <v>755.88690476190482</v>
      </c>
      <c r="I306" s="367">
        <f t="shared" si="190"/>
        <v>4557.0901745435713</v>
      </c>
      <c r="J306" s="367">
        <f t="shared" si="190"/>
        <v>6302581.1099999994</v>
      </c>
      <c r="K306" s="367">
        <f t="shared" si="190"/>
        <v>347756.59287776717</v>
      </c>
      <c r="L306" s="367">
        <f t="shared" si="190"/>
        <v>12191720.381133871</v>
      </c>
      <c r="M306" s="367">
        <f t="shared" si="190"/>
        <v>10818530.38351596</v>
      </c>
    </row>
    <row r="307" spans="1:14" x14ac:dyDescent="0.25">
      <c r="A307" s="336" t="str">
        <f>A295</f>
        <v>2019 Test</v>
      </c>
      <c r="B307" s="367">
        <f>B306</f>
        <v>7924.6235038369859</v>
      </c>
      <c r="C307" s="367">
        <f t="shared" ref="C307:M307" si="191">C306</f>
        <v>30012.838035728462</v>
      </c>
      <c r="D307" s="367">
        <f t="shared" si="191"/>
        <v>611856.1833370981</v>
      </c>
      <c r="E307" s="367">
        <f t="shared" si="191"/>
        <v>8619710.8973254226</v>
      </c>
      <c r="F307" s="367">
        <f t="shared" si="191"/>
        <v>73113194.079999998</v>
      </c>
      <c r="G307" s="367">
        <f t="shared" si="191"/>
        <v>522.86783699450825</v>
      </c>
      <c r="H307" s="367">
        <f t="shared" si="191"/>
        <v>755.88690476190482</v>
      </c>
      <c r="I307" s="367">
        <f t="shared" si="191"/>
        <v>4557.0901745435713</v>
      </c>
      <c r="J307" s="367">
        <f t="shared" si="191"/>
        <v>6302581.1099999994</v>
      </c>
      <c r="K307" s="367">
        <f t="shared" si="191"/>
        <v>347756.59287776717</v>
      </c>
      <c r="L307" s="367">
        <f t="shared" si="191"/>
        <v>12191720.381133871</v>
      </c>
      <c r="M307" s="367">
        <f t="shared" si="191"/>
        <v>10818530.38351596</v>
      </c>
    </row>
    <row r="309" spans="1:14" x14ac:dyDescent="0.25">
      <c r="A309" s="359" t="s">
        <v>356</v>
      </c>
      <c r="B309" s="360"/>
      <c r="C309" s="360"/>
      <c r="D309" s="360"/>
      <c r="E309" s="360"/>
      <c r="F309" s="360"/>
      <c r="G309" s="360"/>
      <c r="L309" s="349"/>
    </row>
    <row r="310" spans="1:14" ht="60" x14ac:dyDescent="0.25">
      <c r="A310" s="418" t="str">
        <f>A292</f>
        <v>Year</v>
      </c>
      <c r="B310" s="419" t="str">
        <f t="shared" ref="B310:M310" si="192">B292</f>
        <v xml:space="preserve">Residential </v>
      </c>
      <c r="C310" s="419" t="str">
        <f t="shared" si="192"/>
        <v>General Service &lt; 50 kW</v>
      </c>
      <c r="D310" s="419" t="str">
        <f t="shared" si="192"/>
        <v>General Service &gt; 50 to 999 kW</v>
      </c>
      <c r="E310" s="419" t="str">
        <f t="shared" si="192"/>
        <v>General Service &gt; 1000 to 4999 kW</v>
      </c>
      <c r="F310" s="419" t="str">
        <f t="shared" si="192"/>
        <v>Large User</v>
      </c>
      <c r="G310" s="417" t="str">
        <f t="shared" si="192"/>
        <v>Street Lights</v>
      </c>
      <c r="H310" s="417" t="str">
        <f t="shared" si="192"/>
        <v>Sentinel Lights</v>
      </c>
      <c r="I310" s="417" t="str">
        <f t="shared" si="192"/>
        <v xml:space="preserve">Unmetered Loads </v>
      </c>
      <c r="J310" s="417" t="str">
        <f t="shared" si="192"/>
        <v>Embedded Distributor - Hydro One, CND</v>
      </c>
      <c r="K310" s="417" t="str">
        <f t="shared" si="192"/>
        <v>Embedded Distributor - Brantford Power, BCP</v>
      </c>
      <c r="L310" s="417" t="str">
        <f t="shared" si="192"/>
        <v>Embedded Distributor - Hydro One #1, BCP</v>
      </c>
      <c r="M310" s="417" t="str">
        <f t="shared" si="192"/>
        <v>Embedded Distributor - Hydro One #2, BCP</v>
      </c>
      <c r="N310" s="417" t="str">
        <f>N292</f>
        <v>Total</v>
      </c>
    </row>
    <row r="311" spans="1:14" x14ac:dyDescent="0.25">
      <c r="A311" s="444" t="s">
        <v>214</v>
      </c>
      <c r="B311" s="444"/>
      <c r="C311" s="444"/>
      <c r="D311" s="444"/>
      <c r="E311" s="444"/>
      <c r="F311" s="444"/>
      <c r="G311" s="444"/>
      <c r="H311" s="444"/>
      <c r="I311" s="444"/>
      <c r="J311" s="444"/>
      <c r="K311" s="444"/>
      <c r="L311" s="444"/>
      <c r="M311" s="444"/>
      <c r="N311" s="444"/>
    </row>
    <row r="312" spans="1:14" x14ac:dyDescent="0.25">
      <c r="A312" s="341" t="str">
        <f>A306</f>
        <v>2018 Bridge</v>
      </c>
      <c r="B312" s="368">
        <f>B306*B294/1000000</f>
        <v>459.39124372947487</v>
      </c>
      <c r="C312" s="368">
        <f t="shared" ref="C312:M312" si="193">C306*C294/1000000</f>
        <v>191.29250606746427</v>
      </c>
      <c r="D312" s="368">
        <f t="shared" si="193"/>
        <v>488.38156965300669</v>
      </c>
      <c r="E312" s="368">
        <f t="shared" si="193"/>
        <v>236.98578515966801</v>
      </c>
      <c r="F312" s="368">
        <f t="shared" si="193"/>
        <v>146.22638816</v>
      </c>
      <c r="G312" s="368">
        <f t="shared" si="193"/>
        <v>8.4397931928569694</v>
      </c>
      <c r="H312" s="368">
        <f t="shared" si="193"/>
        <v>0.12698900000000002</v>
      </c>
      <c r="I312" s="368">
        <f t="shared" si="193"/>
        <v>2.2739879970972421</v>
      </c>
      <c r="J312" s="368">
        <f t="shared" si="193"/>
        <v>12.605162219999999</v>
      </c>
      <c r="K312" s="368">
        <f t="shared" si="193"/>
        <v>0.34775659287776717</v>
      </c>
      <c r="L312" s="368">
        <f t="shared" si="193"/>
        <v>12.191720381133871</v>
      </c>
      <c r="M312" s="369">
        <f t="shared" si="193"/>
        <v>43.274121534063838</v>
      </c>
      <c r="N312" s="369">
        <f>SUM(B312:M312)</f>
        <v>1601.5370236876433</v>
      </c>
    </row>
    <row r="313" spans="1:14" x14ac:dyDescent="0.25">
      <c r="A313" s="341" t="str">
        <f>A307</f>
        <v>2019 Test</v>
      </c>
      <c r="B313" s="368">
        <f>B307*B295/1000000</f>
        <v>464.99494318822758</v>
      </c>
      <c r="C313" s="368">
        <f t="shared" ref="C313:M313" si="194">C307*C295/1000000</f>
        <v>193.60682939591402</v>
      </c>
      <c r="D313" s="368">
        <f t="shared" si="194"/>
        <v>489.7293264561157</v>
      </c>
      <c r="E313" s="368">
        <f t="shared" si="194"/>
        <v>232.69864946220736</v>
      </c>
      <c r="F313" s="368">
        <f t="shared" si="194"/>
        <v>146.22638816</v>
      </c>
      <c r="G313" s="368">
        <f t="shared" si="194"/>
        <v>8.5016015245620498</v>
      </c>
      <c r="H313" s="368">
        <f t="shared" si="194"/>
        <v>0.12698900000000002</v>
      </c>
      <c r="I313" s="368">
        <f t="shared" si="194"/>
        <v>2.2739879970972421</v>
      </c>
      <c r="J313" s="368">
        <f t="shared" si="194"/>
        <v>12.605162219999999</v>
      </c>
      <c r="K313" s="368">
        <f t="shared" si="194"/>
        <v>0.34775659287776717</v>
      </c>
      <c r="L313" s="368">
        <f t="shared" si="194"/>
        <v>12.191720381133871</v>
      </c>
      <c r="M313" s="369">
        <f t="shared" si="194"/>
        <v>43.274121534063838</v>
      </c>
      <c r="N313" s="369">
        <f>SUM(B313:M313)</f>
        <v>1606.5774759121996</v>
      </c>
    </row>
    <row r="315" spans="1:14" x14ac:dyDescent="0.25">
      <c r="B315" s="450" t="s">
        <v>357</v>
      </c>
      <c r="C315" s="450"/>
      <c r="D315" s="450"/>
      <c r="E315" s="450"/>
    </row>
    <row r="316" spans="1:14" ht="60" x14ac:dyDescent="0.25">
      <c r="B316" s="419" t="str">
        <f>B310</f>
        <v xml:space="preserve">Residential </v>
      </c>
      <c r="C316" s="419" t="str">
        <f t="shared" ref="C316:M316" si="195">C310</f>
        <v>General Service &lt; 50 kW</v>
      </c>
      <c r="D316" s="419" t="str">
        <f t="shared" si="195"/>
        <v>General Service &gt; 50 to 999 kW</v>
      </c>
      <c r="E316" s="419" t="str">
        <f t="shared" si="195"/>
        <v>General Service &gt; 1000 to 4999 kW</v>
      </c>
      <c r="F316" s="419" t="str">
        <f t="shared" si="195"/>
        <v>Large User</v>
      </c>
      <c r="G316" s="417" t="str">
        <f t="shared" si="195"/>
        <v>Street Lights</v>
      </c>
      <c r="H316" s="417" t="str">
        <f t="shared" si="195"/>
        <v>Sentinel Lights</v>
      </c>
      <c r="I316" s="417" t="str">
        <f t="shared" si="195"/>
        <v xml:space="preserve">Unmetered Loads </v>
      </c>
      <c r="J316" s="417" t="str">
        <f t="shared" si="195"/>
        <v>Embedded Distributor - Hydro One, CND</v>
      </c>
      <c r="K316" s="417" t="str">
        <f t="shared" si="195"/>
        <v>Embedded Distributor - Brantford Power, BCP</v>
      </c>
      <c r="L316" s="417" t="str">
        <f t="shared" si="195"/>
        <v>Embedded Distributor - Hydro One #1, BCP</v>
      </c>
      <c r="M316" s="417" t="str">
        <f t="shared" si="195"/>
        <v>Embedded Distributor - Hydro One #2, BCP</v>
      </c>
    </row>
    <row r="317" spans="1:14" x14ac:dyDescent="0.25">
      <c r="B317" s="444" t="s">
        <v>215</v>
      </c>
      <c r="C317" s="444"/>
      <c r="D317" s="444"/>
      <c r="E317" s="444"/>
      <c r="F317" s="444"/>
      <c r="G317" s="444"/>
      <c r="H317" s="444"/>
      <c r="I317" s="444"/>
      <c r="J317" s="444"/>
      <c r="K317" s="444"/>
      <c r="L317" s="444"/>
      <c r="M317" s="444"/>
    </row>
    <row r="318" spans="1:14" x14ac:dyDescent="0.25">
      <c r="B318" s="370">
        <f>'Rate Class Energy Model'!H73</f>
        <v>0.73977685635363388</v>
      </c>
      <c r="C318" s="370">
        <f>'Rate Class Energy Model'!I73</f>
        <v>0.73977685635363388</v>
      </c>
      <c r="D318" s="370">
        <f>'Rate Class Energy Model'!J73</f>
        <v>0.47955371270726771</v>
      </c>
      <c r="E318" s="370">
        <f>'Rate Class Energy Model'!K73</f>
        <v>0.22849704086909819</v>
      </c>
      <c r="F318" s="370">
        <f>'Rate Class Energy Model'!L73</f>
        <v>0</v>
      </c>
      <c r="G318" s="370">
        <f>'Rate Class Energy Model'!M73</f>
        <v>0</v>
      </c>
      <c r="H318" s="370">
        <f>'Rate Class Energy Model'!N73</f>
        <v>0</v>
      </c>
      <c r="I318" s="370">
        <f>'Rate Class Energy Model'!O73</f>
        <v>0</v>
      </c>
      <c r="J318" s="370">
        <f>'Rate Class Energy Model'!P73</f>
        <v>0</v>
      </c>
      <c r="K318" s="370">
        <f>'Rate Class Energy Model'!S73</f>
        <v>0</v>
      </c>
      <c r="L318" s="370">
        <f>'Rate Class Energy Model'!Q73</f>
        <v>0</v>
      </c>
      <c r="M318" s="370">
        <f>'Rate Class Energy Model'!R73</f>
        <v>0</v>
      </c>
    </row>
    <row r="319" spans="1:14" x14ac:dyDescent="0.25">
      <c r="B319" s="371"/>
      <c r="C319" s="371"/>
      <c r="D319" s="371"/>
      <c r="E319" s="371"/>
    </row>
    <row r="320" spans="1:14" ht="28.5" customHeight="1" x14ac:dyDescent="0.25">
      <c r="A320" s="448" t="s">
        <v>358</v>
      </c>
      <c r="B320" s="449"/>
      <c r="C320" s="449"/>
      <c r="D320" s="372"/>
      <c r="E320" s="373"/>
    </row>
    <row r="321" spans="1:14" x14ac:dyDescent="0.25">
      <c r="A321" s="417"/>
      <c r="B321" s="417">
        <v>2018</v>
      </c>
      <c r="C321" s="417">
        <v>2019</v>
      </c>
    </row>
    <row r="322" spans="1:14" x14ac:dyDescent="0.25">
      <c r="A322" s="374" t="s">
        <v>179</v>
      </c>
      <c r="B322" s="337">
        <f>'CDM Activity '!U8</f>
        <v>29298881.316179384</v>
      </c>
      <c r="C322" s="337">
        <f>'CDM Activity '!V8</f>
        <v>14028881.316179384</v>
      </c>
    </row>
    <row r="323" spans="1:14" x14ac:dyDescent="0.25">
      <c r="A323" s="374" t="s">
        <v>180</v>
      </c>
      <c r="B323" s="337"/>
      <c r="C323" s="337">
        <f>'CDM Activity '!V9</f>
        <v>13814261.316179384</v>
      </c>
    </row>
    <row r="324" spans="1:14" ht="30" x14ac:dyDescent="0.25">
      <c r="A324" s="375" t="s">
        <v>216</v>
      </c>
      <c r="B324" s="337">
        <f>SUM(B322:B323)</f>
        <v>29298881.316179384</v>
      </c>
      <c r="C324" s="337">
        <f>SUM(C322:C323)</f>
        <v>27843142.632358767</v>
      </c>
    </row>
    <row r="326" spans="1:14" s="150" customFormat="1" ht="28.5" customHeight="1" x14ac:dyDescent="0.25">
      <c r="A326" s="448" t="s">
        <v>359</v>
      </c>
      <c r="B326" s="449"/>
      <c r="C326" s="449"/>
    </row>
    <row r="327" spans="1:14" s="150" customFormat="1" x14ac:dyDescent="0.25">
      <c r="A327" s="417"/>
      <c r="B327" s="417">
        <v>2018</v>
      </c>
      <c r="C327" s="417">
        <v>2019</v>
      </c>
    </row>
    <row r="328" spans="1:14" s="150" customFormat="1" ht="30" x14ac:dyDescent="0.25">
      <c r="A328" s="376" t="s">
        <v>261</v>
      </c>
      <c r="B328" s="337">
        <f>B322/2</f>
        <v>14649440.658089692</v>
      </c>
      <c r="C328" s="337">
        <f>C322+C323/2</f>
        <v>20936011.974269077</v>
      </c>
    </row>
    <row r="329" spans="1:14" s="150" customFormat="1" x14ac:dyDescent="0.25"/>
    <row r="330" spans="1:14" s="150" customFormat="1" x14ac:dyDescent="0.25">
      <c r="A330" s="453" t="s">
        <v>360</v>
      </c>
      <c r="B330" s="453"/>
      <c r="C330" s="453"/>
      <c r="D330" s="453"/>
      <c r="E330" s="453"/>
      <c r="F330" s="453"/>
      <c r="G330" s="453"/>
      <c r="H330" s="453"/>
      <c r="I330" s="453"/>
      <c r="J330" s="453"/>
      <c r="K330" s="453"/>
    </row>
    <row r="331" spans="1:14" s="150" customFormat="1" ht="60" x14ac:dyDescent="0.25">
      <c r="A331" s="421" t="s">
        <v>198</v>
      </c>
      <c r="B331" s="417" t="str">
        <f>B316</f>
        <v xml:space="preserve">Residential </v>
      </c>
      <c r="C331" s="417" t="str">
        <f t="shared" ref="C331:F331" si="196">C316</f>
        <v>General Service &lt; 50 kW</v>
      </c>
      <c r="D331" s="417" t="str">
        <f t="shared" si="196"/>
        <v>General Service &gt; 50 to 999 kW</v>
      </c>
      <c r="E331" s="417" t="str">
        <f t="shared" si="196"/>
        <v>General Service &gt; 1000 to 4999 kW</v>
      </c>
      <c r="F331" s="417" t="str">
        <f t="shared" si="196"/>
        <v>Large User</v>
      </c>
      <c r="G331" s="417" t="str">
        <f>G316</f>
        <v>Street Lights</v>
      </c>
      <c r="H331" s="417" t="str">
        <f>H316</f>
        <v>Sentinel Lights</v>
      </c>
      <c r="I331" s="417" t="str">
        <f>I316</f>
        <v xml:space="preserve">Unmetered Loads </v>
      </c>
      <c r="J331" s="417" t="str">
        <f>J316</f>
        <v>Embedded Distributor - Hydro One, CND</v>
      </c>
      <c r="K331" s="417" t="str">
        <f>K316</f>
        <v>Embedded Distributor - Brantford Power, BCP</v>
      </c>
      <c r="L331" s="417" t="str">
        <f t="shared" ref="L331:M331" si="197">L316</f>
        <v>Embedded Distributor - Hydro One #1, BCP</v>
      </c>
      <c r="M331" s="417" t="str">
        <f t="shared" si="197"/>
        <v>Embedded Distributor - Hydro One #2, BCP</v>
      </c>
    </row>
    <row r="332" spans="1:14" s="150" customFormat="1" x14ac:dyDescent="0.25">
      <c r="A332" s="341" t="s">
        <v>177</v>
      </c>
      <c r="B332" s="370">
        <f>'Rate Class Energy Model'!H82</f>
        <v>0.36</v>
      </c>
      <c r="C332" s="370">
        <f>'Rate Class Energy Model'!I82</f>
        <v>0.23</v>
      </c>
      <c r="D332" s="370">
        <f>'Rate Class Energy Model'!J82</f>
        <v>0.16</v>
      </c>
      <c r="E332" s="370">
        <f>'Rate Class Energy Model'!K82</f>
        <v>0.12</v>
      </c>
      <c r="F332" s="370">
        <f>'Rate Class Energy Model'!L82</f>
        <v>0.02</v>
      </c>
      <c r="G332" s="370">
        <f>'Rate Class Energy Model'!M82</f>
        <v>0.11</v>
      </c>
      <c r="H332" s="370">
        <f>'Rate Class Energy Model'!N82</f>
        <v>0</v>
      </c>
      <c r="I332" s="370">
        <f>'Rate Class Energy Model'!O82</f>
        <v>0</v>
      </c>
      <c r="J332" s="370">
        <f>'Rate Class Energy Model'!S82</f>
        <v>0</v>
      </c>
      <c r="K332" s="370">
        <f>'Rate Class Energy Model'!P82</f>
        <v>0</v>
      </c>
      <c r="L332" s="370">
        <f>'Rate Class Energy Model'!Q82</f>
        <v>0</v>
      </c>
      <c r="M332" s="370">
        <f>'Rate Class Energy Model'!R82</f>
        <v>0</v>
      </c>
    </row>
    <row r="333" spans="1:14" s="150" customFormat="1" x14ac:dyDescent="0.25">
      <c r="A333" s="341" t="s">
        <v>178</v>
      </c>
      <c r="B333" s="370">
        <f>'Rate Class Energy Model'!H83</f>
        <v>0.41</v>
      </c>
      <c r="C333" s="370">
        <f>'Rate Class Energy Model'!I83</f>
        <v>0.12</v>
      </c>
      <c r="D333" s="370">
        <f>'Rate Class Energy Model'!J83</f>
        <v>0.17</v>
      </c>
      <c r="E333" s="370">
        <f>'Rate Class Energy Model'!K83</f>
        <v>0.14000000000000001</v>
      </c>
      <c r="F333" s="370">
        <f>'Rate Class Energy Model'!L83</f>
        <v>0.03</v>
      </c>
      <c r="G333" s="370">
        <f>'Rate Class Energy Model'!M83</f>
        <v>0.13</v>
      </c>
      <c r="H333" s="370">
        <f>'Rate Class Energy Model'!N83</f>
        <v>0</v>
      </c>
      <c r="I333" s="370">
        <f>'Rate Class Energy Model'!O83</f>
        <v>0</v>
      </c>
      <c r="J333" s="370">
        <f>'Rate Class Energy Model'!S83</f>
        <v>0</v>
      </c>
      <c r="K333" s="370">
        <f>'Rate Class Energy Model'!P83</f>
        <v>0</v>
      </c>
      <c r="L333" s="370">
        <f>'Rate Class Energy Model'!Q83</f>
        <v>0</v>
      </c>
      <c r="M333" s="370">
        <f>'Rate Class Energy Model'!R83</f>
        <v>0</v>
      </c>
    </row>
    <row r="334" spans="1:14" s="150" customFormat="1" x14ac:dyDescent="0.25">
      <c r="K334" s="302"/>
    </row>
    <row r="335" spans="1:14" s="150" customFormat="1" x14ac:dyDescent="0.25">
      <c r="A335" s="453" t="s">
        <v>361</v>
      </c>
      <c r="B335" s="453"/>
      <c r="C335" s="453"/>
      <c r="D335" s="453"/>
      <c r="E335" s="453"/>
      <c r="F335" s="453"/>
      <c r="G335" s="453"/>
      <c r="H335" s="453"/>
      <c r="I335" s="453"/>
      <c r="J335" s="453"/>
      <c r="K335" s="453"/>
      <c r="L335" s="453"/>
    </row>
    <row r="336" spans="1:14" s="150" customFormat="1" ht="60" x14ac:dyDescent="0.25">
      <c r="A336" s="421" t="str">
        <f>A310</f>
        <v>Year</v>
      </c>
      <c r="B336" s="417" t="str">
        <f t="shared" ref="B336:F336" si="198">B310</f>
        <v xml:space="preserve">Residential </v>
      </c>
      <c r="C336" s="417" t="str">
        <f t="shared" si="198"/>
        <v>General Service &lt; 50 kW</v>
      </c>
      <c r="D336" s="417" t="str">
        <f t="shared" si="198"/>
        <v>General Service &gt; 50 to 999 kW</v>
      </c>
      <c r="E336" s="417" t="str">
        <f t="shared" si="198"/>
        <v>General Service &gt; 1000 to 4999 kW</v>
      </c>
      <c r="F336" s="417" t="str">
        <f t="shared" si="198"/>
        <v>Large User</v>
      </c>
      <c r="G336" s="417" t="str">
        <f t="shared" ref="G336:M336" si="199">G310</f>
        <v>Street Lights</v>
      </c>
      <c r="H336" s="417" t="str">
        <f t="shared" si="199"/>
        <v>Sentinel Lights</v>
      </c>
      <c r="I336" s="417" t="str">
        <f t="shared" si="199"/>
        <v xml:space="preserve">Unmetered Loads </v>
      </c>
      <c r="J336" s="417" t="str">
        <f t="shared" si="199"/>
        <v>Embedded Distributor - Hydro One, CND</v>
      </c>
      <c r="K336" s="417" t="str">
        <f t="shared" si="199"/>
        <v>Embedded Distributor - Brantford Power, BCP</v>
      </c>
      <c r="L336" s="417" t="str">
        <f t="shared" si="199"/>
        <v>Embedded Distributor - Hydro One #1, BCP</v>
      </c>
      <c r="M336" s="417" t="str">
        <f t="shared" si="199"/>
        <v>Embedded Distributor - Hydro One #2, BCP</v>
      </c>
      <c r="N336" s="417" t="str">
        <f>N310</f>
        <v>Total</v>
      </c>
    </row>
    <row r="337" spans="1:14" s="150" customFormat="1" x14ac:dyDescent="0.25">
      <c r="A337" s="341" t="str">
        <f>A312</f>
        <v>2018 Bridge</v>
      </c>
      <c r="B337" s="337">
        <f t="shared" ref="B337:K337" si="200">$B$328*B332</f>
        <v>5273798.6369122891</v>
      </c>
      <c r="C337" s="337">
        <f t="shared" si="200"/>
        <v>3369371.3513606293</v>
      </c>
      <c r="D337" s="337">
        <f t="shared" si="200"/>
        <v>2343910.5052943509</v>
      </c>
      <c r="E337" s="337">
        <f t="shared" si="200"/>
        <v>1757932.8789707629</v>
      </c>
      <c r="F337" s="337">
        <f t="shared" si="200"/>
        <v>292988.81316179386</v>
      </c>
      <c r="G337" s="337">
        <f t="shared" si="200"/>
        <v>1611438.4723898661</v>
      </c>
      <c r="H337" s="337">
        <f t="shared" si="200"/>
        <v>0</v>
      </c>
      <c r="I337" s="337">
        <f t="shared" si="200"/>
        <v>0</v>
      </c>
      <c r="J337" s="337">
        <f t="shared" si="200"/>
        <v>0</v>
      </c>
      <c r="K337" s="337">
        <f t="shared" si="200"/>
        <v>0</v>
      </c>
      <c r="L337" s="337">
        <f t="shared" ref="L337:M337" si="201">$B$328*L332</f>
        <v>0</v>
      </c>
      <c r="M337" s="337">
        <f t="shared" si="201"/>
        <v>0</v>
      </c>
      <c r="N337" s="337">
        <f>SUM(B337:M337)</f>
        <v>14649440.658089692</v>
      </c>
    </row>
    <row r="338" spans="1:14" s="150" customFormat="1" x14ac:dyDescent="0.25">
      <c r="A338" s="341" t="str">
        <f>A313</f>
        <v>2019 Test</v>
      </c>
      <c r="B338" s="337">
        <f>$C$328*B333</f>
        <v>8583764.9094503205</v>
      </c>
      <c r="C338" s="337">
        <f t="shared" ref="C338:K338" si="202">$C$328*C333</f>
        <v>2512321.4369122894</v>
      </c>
      <c r="D338" s="337">
        <f t="shared" si="202"/>
        <v>3559122.0356257432</v>
      </c>
      <c r="E338" s="337">
        <f t="shared" si="202"/>
        <v>2931041.676397671</v>
      </c>
      <c r="F338" s="337">
        <f t="shared" si="202"/>
        <v>628080.35922807234</v>
      </c>
      <c r="G338" s="337">
        <f t="shared" si="202"/>
        <v>2721681.5566549799</v>
      </c>
      <c r="H338" s="337">
        <f t="shared" si="202"/>
        <v>0</v>
      </c>
      <c r="I338" s="337">
        <f t="shared" si="202"/>
        <v>0</v>
      </c>
      <c r="J338" s="337">
        <f t="shared" si="202"/>
        <v>0</v>
      </c>
      <c r="K338" s="337">
        <f t="shared" si="202"/>
        <v>0</v>
      </c>
      <c r="L338" s="337">
        <f t="shared" ref="L338:M338" si="203">$C$328*L333</f>
        <v>0</v>
      </c>
      <c r="M338" s="337">
        <f t="shared" si="203"/>
        <v>0</v>
      </c>
      <c r="N338" s="337">
        <f>SUM(B338:M338)</f>
        <v>20936011.974269073</v>
      </c>
    </row>
    <row r="339" spans="1:14" s="150" customFormat="1" x14ac:dyDescent="0.25"/>
    <row r="340" spans="1:14" s="150" customFormat="1" x14ac:dyDescent="0.25">
      <c r="A340" s="453" t="s">
        <v>362</v>
      </c>
      <c r="B340" s="453"/>
      <c r="C340" s="453"/>
      <c r="D340" s="453"/>
      <c r="E340" s="453"/>
      <c r="F340" s="453"/>
      <c r="G340" s="453"/>
      <c r="H340" s="453"/>
      <c r="I340" s="453"/>
      <c r="J340" s="453"/>
      <c r="K340" s="453"/>
      <c r="L340" s="453"/>
    </row>
    <row r="341" spans="1:14" s="150" customFormat="1" ht="60" x14ac:dyDescent="0.25">
      <c r="A341" s="421"/>
      <c r="B341" s="417" t="str">
        <f t="shared" ref="B341:M341" si="204">B336</f>
        <v xml:space="preserve">Residential </v>
      </c>
      <c r="C341" s="417" t="str">
        <f t="shared" si="204"/>
        <v>General Service &lt; 50 kW</v>
      </c>
      <c r="D341" s="417" t="str">
        <f t="shared" si="204"/>
        <v>General Service &gt; 50 to 999 kW</v>
      </c>
      <c r="E341" s="417" t="str">
        <f t="shared" si="204"/>
        <v>General Service &gt; 1000 to 4999 kW</v>
      </c>
      <c r="F341" s="417" t="str">
        <f t="shared" si="204"/>
        <v>Large User</v>
      </c>
      <c r="G341" s="417" t="str">
        <f t="shared" si="204"/>
        <v>Street Lights</v>
      </c>
      <c r="H341" s="417" t="str">
        <f t="shared" si="204"/>
        <v>Sentinel Lights</v>
      </c>
      <c r="I341" s="417" t="str">
        <f t="shared" si="204"/>
        <v xml:space="preserve">Unmetered Loads </v>
      </c>
      <c r="J341" s="417" t="str">
        <f t="shared" si="204"/>
        <v>Embedded Distributor - Hydro One, CND</v>
      </c>
      <c r="K341" s="417" t="str">
        <f t="shared" si="204"/>
        <v>Embedded Distributor - Brantford Power, BCP</v>
      </c>
      <c r="L341" s="417" t="str">
        <f t="shared" si="204"/>
        <v>Embedded Distributor - Hydro One #1, BCP</v>
      </c>
      <c r="M341" s="417" t="str">
        <f t="shared" si="204"/>
        <v>Embedded Distributor - Hydro One #2, BCP</v>
      </c>
      <c r="N341" s="417" t="str">
        <f>N336</f>
        <v>Total</v>
      </c>
    </row>
    <row r="342" spans="1:14" s="150" customFormat="1" x14ac:dyDescent="0.25">
      <c r="A342" s="341" t="s">
        <v>307</v>
      </c>
      <c r="B342" s="337">
        <f>B333*$C$324</f>
        <v>11415688.479267094</v>
      </c>
      <c r="C342" s="337">
        <f t="shared" ref="C342:K342" si="205">C333*$C$324</f>
        <v>3341177.1158830519</v>
      </c>
      <c r="D342" s="337">
        <f t="shared" si="205"/>
        <v>4733334.2475009905</v>
      </c>
      <c r="E342" s="337">
        <f t="shared" si="205"/>
        <v>3898039.9685302279</v>
      </c>
      <c r="F342" s="337">
        <f t="shared" si="205"/>
        <v>835294.27897076297</v>
      </c>
      <c r="G342" s="337">
        <f t="shared" si="205"/>
        <v>3619608.5422066399</v>
      </c>
      <c r="H342" s="337">
        <f t="shared" si="205"/>
        <v>0</v>
      </c>
      <c r="I342" s="337">
        <f t="shared" si="205"/>
        <v>0</v>
      </c>
      <c r="J342" s="337">
        <f t="shared" si="205"/>
        <v>0</v>
      </c>
      <c r="K342" s="337">
        <f t="shared" si="205"/>
        <v>0</v>
      </c>
      <c r="L342" s="337">
        <f t="shared" ref="L342:M342" si="206">L333*$C$324</f>
        <v>0</v>
      </c>
      <c r="M342" s="337">
        <f t="shared" si="206"/>
        <v>0</v>
      </c>
      <c r="N342" s="337">
        <f>SUM(B342:K342)</f>
        <v>27843142.632358767</v>
      </c>
    </row>
    <row r="343" spans="1:14" s="150" customFormat="1" x14ac:dyDescent="0.25">
      <c r="A343" s="341" t="s">
        <v>267</v>
      </c>
      <c r="B343" s="337"/>
      <c r="C343" s="337"/>
      <c r="D343" s="337">
        <f>D342*B416</f>
        <v>14938.216059899331</v>
      </c>
      <c r="E343" s="337">
        <f t="shared" ref="E343:G343" si="207">E342*C416</f>
        <v>9148.3803657694352</v>
      </c>
      <c r="F343" s="337">
        <f t="shared" si="207"/>
        <v>1903.9629918034491</v>
      </c>
      <c r="G343" s="337">
        <f t="shared" si="207"/>
        <v>10430.585373430169</v>
      </c>
      <c r="H343" s="337"/>
      <c r="I343" s="337"/>
      <c r="J343" s="337">
        <f>J342*G416</f>
        <v>0</v>
      </c>
      <c r="K343" s="337">
        <f>K342*H416</f>
        <v>0</v>
      </c>
      <c r="L343" s="337">
        <f t="shared" ref="L343:M343" si="208">L342*I416</f>
        <v>0</v>
      </c>
      <c r="M343" s="337">
        <f t="shared" si="208"/>
        <v>0</v>
      </c>
      <c r="N343" s="337">
        <f>SUM(B343:K343)</f>
        <v>36421.144790902385</v>
      </c>
    </row>
    <row r="344" spans="1:14" s="150" customFormat="1" x14ac:dyDescent="0.25">
      <c r="A344" s="341" t="s">
        <v>268</v>
      </c>
      <c r="B344" s="337"/>
      <c r="C344" s="337"/>
      <c r="D344" s="337">
        <f>D343/12</f>
        <v>1244.8513383249442</v>
      </c>
      <c r="E344" s="337">
        <f t="shared" ref="E344:K344" si="209">E343/12</f>
        <v>762.36503048078623</v>
      </c>
      <c r="F344" s="337">
        <f t="shared" si="209"/>
        <v>158.66358265028742</v>
      </c>
      <c r="G344" s="337">
        <f t="shared" si="209"/>
        <v>869.21544778584746</v>
      </c>
      <c r="H344" s="337"/>
      <c r="I344" s="337"/>
      <c r="J344" s="337">
        <f t="shared" si="209"/>
        <v>0</v>
      </c>
      <c r="K344" s="337">
        <f t="shared" si="209"/>
        <v>0</v>
      </c>
      <c r="L344" s="337">
        <f t="shared" ref="L344:M344" si="210">L343/12</f>
        <v>0</v>
      </c>
      <c r="M344" s="337">
        <f t="shared" si="210"/>
        <v>0</v>
      </c>
      <c r="N344" s="337">
        <f>SUM(B344:K344)</f>
        <v>3035.0953992418654</v>
      </c>
    </row>
    <row r="346" spans="1:14" x14ac:dyDescent="0.25">
      <c r="A346" s="453" t="s">
        <v>363</v>
      </c>
      <c r="B346" s="453"/>
      <c r="C346" s="453"/>
      <c r="D346" s="453"/>
      <c r="E346" s="453"/>
      <c r="F346" s="453"/>
      <c r="G346" s="453"/>
      <c r="H346" s="453"/>
      <c r="I346" s="453"/>
      <c r="J346" s="453"/>
      <c r="K346" s="453"/>
      <c r="L346" s="453"/>
      <c r="M346" s="339"/>
    </row>
    <row r="347" spans="1:14" ht="60" x14ac:dyDescent="0.25">
      <c r="A347" s="421" t="s">
        <v>198</v>
      </c>
      <c r="B347" s="417" t="str">
        <f>B336</f>
        <v xml:space="preserve">Residential </v>
      </c>
      <c r="C347" s="417" t="str">
        <f t="shared" ref="C347:F347" si="211">C336</f>
        <v>General Service &lt; 50 kW</v>
      </c>
      <c r="D347" s="417" t="str">
        <f t="shared" si="211"/>
        <v>General Service &gt; 50 to 999 kW</v>
      </c>
      <c r="E347" s="417" t="str">
        <f t="shared" si="211"/>
        <v>General Service &gt; 1000 to 4999 kW</v>
      </c>
      <c r="F347" s="417" t="str">
        <f t="shared" si="211"/>
        <v>Large User</v>
      </c>
      <c r="G347" s="417" t="str">
        <f t="shared" ref="G347:M347" si="212">G336</f>
        <v>Street Lights</v>
      </c>
      <c r="H347" s="417" t="str">
        <f t="shared" si="212"/>
        <v>Sentinel Lights</v>
      </c>
      <c r="I347" s="417" t="str">
        <f t="shared" si="212"/>
        <v xml:space="preserve">Unmetered Loads </v>
      </c>
      <c r="J347" s="417" t="str">
        <f t="shared" si="212"/>
        <v>Embedded Distributor - Hydro One, CND</v>
      </c>
      <c r="K347" s="417" t="str">
        <f t="shared" si="212"/>
        <v>Embedded Distributor - Brantford Power, BCP</v>
      </c>
      <c r="L347" s="417" t="str">
        <f t="shared" si="212"/>
        <v>Embedded Distributor - Hydro One #1, BCP</v>
      </c>
      <c r="M347" s="417" t="str">
        <f t="shared" si="212"/>
        <v>Embedded Distributor - Hydro One #2, BCP</v>
      </c>
      <c r="N347" s="417" t="str">
        <f>N336</f>
        <v>Total</v>
      </c>
    </row>
    <row r="348" spans="1:14" x14ac:dyDescent="0.25">
      <c r="A348" s="344" t="s">
        <v>217</v>
      </c>
      <c r="B348" s="345"/>
      <c r="C348" s="345"/>
      <c r="D348" s="345"/>
      <c r="E348" s="345"/>
      <c r="F348" s="345"/>
      <c r="G348" s="345"/>
      <c r="H348" s="345"/>
      <c r="I348" s="345"/>
      <c r="J348" s="345"/>
      <c r="K348" s="345"/>
      <c r="L348" s="346"/>
    </row>
    <row r="349" spans="1:14" x14ac:dyDescent="0.25">
      <c r="A349" s="318" t="str">
        <f>A312</f>
        <v>2018 Bridge</v>
      </c>
      <c r="B349" s="369">
        <f>B312</f>
        <v>459.39124372947487</v>
      </c>
      <c r="C349" s="369">
        <f t="shared" ref="C349:F349" si="213">C312</f>
        <v>191.29250606746427</v>
      </c>
      <c r="D349" s="369">
        <f t="shared" si="213"/>
        <v>488.38156965300669</v>
      </c>
      <c r="E349" s="369">
        <f t="shared" si="213"/>
        <v>236.98578515966801</v>
      </c>
      <c r="F349" s="369">
        <f t="shared" si="213"/>
        <v>146.22638816</v>
      </c>
      <c r="G349" s="369">
        <f t="shared" ref="G349:K350" si="214">G312</f>
        <v>8.4397931928569694</v>
      </c>
      <c r="H349" s="369">
        <f t="shared" si="214"/>
        <v>0.12698900000000002</v>
      </c>
      <c r="I349" s="369">
        <f t="shared" si="214"/>
        <v>2.2739879970972421</v>
      </c>
      <c r="J349" s="369">
        <f t="shared" si="214"/>
        <v>12.605162219999999</v>
      </c>
      <c r="K349" s="369">
        <f t="shared" si="214"/>
        <v>0.34775659287776717</v>
      </c>
      <c r="L349" s="369">
        <f t="shared" ref="L349:M349" si="215">L312</f>
        <v>12.191720381133871</v>
      </c>
      <c r="M349" s="369">
        <f t="shared" si="215"/>
        <v>43.274121534063838</v>
      </c>
      <c r="N349" s="369">
        <f>SUM(B349:M349)</f>
        <v>1601.5370236876433</v>
      </c>
    </row>
    <row r="350" spans="1:14" x14ac:dyDescent="0.25">
      <c r="A350" s="318" t="str">
        <f>A313</f>
        <v>2019 Test</v>
      </c>
      <c r="B350" s="369">
        <f>B313</f>
        <v>464.99494318822758</v>
      </c>
      <c r="C350" s="369">
        <f t="shared" ref="C350:F350" si="216">C313</f>
        <v>193.60682939591402</v>
      </c>
      <c r="D350" s="369">
        <f t="shared" si="216"/>
        <v>489.7293264561157</v>
      </c>
      <c r="E350" s="369">
        <f t="shared" si="216"/>
        <v>232.69864946220736</v>
      </c>
      <c r="F350" s="369">
        <f t="shared" si="216"/>
        <v>146.22638816</v>
      </c>
      <c r="G350" s="369">
        <f t="shared" si="214"/>
        <v>8.5016015245620498</v>
      </c>
      <c r="H350" s="369">
        <f t="shared" si="214"/>
        <v>0.12698900000000002</v>
      </c>
      <c r="I350" s="369">
        <f t="shared" si="214"/>
        <v>2.2739879970972421</v>
      </c>
      <c r="J350" s="369">
        <f t="shared" si="214"/>
        <v>12.605162219999999</v>
      </c>
      <c r="K350" s="369">
        <f t="shared" si="214"/>
        <v>0.34775659287776717</v>
      </c>
      <c r="L350" s="369">
        <f t="shared" ref="L350:M350" si="217">L313</f>
        <v>12.191720381133871</v>
      </c>
      <c r="M350" s="369">
        <f t="shared" si="217"/>
        <v>43.274121534063838</v>
      </c>
      <c r="N350" s="369">
        <f>SUM(B350:M350)</f>
        <v>1606.5774759121996</v>
      </c>
    </row>
    <row r="351" spans="1:14" x14ac:dyDescent="0.25">
      <c r="A351" s="344" t="s">
        <v>239</v>
      </c>
      <c r="B351" s="345"/>
      <c r="C351" s="345"/>
      <c r="D351" s="345"/>
      <c r="E351" s="345"/>
      <c r="F351" s="345"/>
      <c r="G351" s="345"/>
      <c r="H351" s="345"/>
      <c r="I351" s="345"/>
      <c r="J351" s="345"/>
      <c r="K351" s="345"/>
      <c r="L351" s="345"/>
      <c r="M351" s="345"/>
      <c r="N351" s="346"/>
    </row>
    <row r="352" spans="1:14" x14ac:dyDescent="0.25">
      <c r="A352" s="305" t="str">
        <f>A306</f>
        <v>2018 Bridge</v>
      </c>
      <c r="B352" s="377">
        <f>'Rate Class Energy Model'!H78/1000000</f>
        <v>13.461778637581149</v>
      </c>
      <c r="C352" s="377">
        <f>'Rate Class Energy Model'!I78/1000000</f>
        <v>5.6055430025235591</v>
      </c>
      <c r="D352" s="377">
        <f>'Rate Class Energy Model'!J78/1000000</f>
        <v>9.2771700094776453</v>
      </c>
      <c r="E352" s="377">
        <f>'Rate Class Energy Model'!K78/1000000</f>
        <v>2.1449731910715402</v>
      </c>
      <c r="F352" s="377">
        <f>'Rate Class Energy Model'!L78/1000000</f>
        <v>0</v>
      </c>
      <c r="G352" s="377">
        <f>'Rate Class Energy Model'!M78/1000000</f>
        <v>0</v>
      </c>
      <c r="H352" s="377">
        <f>'Rate Class Energy Model'!N78/1000000</f>
        <v>0</v>
      </c>
      <c r="I352" s="377">
        <f>'Rate Class Energy Model'!O78/1000000</f>
        <v>0</v>
      </c>
      <c r="J352" s="377">
        <f>'Rate Class Energy Model'!S74/100000</f>
        <v>0</v>
      </c>
      <c r="K352" s="377">
        <f>'Rate Class Energy Model'!P74/1000000</f>
        <v>0</v>
      </c>
      <c r="L352" s="377">
        <f>'Rate Class Energy Model'!Q74/1000000</f>
        <v>0</v>
      </c>
      <c r="M352" s="377">
        <f>'Rate Class Energy Model'!R74/1000000</f>
        <v>0</v>
      </c>
      <c r="N352" s="369">
        <f>SUM(B352:M352)</f>
        <v>30.489464840653891</v>
      </c>
    </row>
    <row r="353" spans="1:14" x14ac:dyDescent="0.25">
      <c r="A353" s="305" t="str">
        <f>A307</f>
        <v>2019 Test</v>
      </c>
      <c r="B353" s="377">
        <f>'Rate Class Energy Model'!H79/1000000</f>
        <v>11.292322585541118</v>
      </c>
      <c r="C353" s="377">
        <f>'Rate Class Energy Model'!I79/1000000</f>
        <v>4.7017087052869186</v>
      </c>
      <c r="D353" s="377">
        <f>'Rate Class Energy Model'!J79/1000000</f>
        <v>7.709525956012456</v>
      </c>
      <c r="E353" s="377">
        <f>'Rate Class Energy Model'!K79/1000000</f>
        <v>1.7454553692574313</v>
      </c>
      <c r="F353" s="377">
        <f>'Rate Class Energy Model'!L79/1000000</f>
        <v>0</v>
      </c>
      <c r="G353" s="377">
        <f>'Rate Class Energy Model'!M79/1000000</f>
        <v>0</v>
      </c>
      <c r="H353" s="377">
        <f>'Rate Class Energy Model'!N79/1000000</f>
        <v>0</v>
      </c>
      <c r="I353" s="377">
        <f>'Rate Class Energy Model'!O79/1000000</f>
        <v>0</v>
      </c>
      <c r="J353" s="377">
        <f>'Rate Class Energy Model'!S75/100000</f>
        <v>0</v>
      </c>
      <c r="K353" s="377">
        <f>'Rate Class Energy Model'!P75/1000000</f>
        <v>0</v>
      </c>
      <c r="L353" s="377">
        <f>'Rate Class Energy Model'!Q75/1000000</f>
        <v>0</v>
      </c>
      <c r="M353" s="377">
        <f>'Rate Class Energy Model'!R75/1000000</f>
        <v>0</v>
      </c>
      <c r="N353" s="369">
        <f>SUM(B353:M353)</f>
        <v>25.449012616097924</v>
      </c>
    </row>
    <row r="354" spans="1:14" x14ac:dyDescent="0.25">
      <c r="A354" s="344" t="s">
        <v>240</v>
      </c>
      <c r="B354" s="345"/>
      <c r="C354" s="345"/>
      <c r="D354" s="345"/>
      <c r="E354" s="345"/>
      <c r="F354" s="345"/>
      <c r="G354" s="345"/>
      <c r="H354" s="345"/>
      <c r="I354" s="345"/>
      <c r="J354" s="345"/>
      <c r="K354" s="345"/>
      <c r="L354" s="345"/>
      <c r="M354" s="345"/>
      <c r="N354" s="346"/>
    </row>
    <row r="355" spans="1:14" ht="15" customHeight="1" x14ac:dyDescent="0.25">
      <c r="A355" s="305" t="str">
        <f>A352</f>
        <v>2018 Bridge</v>
      </c>
      <c r="B355" s="377">
        <f>-B337/1000000</f>
        <v>-5.2737986369122893</v>
      </c>
      <c r="C355" s="377">
        <f t="shared" ref="C355:F355" si="218">-C337/1000000</f>
        <v>-3.3693713513606292</v>
      </c>
      <c r="D355" s="377">
        <f t="shared" si="218"/>
        <v>-2.343910505294351</v>
      </c>
      <c r="E355" s="377">
        <f t="shared" si="218"/>
        <v>-1.7579328789707629</v>
      </c>
      <c r="F355" s="377">
        <f t="shared" si="218"/>
        <v>-0.29298881316179387</v>
      </c>
      <c r="G355" s="377">
        <f t="shared" ref="G355:K356" si="219">-G337/1000000</f>
        <v>-1.611438472389866</v>
      </c>
      <c r="H355" s="377">
        <f t="shared" si="219"/>
        <v>0</v>
      </c>
      <c r="I355" s="377">
        <f t="shared" si="219"/>
        <v>0</v>
      </c>
      <c r="J355" s="377">
        <f t="shared" si="219"/>
        <v>0</v>
      </c>
      <c r="K355" s="377">
        <f t="shared" si="219"/>
        <v>0</v>
      </c>
      <c r="L355" s="377">
        <f t="shared" ref="L355:M355" si="220">-L337/1000000</f>
        <v>0</v>
      </c>
      <c r="M355" s="377">
        <f t="shared" si="220"/>
        <v>0</v>
      </c>
      <c r="N355" s="377">
        <f>SUM(B355:K355)</f>
        <v>-14.649440658089691</v>
      </c>
    </row>
    <row r="356" spans="1:14" x14ac:dyDescent="0.25">
      <c r="A356" s="305" t="str">
        <f>A353</f>
        <v>2019 Test</v>
      </c>
      <c r="B356" s="377">
        <f>-B338/1000000</f>
        <v>-8.5837649094503199</v>
      </c>
      <c r="C356" s="377">
        <f t="shared" ref="C356:F356" si="221">-C338/1000000</f>
        <v>-2.5123214369122895</v>
      </c>
      <c r="D356" s="377">
        <f t="shared" si="221"/>
        <v>-3.5591220356257431</v>
      </c>
      <c r="E356" s="377">
        <f t="shared" si="221"/>
        <v>-2.9310416763976708</v>
      </c>
      <c r="F356" s="377">
        <f t="shared" si="221"/>
        <v>-0.62808035922807237</v>
      </c>
      <c r="G356" s="377">
        <f t="shared" si="219"/>
        <v>-2.7216815566549801</v>
      </c>
      <c r="H356" s="377">
        <f t="shared" si="219"/>
        <v>0</v>
      </c>
      <c r="I356" s="377">
        <f t="shared" si="219"/>
        <v>0</v>
      </c>
      <c r="J356" s="377">
        <f t="shared" si="219"/>
        <v>0</v>
      </c>
      <c r="K356" s="377">
        <f t="shared" si="219"/>
        <v>0</v>
      </c>
      <c r="L356" s="377">
        <f t="shared" ref="L356:M356" si="222">-L338/1000000</f>
        <v>0</v>
      </c>
      <c r="M356" s="377">
        <f t="shared" si="222"/>
        <v>0</v>
      </c>
      <c r="N356" s="377">
        <f>SUM(B356:K356)</f>
        <v>-20.936011974269071</v>
      </c>
    </row>
    <row r="357" spans="1:14" x14ac:dyDescent="0.25">
      <c r="A357" s="344" t="s">
        <v>218</v>
      </c>
      <c r="B357" s="345"/>
      <c r="C357" s="345"/>
      <c r="D357" s="345"/>
      <c r="E357" s="345"/>
      <c r="F357" s="345"/>
      <c r="G357" s="345"/>
      <c r="H357" s="345"/>
      <c r="I357" s="345"/>
      <c r="J357" s="345"/>
      <c r="K357" s="345"/>
      <c r="L357" s="345"/>
      <c r="M357" s="345"/>
      <c r="N357" s="346"/>
    </row>
    <row r="358" spans="1:14" x14ac:dyDescent="0.25">
      <c r="A358" s="318" t="str">
        <f>A355</f>
        <v>2018 Bridge</v>
      </c>
      <c r="B358" s="378">
        <f>B349+B352+B355</f>
        <v>467.57922373014378</v>
      </c>
      <c r="C358" s="378">
        <f t="shared" ref="C358:M359" si="223">C349+C352+C355</f>
        <v>193.52867771862719</v>
      </c>
      <c r="D358" s="378">
        <f t="shared" si="223"/>
        <v>495.31482915718999</v>
      </c>
      <c r="E358" s="378">
        <f t="shared" si="223"/>
        <v>237.37282547176878</v>
      </c>
      <c r="F358" s="378">
        <f t="shared" si="223"/>
        <v>145.9333993468382</v>
      </c>
      <c r="G358" s="378">
        <f t="shared" si="223"/>
        <v>6.8283547204671038</v>
      </c>
      <c r="H358" s="378">
        <f t="shared" si="223"/>
        <v>0.12698900000000002</v>
      </c>
      <c r="I358" s="378">
        <f t="shared" si="223"/>
        <v>2.2739879970972421</v>
      </c>
      <c r="J358" s="378">
        <f t="shared" si="223"/>
        <v>12.605162219999999</v>
      </c>
      <c r="K358" s="378">
        <f t="shared" si="223"/>
        <v>0.34775659287776717</v>
      </c>
      <c r="L358" s="378">
        <f t="shared" si="223"/>
        <v>12.191720381133871</v>
      </c>
      <c r="M358" s="378">
        <f t="shared" si="223"/>
        <v>43.274121534063838</v>
      </c>
      <c r="N358" s="369">
        <f>SUM(B358:M358)</f>
        <v>1617.3770478702074</v>
      </c>
    </row>
    <row r="359" spans="1:14" x14ac:dyDescent="0.25">
      <c r="A359" s="318" t="str">
        <f>A356</f>
        <v>2019 Test</v>
      </c>
      <c r="B359" s="378">
        <f>B350+B353+B356</f>
        <v>467.70350086431836</v>
      </c>
      <c r="C359" s="378">
        <f t="shared" si="223"/>
        <v>195.79621666428866</v>
      </c>
      <c r="D359" s="378">
        <f t="shared" si="223"/>
        <v>493.87973037650238</v>
      </c>
      <c r="E359" s="378">
        <f t="shared" si="223"/>
        <v>231.5130631550671</v>
      </c>
      <c r="F359" s="378">
        <f t="shared" si="223"/>
        <v>145.59830780077192</v>
      </c>
      <c r="G359" s="378">
        <f t="shared" si="223"/>
        <v>5.7799199679070696</v>
      </c>
      <c r="H359" s="378">
        <f t="shared" si="223"/>
        <v>0.12698900000000002</v>
      </c>
      <c r="I359" s="378">
        <f t="shared" si="223"/>
        <v>2.2739879970972421</v>
      </c>
      <c r="J359" s="378">
        <f t="shared" si="223"/>
        <v>12.605162219999999</v>
      </c>
      <c r="K359" s="378">
        <f t="shared" si="223"/>
        <v>0.34775659287776717</v>
      </c>
      <c r="L359" s="378">
        <f t="shared" si="223"/>
        <v>12.191720381133871</v>
      </c>
      <c r="M359" s="378">
        <f t="shared" si="223"/>
        <v>43.274121534063838</v>
      </c>
      <c r="N359" s="369">
        <f>SUM(B359:M359)</f>
        <v>1611.0904765540281</v>
      </c>
    </row>
    <row r="360" spans="1:14" x14ac:dyDescent="0.25">
      <c r="A360" s="362"/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  <c r="L360" s="379"/>
      <c r="M360" s="380"/>
    </row>
    <row r="361" spans="1:14" x14ac:dyDescent="0.25">
      <c r="A361" s="362"/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  <c r="M361" s="380"/>
    </row>
    <row r="362" spans="1:14" x14ac:dyDescent="0.25">
      <c r="A362" s="362"/>
      <c r="B362" s="150"/>
      <c r="C362" s="379"/>
      <c r="D362" s="379"/>
      <c r="E362" s="379"/>
      <c r="F362" s="379"/>
      <c r="G362" s="379"/>
      <c r="H362" s="379"/>
      <c r="I362" s="379"/>
      <c r="J362" s="379"/>
      <c r="K362" s="379"/>
      <c r="L362" s="379"/>
      <c r="M362" s="380"/>
    </row>
    <row r="363" spans="1:14" ht="29.25" customHeight="1" x14ac:dyDescent="0.25">
      <c r="A363" s="362"/>
      <c r="B363" s="454" t="s">
        <v>364</v>
      </c>
      <c r="C363" s="454"/>
      <c r="D363" s="454"/>
      <c r="E363" s="150"/>
      <c r="F363" s="379"/>
      <c r="J363" s="379"/>
      <c r="K363" s="379"/>
      <c r="L363" s="379"/>
      <c r="M363" s="380"/>
    </row>
    <row r="364" spans="1:14" ht="45" x14ac:dyDescent="0.25">
      <c r="A364" s="362"/>
      <c r="B364" s="421" t="s">
        <v>198</v>
      </c>
      <c r="C364" s="417" t="s">
        <v>262</v>
      </c>
      <c r="D364" s="417" t="s">
        <v>90</v>
      </c>
      <c r="E364" s="150"/>
      <c r="F364" s="379"/>
      <c r="J364" s="379"/>
      <c r="K364" s="379"/>
      <c r="L364" s="379"/>
      <c r="M364" s="380"/>
    </row>
    <row r="365" spans="1:14" x14ac:dyDescent="0.25">
      <c r="A365" s="362"/>
      <c r="B365" s="341">
        <f t="shared" ref="B365:B372" si="224">B378</f>
        <v>2010</v>
      </c>
      <c r="C365" s="381">
        <v>4</v>
      </c>
      <c r="D365" s="337">
        <f>'Rate Class Load Model'!N2</f>
        <v>75928.2</v>
      </c>
      <c r="E365" s="150"/>
      <c r="K365" s="379"/>
      <c r="L365" s="379"/>
      <c r="M365" s="380"/>
    </row>
    <row r="366" spans="1:14" x14ac:dyDescent="0.25">
      <c r="A366" s="362"/>
      <c r="B366" s="341">
        <f t="shared" si="224"/>
        <v>2011</v>
      </c>
      <c r="C366" s="381">
        <v>4</v>
      </c>
      <c r="D366" s="337">
        <f>'Rate Class Load Model'!N3</f>
        <v>81847.960000000006</v>
      </c>
      <c r="E366" s="150"/>
      <c r="F366" s="379"/>
      <c r="J366" s="379"/>
      <c r="K366" s="379"/>
      <c r="L366" s="379"/>
      <c r="M366" s="380"/>
    </row>
    <row r="367" spans="1:14" x14ac:dyDescent="0.25">
      <c r="A367" s="362"/>
      <c r="B367" s="341">
        <f t="shared" si="224"/>
        <v>2012</v>
      </c>
      <c r="C367" s="381">
        <v>4</v>
      </c>
      <c r="D367" s="337">
        <f>'Rate Class Load Model'!N4</f>
        <v>81650.759999999995</v>
      </c>
      <c r="E367" s="150"/>
      <c r="F367" s="379"/>
      <c r="J367" s="379"/>
      <c r="K367" s="379"/>
      <c r="L367" s="379"/>
      <c r="M367" s="380"/>
    </row>
    <row r="368" spans="1:14" x14ac:dyDescent="0.25">
      <c r="A368" s="362"/>
      <c r="B368" s="341">
        <f t="shared" si="224"/>
        <v>2013</v>
      </c>
      <c r="C368" s="381">
        <v>4</v>
      </c>
      <c r="D368" s="337">
        <f>'Rate Class Load Model'!N5</f>
        <v>73573.420000000013</v>
      </c>
      <c r="E368" s="150"/>
      <c r="F368" s="379"/>
      <c r="J368" s="379"/>
      <c r="K368" s="379"/>
      <c r="L368" s="379"/>
      <c r="M368" s="380"/>
    </row>
    <row r="369" spans="1:13" x14ac:dyDescent="0.25">
      <c r="A369" s="362"/>
      <c r="B369" s="341">
        <f t="shared" si="224"/>
        <v>2014</v>
      </c>
      <c r="C369" s="381">
        <v>4</v>
      </c>
      <c r="D369" s="337">
        <f>'Rate Class Load Model'!N6</f>
        <v>69660.58</v>
      </c>
      <c r="E369" s="150"/>
      <c r="F369" s="379"/>
      <c r="J369" s="379"/>
      <c r="K369" s="379"/>
      <c r="L369" s="379"/>
      <c r="M369" s="380"/>
    </row>
    <row r="370" spans="1:13" x14ac:dyDescent="0.25">
      <c r="A370" s="362"/>
      <c r="B370" s="341">
        <f t="shared" si="224"/>
        <v>2015</v>
      </c>
      <c r="C370" s="381">
        <v>4</v>
      </c>
      <c r="D370" s="337">
        <f>'Rate Class Load Model'!N7</f>
        <v>69115.460000000006</v>
      </c>
      <c r="E370" s="150"/>
      <c r="F370" s="379"/>
      <c r="J370" s="379"/>
      <c r="K370" s="379"/>
      <c r="L370" s="379"/>
      <c r="M370" s="380"/>
    </row>
    <row r="371" spans="1:13" x14ac:dyDescent="0.25">
      <c r="A371" s="362"/>
      <c r="B371" s="341">
        <f t="shared" si="224"/>
        <v>2016</v>
      </c>
      <c r="C371" s="381">
        <v>4</v>
      </c>
      <c r="D371" s="337">
        <f>'Rate Class Load Model'!N8</f>
        <v>70836.33</v>
      </c>
      <c r="E371" s="150"/>
      <c r="F371" s="379"/>
      <c r="J371" s="379"/>
      <c r="K371" s="379"/>
      <c r="L371" s="379"/>
      <c r="M371" s="380"/>
    </row>
    <row r="372" spans="1:13" x14ac:dyDescent="0.25">
      <c r="A372" s="362"/>
      <c r="B372" s="341">
        <f t="shared" si="224"/>
        <v>2017</v>
      </c>
      <c r="C372" s="381">
        <v>4</v>
      </c>
      <c r="D372" s="337">
        <f>'Rate Class Load Model'!N9</f>
        <v>67941.700000000012</v>
      </c>
      <c r="J372" s="379"/>
      <c r="K372" s="379"/>
      <c r="L372" s="379"/>
      <c r="M372" s="380"/>
    </row>
    <row r="373" spans="1:13" x14ac:dyDescent="0.25">
      <c r="A373" s="362"/>
      <c r="B373" s="341" t="str">
        <f>A337</f>
        <v>2018 Bridge</v>
      </c>
      <c r="C373" s="381">
        <v>4</v>
      </c>
      <c r="D373" s="337">
        <f>'Rate Class Load Model'!N10</f>
        <v>67941.700000000012</v>
      </c>
      <c r="E373" s="340"/>
      <c r="F373" s="379"/>
      <c r="J373" s="379"/>
      <c r="K373" s="379"/>
      <c r="L373" s="379"/>
      <c r="M373" s="380"/>
    </row>
    <row r="374" spans="1:13" x14ac:dyDescent="0.25">
      <c r="A374" s="362"/>
      <c r="B374" s="341" t="str">
        <f>A338</f>
        <v>2019 Test</v>
      </c>
      <c r="C374" s="381">
        <v>4</v>
      </c>
      <c r="D374" s="337">
        <f>'Rate Class Load Model'!N11</f>
        <v>67941.700000000012</v>
      </c>
      <c r="E374" s="340"/>
      <c r="F374" s="379"/>
      <c r="J374" s="379"/>
      <c r="K374" s="379"/>
      <c r="L374" s="379"/>
      <c r="M374" s="380"/>
    </row>
    <row r="375" spans="1:13" x14ac:dyDescent="0.25">
      <c r="A375" s="362"/>
      <c r="B375" s="362"/>
      <c r="C375" s="382"/>
      <c r="D375" s="340"/>
      <c r="E375" s="340"/>
      <c r="F375" s="379"/>
      <c r="G375" s="379"/>
      <c r="H375" s="379"/>
      <c r="I375" s="379"/>
      <c r="J375" s="379"/>
      <c r="K375" s="379"/>
      <c r="L375" s="379"/>
      <c r="M375" s="380"/>
    </row>
    <row r="376" spans="1:13" ht="30.75" customHeight="1" x14ac:dyDescent="0.25">
      <c r="A376" s="362"/>
      <c r="B376" s="452" t="s">
        <v>365</v>
      </c>
      <c r="C376" s="452"/>
      <c r="D376" s="452"/>
      <c r="E376" s="379"/>
      <c r="F376" s="379"/>
      <c r="G376" s="379"/>
      <c r="H376" s="379"/>
      <c r="I376" s="379"/>
      <c r="J376" s="379"/>
      <c r="K376" s="379"/>
      <c r="L376" s="379"/>
      <c r="M376" s="380"/>
    </row>
    <row r="377" spans="1:13" ht="45" x14ac:dyDescent="0.25">
      <c r="A377" s="362"/>
      <c r="B377" s="421" t="s">
        <v>198</v>
      </c>
      <c r="C377" s="417" t="s">
        <v>262</v>
      </c>
      <c r="D377" s="417" t="s">
        <v>90</v>
      </c>
      <c r="E377" s="150"/>
      <c r="F377" s="379"/>
      <c r="G377" s="379"/>
      <c r="H377" s="379"/>
      <c r="I377" s="379"/>
      <c r="J377" s="379"/>
      <c r="K377" s="379"/>
      <c r="L377" s="379"/>
      <c r="M377" s="380"/>
    </row>
    <row r="378" spans="1:13" x14ac:dyDescent="0.25">
      <c r="A378" s="362"/>
      <c r="B378" s="341">
        <f t="shared" ref="B378:B385" si="225">A281</f>
        <v>2010</v>
      </c>
      <c r="C378" s="381">
        <v>1</v>
      </c>
      <c r="D378" s="337">
        <f>Summary!B104</f>
        <v>73663.072638679005</v>
      </c>
      <c r="E378" s="150"/>
      <c r="F378" s="379"/>
      <c r="G378" s="379"/>
      <c r="H378" s="379"/>
      <c r="I378" s="379"/>
      <c r="J378" s="379"/>
      <c r="K378" s="379"/>
      <c r="L378" s="379"/>
      <c r="M378" s="380"/>
    </row>
    <row r="379" spans="1:13" x14ac:dyDescent="0.25">
      <c r="A379" s="362"/>
      <c r="B379" s="341">
        <f t="shared" si="225"/>
        <v>2011</v>
      </c>
      <c r="C379" s="381">
        <v>1</v>
      </c>
      <c r="D379" s="337">
        <f>Summary!C104</f>
        <v>78979.832576877903</v>
      </c>
      <c r="E379" s="150"/>
      <c r="F379" s="379"/>
      <c r="G379" s="379"/>
      <c r="H379" s="379"/>
      <c r="I379" s="379"/>
      <c r="J379" s="379"/>
      <c r="K379" s="379"/>
      <c r="L379" s="379"/>
      <c r="M379" s="380"/>
    </row>
    <row r="380" spans="1:13" x14ac:dyDescent="0.25">
      <c r="A380" s="362"/>
      <c r="B380" s="341">
        <f t="shared" si="225"/>
        <v>2012</v>
      </c>
      <c r="C380" s="381">
        <v>1</v>
      </c>
      <c r="D380" s="337">
        <f>Summary!D104</f>
        <v>70981.983230590806</v>
      </c>
      <c r="E380" s="150"/>
      <c r="F380" s="379"/>
      <c r="G380" s="379"/>
      <c r="H380" s="379"/>
      <c r="I380" s="379"/>
      <c r="J380" s="379"/>
      <c r="K380" s="379"/>
      <c r="L380" s="379"/>
      <c r="M380" s="380"/>
    </row>
    <row r="381" spans="1:13" x14ac:dyDescent="0.25">
      <c r="A381" s="362"/>
      <c r="B381" s="341">
        <f t="shared" si="225"/>
        <v>2013</v>
      </c>
      <c r="C381" s="381">
        <v>1</v>
      </c>
      <c r="D381" s="337">
        <f>Summary!E104</f>
        <v>92129.709999999992</v>
      </c>
      <c r="E381" s="150"/>
      <c r="F381" s="379"/>
      <c r="G381" s="379"/>
      <c r="H381" s="379"/>
      <c r="I381" s="379"/>
      <c r="J381" s="379"/>
      <c r="K381" s="379"/>
      <c r="L381" s="379"/>
      <c r="M381" s="380"/>
    </row>
    <row r="382" spans="1:13" x14ac:dyDescent="0.25">
      <c r="A382" s="362"/>
      <c r="B382" s="341">
        <f t="shared" si="225"/>
        <v>2014</v>
      </c>
      <c r="C382" s="381">
        <v>1</v>
      </c>
      <c r="D382" s="337">
        <f>Summary!F104</f>
        <v>106790</v>
      </c>
      <c r="E382" s="150"/>
      <c r="F382" s="379"/>
      <c r="G382" s="379"/>
      <c r="H382" s="379"/>
      <c r="I382" s="379"/>
      <c r="J382" s="379"/>
      <c r="K382" s="379"/>
      <c r="L382" s="379"/>
      <c r="M382" s="380"/>
    </row>
    <row r="383" spans="1:13" x14ac:dyDescent="0.25">
      <c r="A383" s="362"/>
      <c r="B383" s="341">
        <f t="shared" si="225"/>
        <v>2015</v>
      </c>
      <c r="C383" s="381">
        <v>1</v>
      </c>
      <c r="D383" s="337">
        <f>Summary!G104</f>
        <v>108928.78999999998</v>
      </c>
      <c r="E383" s="150"/>
      <c r="F383" s="379"/>
      <c r="G383" s="379"/>
      <c r="H383" s="379"/>
      <c r="I383" s="379"/>
      <c r="J383" s="379"/>
      <c r="K383" s="379"/>
      <c r="L383" s="379"/>
      <c r="M383" s="380"/>
    </row>
    <row r="384" spans="1:13" x14ac:dyDescent="0.25">
      <c r="A384" s="362"/>
      <c r="B384" s="341">
        <f t="shared" si="225"/>
        <v>2016</v>
      </c>
      <c r="C384" s="381">
        <v>1</v>
      </c>
      <c r="D384" s="337">
        <f>Summary!H104</f>
        <v>121168.08</v>
      </c>
      <c r="E384" s="150"/>
      <c r="F384" s="379"/>
      <c r="G384" s="379"/>
      <c r="H384" s="379"/>
      <c r="I384" s="379"/>
      <c r="J384" s="379"/>
      <c r="K384" s="379"/>
      <c r="L384" s="379"/>
      <c r="M384" s="380"/>
    </row>
    <row r="385" spans="1:13" x14ac:dyDescent="0.25">
      <c r="A385" s="362"/>
      <c r="B385" s="341">
        <f t="shared" si="225"/>
        <v>2017</v>
      </c>
      <c r="C385" s="381">
        <v>1</v>
      </c>
      <c r="D385" s="337">
        <f>Summary!I104</f>
        <v>114656.88436169598</v>
      </c>
      <c r="E385" s="150"/>
      <c r="F385" s="379"/>
      <c r="G385" s="379"/>
      <c r="H385" s="379"/>
      <c r="I385" s="379"/>
      <c r="J385" s="379"/>
      <c r="K385" s="379"/>
      <c r="L385" s="379"/>
      <c r="M385" s="380"/>
    </row>
    <row r="386" spans="1:13" x14ac:dyDescent="0.25">
      <c r="A386" s="362"/>
      <c r="B386" s="341" t="str">
        <f>B373</f>
        <v>2018 Bridge</v>
      </c>
      <c r="C386" s="381">
        <v>1</v>
      </c>
      <c r="D386" s="337">
        <f>Summary!J104</f>
        <v>114656.88436169598</v>
      </c>
      <c r="E386" s="150"/>
      <c r="F386" s="379"/>
      <c r="G386" s="379"/>
      <c r="H386" s="379"/>
      <c r="I386" s="379"/>
      <c r="J386" s="379"/>
      <c r="K386" s="379"/>
      <c r="L386" s="379"/>
      <c r="M386" s="380"/>
    </row>
    <row r="387" spans="1:13" x14ac:dyDescent="0.25">
      <c r="A387" s="362"/>
      <c r="B387" s="341" t="str">
        <f>B374</f>
        <v>2019 Test</v>
      </c>
      <c r="C387" s="381">
        <v>1</v>
      </c>
      <c r="D387" s="337">
        <f>Summary!K104</f>
        <v>114656.88436169598</v>
      </c>
      <c r="E387" s="150"/>
      <c r="F387" s="379"/>
      <c r="G387" s="379"/>
      <c r="H387" s="379"/>
      <c r="I387" s="379"/>
      <c r="J387" s="379"/>
      <c r="K387" s="379"/>
      <c r="L387" s="379"/>
      <c r="M387" s="380"/>
    </row>
    <row r="388" spans="1:13" x14ac:dyDescent="0.25">
      <c r="A388" s="362"/>
      <c r="B388" s="362"/>
      <c r="C388" s="382"/>
      <c r="D388" s="340"/>
      <c r="E388" s="340"/>
      <c r="F388" s="379"/>
      <c r="G388" s="379"/>
      <c r="H388" s="379"/>
      <c r="I388" s="379"/>
      <c r="J388" s="379"/>
      <c r="K388" s="379"/>
      <c r="L388" s="379"/>
      <c r="M388" s="380"/>
    </row>
    <row r="389" spans="1:13" x14ac:dyDescent="0.25">
      <c r="A389" s="362"/>
      <c r="B389" s="362"/>
      <c r="C389" s="382"/>
      <c r="D389" s="340"/>
      <c r="E389" s="340"/>
      <c r="F389" s="379"/>
      <c r="G389" s="379"/>
      <c r="H389" s="379"/>
      <c r="I389" s="379"/>
      <c r="J389" s="379"/>
      <c r="K389" s="379"/>
      <c r="L389" s="379"/>
      <c r="M389" s="380"/>
    </row>
    <row r="390" spans="1:13" x14ac:dyDescent="0.25">
      <c r="A390" s="362"/>
      <c r="B390" s="379"/>
      <c r="C390" s="379"/>
      <c r="D390" s="379"/>
      <c r="E390" s="379"/>
      <c r="F390" s="379"/>
      <c r="G390" s="379"/>
      <c r="H390" s="379"/>
      <c r="I390" s="379"/>
      <c r="J390" s="379"/>
      <c r="K390" s="379"/>
      <c r="L390" s="379"/>
      <c r="M390" s="380"/>
    </row>
    <row r="392" spans="1:13" x14ac:dyDescent="0.25">
      <c r="A392" s="453" t="s">
        <v>366</v>
      </c>
      <c r="B392" s="453"/>
      <c r="C392" s="453"/>
      <c r="D392" s="453"/>
      <c r="E392" s="453"/>
      <c r="F392" s="453"/>
      <c r="G392" s="453"/>
      <c r="H392" s="453"/>
      <c r="I392" s="453"/>
    </row>
    <row r="393" spans="1:13" ht="90" x14ac:dyDescent="0.25">
      <c r="A393" s="421" t="s">
        <v>198</v>
      </c>
      <c r="B393" s="417" t="str">
        <f>'Rate Class Load Model'!B1</f>
        <v>General Service &gt; 50 to 999 kW</v>
      </c>
      <c r="C393" s="417" t="str">
        <f>'Rate Class Load Model'!C1</f>
        <v>General Service &gt; 1000 to 4999 kW</v>
      </c>
      <c r="D393" s="417" t="str">
        <f>'Rate Class Load Model'!D1</f>
        <v>Large User</v>
      </c>
      <c r="E393" s="417" t="str">
        <f>'Rate Class Load Model'!E1</f>
        <v>Street Lights</v>
      </c>
      <c r="F393" s="417" t="str">
        <f>'Rate Class Load Model'!F1</f>
        <v>Sentinel Lights</v>
      </c>
      <c r="G393" s="417" t="str">
        <f>'Rate Class Load Model'!J1</f>
        <v>Embedded Distributors - Hydro One &amp; Waterloo, CND</v>
      </c>
      <c r="H393" s="417" t="str">
        <f>'Rate Class Load Model'!G1</f>
        <v>Embedded Distributors -BPI - BCP</v>
      </c>
      <c r="I393" s="417" t="str">
        <f>'Rate Class Load Model'!H1</f>
        <v>Embedded Distributors - Hydro One #1, BCP</v>
      </c>
      <c r="J393" s="417" t="str">
        <f>'Rate Class Load Model'!I1</f>
        <v>Embedded Distributors - Hydro One #2, BCP</v>
      </c>
      <c r="K393" s="417" t="str">
        <f>'Rate Class Load Model'!K1</f>
        <v>Total</v>
      </c>
    </row>
    <row r="394" spans="1:13" x14ac:dyDescent="0.25">
      <c r="A394" s="444" t="s">
        <v>219</v>
      </c>
      <c r="B394" s="444"/>
      <c r="C394" s="444"/>
      <c r="D394" s="444"/>
      <c r="E394" s="444"/>
      <c r="F394" s="444"/>
      <c r="G394" s="444"/>
      <c r="H394" s="444"/>
      <c r="I394" s="444"/>
      <c r="J394" s="444"/>
      <c r="K394" s="444"/>
    </row>
    <row r="395" spans="1:13" x14ac:dyDescent="0.25">
      <c r="A395" s="318">
        <f t="shared" ref="A395:A402" si="226">B378</f>
        <v>2010</v>
      </c>
      <c r="B395" s="361">
        <f>'Rate Class Load Model'!B2</f>
        <v>1535991.72820355</v>
      </c>
      <c r="C395" s="361">
        <f>'Rate Class Load Model'!C2</f>
        <v>646503.53520000004</v>
      </c>
      <c r="D395" s="361">
        <f>'Rate Class Load Model'!D2</f>
        <v>421436.3223</v>
      </c>
      <c r="E395" s="361">
        <f>'Rate Class Load Model'!E2</f>
        <v>31414.760000000002</v>
      </c>
      <c r="F395" s="361">
        <f>'Rate Class Load Model'!F2</f>
        <v>486.90111111111116</v>
      </c>
      <c r="G395" s="361">
        <f>'Rate Class Load Model'!J2</f>
        <v>101371.27183867899</v>
      </c>
      <c r="H395" s="361">
        <f>'Rate Class Load Model'!G2</f>
        <v>10.28</v>
      </c>
      <c r="I395" s="361">
        <f>'Rate Class Load Model'!H2</f>
        <v>29199.89</v>
      </c>
      <c r="J395" s="361">
        <f>'Rate Class Load Model'!I2</f>
        <v>109926.40127449173</v>
      </c>
      <c r="K395" s="361">
        <f>SUM(B395:J395)</f>
        <v>2876341.0899278312</v>
      </c>
    </row>
    <row r="396" spans="1:13" x14ac:dyDescent="0.25">
      <c r="A396" s="318">
        <f t="shared" si="226"/>
        <v>2011</v>
      </c>
      <c r="B396" s="361">
        <f>'Rate Class Load Model'!B3</f>
        <v>1559457.9765679198</v>
      </c>
      <c r="C396" s="361">
        <f>'Rate Class Load Model'!C3</f>
        <v>659131.46674197295</v>
      </c>
      <c r="D396" s="361">
        <f>'Rate Class Load Model'!D3</f>
        <v>431698.8584427</v>
      </c>
      <c r="E396" s="361">
        <f>'Rate Class Load Model'!E3</f>
        <v>31402.7772498757</v>
      </c>
      <c r="F396" s="361">
        <f>'Rate Class Load Model'!F3</f>
        <v>228.22855967333334</v>
      </c>
      <c r="G396" s="361">
        <f>'Rate Class Load Model'!J3</f>
        <v>107151.213530009</v>
      </c>
      <c r="H396" s="361">
        <f>'Rate Class Load Model'!G3</f>
        <v>44.33</v>
      </c>
      <c r="I396" s="361">
        <f>'Rate Class Load Model'!H3</f>
        <v>31127.55</v>
      </c>
      <c r="J396" s="361">
        <f>'Rate Class Load Model'!I3</f>
        <v>117160.63801515776</v>
      </c>
      <c r="K396" s="361">
        <f t="shared" ref="K396:K402" si="227">SUM(B396:J396)</f>
        <v>2937403.0391073083</v>
      </c>
    </row>
    <row r="397" spans="1:13" x14ac:dyDescent="0.25">
      <c r="A397" s="318">
        <f t="shared" si="226"/>
        <v>2012</v>
      </c>
      <c r="B397" s="361">
        <f>'Rate Class Load Model'!B4</f>
        <v>1578630.36979942</v>
      </c>
      <c r="C397" s="361">
        <f>'Rate Class Load Model'!C4</f>
        <v>606301.92947526893</v>
      </c>
      <c r="D397" s="361">
        <f>'Rate Class Load Model'!D4</f>
        <v>483777.43670654303</v>
      </c>
      <c r="E397" s="361">
        <f>'Rate Class Load Model'!E4</f>
        <v>31676.619901697199</v>
      </c>
      <c r="F397" s="361">
        <f>'Rate Class Load Model'!F4</f>
        <v>311.12235571111108</v>
      </c>
      <c r="G397" s="361">
        <f>'Rate Class Load Model'!J4</f>
        <v>100035.046333313</v>
      </c>
      <c r="H397" s="361">
        <f>'Rate Class Load Model'!G4</f>
        <v>87.52000000000001</v>
      </c>
      <c r="I397" s="361">
        <f>'Rate Class Load Model'!H4</f>
        <v>24429.269999999997</v>
      </c>
      <c r="J397" s="361">
        <f>'Rate Class Load Model'!I4</f>
        <v>129577.45874038131</v>
      </c>
      <c r="K397" s="361">
        <f t="shared" si="227"/>
        <v>2954826.7733123349</v>
      </c>
    </row>
    <row r="398" spans="1:13" x14ac:dyDescent="0.25">
      <c r="A398" s="318">
        <f t="shared" si="226"/>
        <v>2013</v>
      </c>
      <c r="B398" s="361">
        <f>'Rate Class Load Model'!B5</f>
        <v>1568192.8160256497</v>
      </c>
      <c r="C398" s="361">
        <f>'Rate Class Load Model'!C5</f>
        <v>586434.7699999999</v>
      </c>
      <c r="D398" s="361">
        <f>'Rate Class Load Model'!D5</f>
        <v>425911.83</v>
      </c>
      <c r="E398" s="361">
        <f>'Rate Class Load Model'!E5</f>
        <v>31771.761757714674</v>
      </c>
      <c r="F398" s="361">
        <f>'Rate Class Load Model'!F5</f>
        <v>306.93329242222217</v>
      </c>
      <c r="G398" s="361">
        <f>'Rate Class Load Model'!J5</f>
        <v>119938.29999999999</v>
      </c>
      <c r="H398" s="361">
        <f>'Rate Class Load Model'!G5</f>
        <v>31.049999999999997</v>
      </c>
      <c r="I398" s="361">
        <f>'Rate Class Load Model'!H5</f>
        <v>31865.139999999996</v>
      </c>
      <c r="J398" s="361">
        <f>'Rate Class Load Model'!I5</f>
        <v>119620.77246283546</v>
      </c>
      <c r="K398" s="361">
        <f t="shared" si="227"/>
        <v>2884073.3735386222</v>
      </c>
    </row>
    <row r="399" spans="1:13" x14ac:dyDescent="0.25">
      <c r="A399" s="318">
        <f t="shared" si="226"/>
        <v>2014</v>
      </c>
      <c r="B399" s="361">
        <f>'Rate Class Load Model'!B6</f>
        <v>1605303.1854654762</v>
      </c>
      <c r="C399" s="361">
        <f>'Rate Class Load Model'!C6</f>
        <v>581849.28</v>
      </c>
      <c r="D399" s="361">
        <f>'Rate Class Load Model'!D6</f>
        <v>457866.89653992082</v>
      </c>
      <c r="E399" s="361">
        <f>'Rate Class Load Model'!E6</f>
        <v>31886.136091179094</v>
      </c>
      <c r="F399" s="361">
        <f>'Rate Class Load Model'!F6</f>
        <v>292.76845053333329</v>
      </c>
      <c r="G399" s="361">
        <f>'Rate Class Load Model'!J6</f>
        <v>135496.47</v>
      </c>
      <c r="H399" s="361">
        <f>'Rate Class Load Model'!G6</f>
        <v>94.67</v>
      </c>
      <c r="I399" s="361">
        <f>'Rate Class Load Model'!H6</f>
        <v>31822.170000000002</v>
      </c>
      <c r="J399" s="361">
        <f>'Rate Class Load Model'!I6</f>
        <v>126064.88355692466</v>
      </c>
      <c r="K399" s="361">
        <f t="shared" si="227"/>
        <v>2970676.4601040347</v>
      </c>
    </row>
    <row r="400" spans="1:13" x14ac:dyDescent="0.25">
      <c r="A400" s="318">
        <f t="shared" si="226"/>
        <v>2015</v>
      </c>
      <c r="B400" s="361">
        <f>'Rate Class Load Model'!B7</f>
        <v>1555819.3298522707</v>
      </c>
      <c r="C400" s="361">
        <f>'Rate Class Load Model'!C7</f>
        <v>581152.97</v>
      </c>
      <c r="D400" s="361">
        <f>'Rate Class Load Model'!D7</f>
        <v>430086.51000000007</v>
      </c>
      <c r="E400" s="361">
        <f>'Rate Class Load Model'!E7</f>
        <v>31872.978670269313</v>
      </c>
      <c r="F400" s="361">
        <f>'Rate Class Load Model'!F7</f>
        <v>288.48305517777777</v>
      </c>
      <c r="G400" s="361">
        <f>'Rate Class Load Model'!J7</f>
        <v>137772.01</v>
      </c>
      <c r="H400" s="361">
        <f>'Rate Class Load Model'!G7</f>
        <v>95.46</v>
      </c>
      <c r="I400" s="361">
        <f>'Rate Class Load Model'!H7</f>
        <v>30826.699999999997</v>
      </c>
      <c r="J400" s="361">
        <f>'Rate Class Load Model'!I7</f>
        <v>139060.14729191593</v>
      </c>
      <c r="K400" s="361">
        <f t="shared" si="227"/>
        <v>2906974.5888696336</v>
      </c>
    </row>
    <row r="401" spans="1:11" x14ac:dyDescent="0.25">
      <c r="A401" s="318">
        <f t="shared" si="226"/>
        <v>2016</v>
      </c>
      <c r="B401" s="361">
        <f>'Rate Class Load Model'!B8</f>
        <v>1564560.6600000001</v>
      </c>
      <c r="C401" s="361">
        <f>'Rate Class Load Model'!C8</f>
        <v>631904.10997964221</v>
      </c>
      <c r="D401" s="361">
        <f>'Rate Class Load Model'!D8</f>
        <v>358566.19</v>
      </c>
      <c r="E401" s="361">
        <f>'Rate Class Load Model'!E8</f>
        <v>31300.14</v>
      </c>
      <c r="F401" s="361">
        <f>'Rate Class Load Model'!F8</f>
        <v>416.63902725875835</v>
      </c>
      <c r="G401" s="361">
        <f>'Rate Class Load Model'!J8</f>
        <v>148633.62</v>
      </c>
      <c r="H401" s="361">
        <f>'Rate Class Load Model'!G8</f>
        <v>1313.24</v>
      </c>
      <c r="I401" s="361">
        <f>'Rate Class Load Model'!H8</f>
        <v>29427.999999999996</v>
      </c>
      <c r="J401" s="361">
        <f>'Rate Class Load Model'!I8</f>
        <v>99936.488133577368</v>
      </c>
      <c r="K401" s="361">
        <f t="shared" si="227"/>
        <v>2866059.0871404787</v>
      </c>
    </row>
    <row r="402" spans="1:11" x14ac:dyDescent="0.25">
      <c r="A402" s="318">
        <f t="shared" si="226"/>
        <v>2017</v>
      </c>
      <c r="B402" s="361">
        <f>'Rate Class Load Model'!B9</f>
        <v>1518753.3299999998</v>
      </c>
      <c r="C402" s="361">
        <f>'Rate Class Load Model'!C9</f>
        <v>574484.46259129199</v>
      </c>
      <c r="D402" s="361">
        <f>'Rate Class Load Model'!D9</f>
        <v>348189.01999999996</v>
      </c>
      <c r="E402" s="361">
        <f>'Rate Class Load Model'!E9</f>
        <v>24144.04</v>
      </c>
      <c r="F402" s="361">
        <f>'Rate Class Load Model'!F9</f>
        <v>342.92000000000007</v>
      </c>
      <c r="G402" s="361">
        <f>'Rate Class Load Model'!J9</f>
        <v>139044.32</v>
      </c>
      <c r="H402" s="361">
        <f>'Rate Class Load Model'!G9</f>
        <v>1074.96</v>
      </c>
      <c r="I402" s="361">
        <f>'Rate Class Load Model'!H9</f>
        <v>29010.799999999999</v>
      </c>
      <c r="J402" s="361">
        <f>'Rate Class Load Model'!I9</f>
        <v>102972.90667387019</v>
      </c>
      <c r="K402" s="361">
        <f t="shared" si="227"/>
        <v>2738016.7592651616</v>
      </c>
    </row>
    <row r="403" spans="1:11" x14ac:dyDescent="0.25">
      <c r="A403" s="362"/>
      <c r="B403" s="363"/>
      <c r="C403" s="363"/>
      <c r="D403" s="363"/>
    </row>
    <row r="404" spans="1:11" x14ac:dyDescent="0.25">
      <c r="A404" s="452" t="s">
        <v>367</v>
      </c>
      <c r="B404" s="452"/>
      <c r="C404" s="452"/>
      <c r="D404" s="452"/>
      <c r="E404" s="452"/>
      <c r="F404" s="452"/>
      <c r="G404" s="452"/>
      <c r="H404" s="452"/>
    </row>
    <row r="405" spans="1:11" ht="90" x14ac:dyDescent="0.25">
      <c r="A405" s="421" t="s">
        <v>198</v>
      </c>
      <c r="B405" s="417" t="str">
        <f>B393</f>
        <v>General Service &gt; 50 to 999 kW</v>
      </c>
      <c r="C405" s="417" t="str">
        <f t="shared" ref="C405:D405" si="228">C393</f>
        <v>General Service &gt; 1000 to 4999 kW</v>
      </c>
      <c r="D405" s="417" t="str">
        <f t="shared" si="228"/>
        <v>Large User</v>
      </c>
      <c r="E405" s="417" t="str">
        <f>E393</f>
        <v>Street Lights</v>
      </c>
      <c r="F405" s="417" t="str">
        <f>F393</f>
        <v>Sentinel Lights</v>
      </c>
      <c r="G405" s="417" t="str">
        <f t="shared" ref="G405:J405" si="229">G393</f>
        <v>Embedded Distributors - Hydro One &amp; Waterloo, CND</v>
      </c>
      <c r="H405" s="417" t="str">
        <f t="shared" si="229"/>
        <v>Embedded Distributors -BPI - BCP</v>
      </c>
      <c r="I405" s="417" t="str">
        <f t="shared" si="229"/>
        <v>Embedded Distributors - Hydro One #1, BCP</v>
      </c>
      <c r="J405" s="417" t="str">
        <f t="shared" si="229"/>
        <v>Embedded Distributors - Hydro One #2, BCP</v>
      </c>
    </row>
    <row r="406" spans="1:11" x14ac:dyDescent="0.25">
      <c r="A406" s="444" t="s">
        <v>220</v>
      </c>
      <c r="B406" s="444"/>
      <c r="C406" s="444"/>
      <c r="D406" s="444"/>
      <c r="E406" s="444"/>
      <c r="F406" s="444"/>
      <c r="G406" s="444"/>
      <c r="H406" s="444"/>
      <c r="I406" s="444"/>
      <c r="J406" s="444"/>
    </row>
    <row r="407" spans="1:11" x14ac:dyDescent="0.25">
      <c r="A407" s="318">
        <f t="shared" ref="A407:A414" si="230">A395</f>
        <v>2010</v>
      </c>
      <c r="B407" s="383">
        <f>'Rate Class Load Model'!B35</f>
        <v>3.1570737840942859E-3</v>
      </c>
      <c r="C407" s="383">
        <f>'Rate Class Load Model'!C35</f>
        <v>2.5812714153470003E-3</v>
      </c>
      <c r="D407" s="383">
        <f>'Rate Class Load Model'!D35</f>
        <v>2.1440890969027598E-3</v>
      </c>
      <c r="E407" s="383">
        <f>'Rate Class Load Model'!E35</f>
        <v>2.7977234933807041E-3</v>
      </c>
      <c r="F407" s="383">
        <f>'Rate Class Load Model'!F35</f>
        <v>2.7777777777777783E-3</v>
      </c>
      <c r="G407" s="383"/>
      <c r="H407" s="383">
        <f>'Rate Class Load Model'!G35</f>
        <v>2.7535296339251992E-5</v>
      </c>
      <c r="I407" s="383">
        <f>'Rate Class Load Model'!H35</f>
        <v>2.1874494754388751E-3</v>
      </c>
      <c r="J407" s="383">
        <f>I407</f>
        <v>2.1874494754388751E-3</v>
      </c>
    </row>
    <row r="408" spans="1:11" x14ac:dyDescent="0.25">
      <c r="A408" s="318">
        <f t="shared" si="230"/>
        <v>2011</v>
      </c>
      <c r="B408" s="383">
        <f>'Rate Class Load Model'!B36</f>
        <v>3.1158774893600841E-3</v>
      </c>
      <c r="C408" s="383">
        <f>'Rate Class Load Model'!C36</f>
        <v>2.4425671567357742E-3</v>
      </c>
      <c r="D408" s="383">
        <f>'Rate Class Load Model'!D36</f>
        <v>2.5514750245168526E-3</v>
      </c>
      <c r="E408" s="383">
        <f>'Rate Class Load Model'!E36</f>
        <v>2.7964805051584134E-3</v>
      </c>
      <c r="F408" s="383">
        <f>'Rate Class Load Model'!F36</f>
        <v>1.3915865624273972E-3</v>
      </c>
      <c r="G408" s="383"/>
      <c r="H408" s="383">
        <f>'Rate Class Load Model'!G36</f>
        <v>1.1873926913609346E-4</v>
      </c>
      <c r="I408" s="383">
        <f>'Rate Class Load Model'!H36</f>
        <v>2.2728554537627221E-3</v>
      </c>
      <c r="J408" s="383">
        <f t="shared" ref="J408:J416" si="231">I408</f>
        <v>2.2728554537627221E-3</v>
      </c>
    </row>
    <row r="409" spans="1:11" x14ac:dyDescent="0.25">
      <c r="A409" s="318">
        <f t="shared" si="230"/>
        <v>2012</v>
      </c>
      <c r="B409" s="383">
        <f>'Rate Class Load Model'!B37</f>
        <v>3.1501078223306364E-3</v>
      </c>
      <c r="C409" s="383">
        <f>'Rate Class Load Model'!C37</f>
        <v>2.3682908790490583E-3</v>
      </c>
      <c r="D409" s="383">
        <f>'Rate Class Load Model'!D37</f>
        <v>2.4045858465408946E-3</v>
      </c>
      <c r="E409" s="383">
        <f>'Rate Class Load Model'!E37</f>
        <v>2.7884449288587427E-3</v>
      </c>
      <c r="F409" s="383">
        <f>'Rate Class Load Model'!F37</f>
        <v>1.7438969294267493E-3</v>
      </c>
      <c r="G409" s="383"/>
      <c r="H409" s="383">
        <f>'Rate Class Load Model'!G37</f>
        <v>2.3349687719270164E-4</v>
      </c>
      <c r="I409" s="383">
        <f>'Rate Class Load Model'!H37</f>
        <v>2.4766825435041172E-3</v>
      </c>
      <c r="J409" s="383">
        <f t="shared" si="231"/>
        <v>2.4766825435041172E-3</v>
      </c>
    </row>
    <row r="410" spans="1:11" x14ac:dyDescent="0.25">
      <c r="A410" s="318">
        <f t="shared" si="230"/>
        <v>2013</v>
      </c>
      <c r="B410" s="383">
        <f>'Rate Class Load Model'!B38</f>
        <v>3.0253622954800772E-3</v>
      </c>
      <c r="C410" s="383">
        <f>'Rate Class Load Model'!C38</f>
        <v>2.1697261813464772E-3</v>
      </c>
      <c r="D410" s="383">
        <f>'Rate Class Load Model'!D38</f>
        <v>2.0785691775295216E-3</v>
      </c>
      <c r="E410" s="383">
        <f>'Rate Class Load Model'!E38</f>
        <v>2.8209111186227463E-3</v>
      </c>
      <c r="F410" s="383">
        <f>'Rate Class Load Model'!F38</f>
        <v>2.0086843263520562E-3</v>
      </c>
      <c r="G410" s="383">
        <f>'Rate Class Load Model'!J38</f>
        <v>2.0273436260749575E-3</v>
      </c>
      <c r="H410" s="383">
        <f>'Rate Class Load Model'!G38</f>
        <v>8.7152268064096902E-5</v>
      </c>
      <c r="I410" s="383">
        <f>'Rate Class Load Model'!H38</f>
        <v>2.2952307022654794E-3</v>
      </c>
      <c r="J410" s="383">
        <f t="shared" si="231"/>
        <v>2.2952307022654794E-3</v>
      </c>
    </row>
    <row r="411" spans="1:11" x14ac:dyDescent="0.25">
      <c r="A411" s="318">
        <f t="shared" si="230"/>
        <v>2014</v>
      </c>
      <c r="B411" s="383">
        <f>'Rate Class Load Model'!B39</f>
        <v>3.2477788774770782E-3</v>
      </c>
      <c r="C411" s="383">
        <f>'Rate Class Load Model'!C39</f>
        <v>2.2119999506535408E-3</v>
      </c>
      <c r="D411" s="383">
        <f>'Rate Class Load Model'!D39</f>
        <v>2.2306092924191281E-3</v>
      </c>
      <c r="E411" s="383">
        <f>'Rate Class Load Model'!E39</f>
        <v>2.7955297878488367E-3</v>
      </c>
      <c r="F411" s="383">
        <f>'Rate Class Load Model'!F39</f>
        <v>1.9982115890014801E-3</v>
      </c>
      <c r="G411" s="383">
        <f>'Rate Class Load Model'!J39</f>
        <v>1.8656501048749656E-3</v>
      </c>
      <c r="H411" s="383">
        <f>'Rate Class Load Model'!G39</f>
        <v>2.8007052795380182E-4</v>
      </c>
      <c r="I411" s="383">
        <f>'Rate Class Load Model'!H39</f>
        <v>2.4485397364667582E-3</v>
      </c>
      <c r="J411" s="383">
        <f t="shared" si="231"/>
        <v>2.4485397364667582E-3</v>
      </c>
    </row>
    <row r="412" spans="1:11" x14ac:dyDescent="0.25">
      <c r="A412" s="318">
        <f t="shared" si="230"/>
        <v>2015</v>
      </c>
      <c r="B412" s="383">
        <f>'Rate Class Load Model'!B40</f>
        <v>3.2019058570745347E-3</v>
      </c>
      <c r="C412" s="383">
        <f>'Rate Class Load Model'!C40</f>
        <v>2.2075639305751552E-3</v>
      </c>
      <c r="D412" s="383">
        <f>'Rate Class Load Model'!D40</f>
        <v>2.073961827790093E-3</v>
      </c>
      <c r="E412" s="383">
        <f>'Rate Class Load Model'!E40</f>
        <v>2.7972823749248064E-3</v>
      </c>
      <c r="F412" s="383">
        <f>'Rate Class Load Model'!F40</f>
        <v>2.0214858902524485E-3</v>
      </c>
      <c r="G412" s="383">
        <f>'Rate Class Load Model'!J40</f>
        <v>1.8640021247728535E-3</v>
      </c>
      <c r="H412" s="383">
        <f>'Rate Class Load Model'!G40</f>
        <v>2.71140971775378E-4</v>
      </c>
      <c r="I412" s="383">
        <f>'Rate Class Load Model'!H40</f>
        <v>2.2306923797295814E-3</v>
      </c>
      <c r="J412" s="383">
        <f t="shared" si="231"/>
        <v>2.2306923797295814E-3</v>
      </c>
    </row>
    <row r="413" spans="1:11" x14ac:dyDescent="0.25">
      <c r="A413" s="318">
        <f t="shared" si="230"/>
        <v>2016</v>
      </c>
      <c r="B413" s="383">
        <f>'Rate Class Load Model'!B41</f>
        <v>3.2312283731150606E-3</v>
      </c>
      <c r="C413" s="383">
        <f>'Rate Class Load Model'!C41</f>
        <v>2.4136475882539032E-3</v>
      </c>
      <c r="D413" s="383">
        <f>'Rate Class Load Model'!D41</f>
        <v>2.3706806662767256E-3</v>
      </c>
      <c r="E413" s="383">
        <f>'Rate Class Load Model'!E41</f>
        <v>2.8176478288412373E-3</v>
      </c>
      <c r="F413" s="383">
        <f>'Rate Class Load Model'!F41</f>
        <v>3.0478125782456462E-3</v>
      </c>
      <c r="G413" s="383">
        <f>'Rate Class Load Model'!J41</f>
        <v>1.9969140592479393E-3</v>
      </c>
      <c r="H413" s="383">
        <f>'Rate Class Load Model'!G41</f>
        <v>3.4548542802004577E-3</v>
      </c>
      <c r="I413" s="383">
        <f>'Rate Class Load Model'!H41</f>
        <v>2.1701598376406583E-3</v>
      </c>
      <c r="J413" s="383">
        <f t="shared" si="231"/>
        <v>2.1701598376406583E-3</v>
      </c>
    </row>
    <row r="414" spans="1:11" x14ac:dyDescent="0.25">
      <c r="A414" s="318">
        <f t="shared" si="230"/>
        <v>2017</v>
      </c>
      <c r="B414" s="383">
        <f>'Rate Class Load Model'!B42</f>
        <v>3.118349740204503E-3</v>
      </c>
      <c r="C414" s="383">
        <f>'Rate Class Load Model'!C42</f>
        <v>2.3802773062573967E-3</v>
      </c>
      <c r="D414" s="383">
        <f>'Rate Class Load Model'!D42</f>
        <v>2.3811640592463633E-3</v>
      </c>
      <c r="E414" s="383">
        <f>'Rate Class Load Model'!E42</f>
        <v>2.8816887936371481E-3</v>
      </c>
      <c r="F414" s="383">
        <f>'Rate Class Load Model'!F42</f>
        <v>2.7003913724810815E-3</v>
      </c>
      <c r="G414" s="383">
        <f>'Rate Class Load Model'!J42</f>
        <v>1.9664151782715555E-3</v>
      </c>
      <c r="H414" s="383">
        <f>'Rate Class Load Model'!G42</f>
        <v>3.0911275933101787E-3</v>
      </c>
      <c r="I414" s="383">
        <f>'Rate Class Load Model'!H42</f>
        <v>2.3795493247116203E-3</v>
      </c>
      <c r="J414" s="383">
        <f t="shared" si="231"/>
        <v>2.3795493247116203E-3</v>
      </c>
    </row>
    <row r="415" spans="1:11" x14ac:dyDescent="0.25">
      <c r="A415" s="318" t="s">
        <v>263</v>
      </c>
      <c r="B415" s="383">
        <f>'Rate Class Load Model'!B46</f>
        <v>3.1559605298920324E-3</v>
      </c>
      <c r="C415" s="383">
        <f>'Rate Class Load Model'!C46</f>
        <v>2.3469180510272882E-3</v>
      </c>
      <c r="D415" s="383">
        <f>'Rate Class Load Model'!D46</f>
        <v>2.2793918739027921E-3</v>
      </c>
      <c r="E415" s="383">
        <f>'Rate Class Load Model'!E46</f>
        <v>2.8119636039090797E-3</v>
      </c>
      <c r="F415" s="383">
        <f>'Rate Class Load Model'!F46</f>
        <v>2.2112308782455794E-3</v>
      </c>
      <c r="G415" s="383">
        <f>'Rate Class Load Model'!J46</f>
        <v>1.9440650186484539E-3</v>
      </c>
      <c r="H415" s="383">
        <f>'Rate Class Load Model'!G46</f>
        <v>9.45514635496495E-4</v>
      </c>
      <c r="I415" s="383">
        <f>'Rate Class Load Model'!H46</f>
        <v>2.3076449316899767E-3</v>
      </c>
      <c r="J415" s="383">
        <f t="shared" si="231"/>
        <v>2.3076449316899767E-3</v>
      </c>
    </row>
    <row r="416" spans="1:11" x14ac:dyDescent="0.25">
      <c r="A416" s="318" t="s">
        <v>264</v>
      </c>
      <c r="B416" s="383">
        <f>'Rate Class Load Model'!B44</f>
        <v>3.1559605298920324E-3</v>
      </c>
      <c r="C416" s="383">
        <f>'Rate Class Load Model'!C44</f>
        <v>2.3469180510272882E-3</v>
      </c>
      <c r="D416" s="383">
        <f>'Rate Class Load Model'!D44</f>
        <v>2.2793918739027921E-3</v>
      </c>
      <c r="E416" s="383">
        <f>'Rate Class Load Model'!E44</f>
        <v>2.8816887936371481E-3</v>
      </c>
      <c r="F416" s="383">
        <f>'Rate Class Load Model'!F44</f>
        <v>2.7003913724810815E-3</v>
      </c>
      <c r="G416" s="383">
        <f>'Rate Class Load Model'!J44</f>
        <v>1.9664151782715555E-3</v>
      </c>
      <c r="H416" s="383">
        <f>'Rate Class Load Model'!G44</f>
        <v>3.0911275933101787E-3</v>
      </c>
      <c r="I416" s="383">
        <f>'Rate Class Load Model'!H44</f>
        <v>2.3795493247116203E-3</v>
      </c>
      <c r="J416" s="383">
        <f t="shared" si="231"/>
        <v>2.3795493247116203E-3</v>
      </c>
    </row>
    <row r="418" spans="1:26" x14ac:dyDescent="0.25">
      <c r="A418" s="444" t="s">
        <v>368</v>
      </c>
      <c r="B418" s="444"/>
      <c r="C418" s="444"/>
      <c r="D418" s="444"/>
      <c r="E418" s="444"/>
      <c r="F418" s="444"/>
      <c r="G418" s="444"/>
      <c r="H418" s="444"/>
      <c r="I418" s="444"/>
      <c r="J418" s="444"/>
      <c r="K418" s="444"/>
    </row>
    <row r="419" spans="1:26" ht="90" x14ac:dyDescent="0.25">
      <c r="A419" s="421" t="s">
        <v>198</v>
      </c>
      <c r="B419" s="417" t="str">
        <f>B393</f>
        <v>General Service &gt; 50 to 999 kW</v>
      </c>
      <c r="C419" s="417" t="str">
        <f t="shared" ref="C419:J419" si="232">C393</f>
        <v>General Service &gt; 1000 to 4999 kW</v>
      </c>
      <c r="D419" s="417" t="str">
        <f t="shared" si="232"/>
        <v>Large User</v>
      </c>
      <c r="E419" s="417" t="str">
        <f t="shared" si="232"/>
        <v>Street Lights</v>
      </c>
      <c r="F419" s="417" t="str">
        <f t="shared" si="232"/>
        <v>Sentinel Lights</v>
      </c>
      <c r="G419" s="417" t="str">
        <f t="shared" si="232"/>
        <v>Embedded Distributors - Hydro One &amp; Waterloo, CND</v>
      </c>
      <c r="H419" s="417" t="str">
        <f t="shared" si="232"/>
        <v>Embedded Distributors -BPI - BCP</v>
      </c>
      <c r="I419" s="417" t="str">
        <f t="shared" si="232"/>
        <v>Embedded Distributors - Hydro One #1, BCP</v>
      </c>
      <c r="J419" s="417" t="str">
        <f t="shared" si="232"/>
        <v>Embedded Distributors - Hydro One #2, BCP</v>
      </c>
      <c r="K419" s="417" t="s">
        <v>12</v>
      </c>
    </row>
    <row r="420" spans="1:26" x14ac:dyDescent="0.25">
      <c r="A420" s="444" t="s">
        <v>221</v>
      </c>
      <c r="B420" s="444"/>
      <c r="C420" s="444"/>
      <c r="D420" s="444"/>
      <c r="E420" s="444"/>
      <c r="F420" s="444"/>
      <c r="G420" s="444"/>
      <c r="H420" s="444"/>
      <c r="I420" s="444"/>
      <c r="J420" s="444"/>
      <c r="K420" s="444"/>
    </row>
    <row r="421" spans="1:26" x14ac:dyDescent="0.25">
      <c r="A421" s="325" t="str">
        <f>A358</f>
        <v>2018 Bridge</v>
      </c>
      <c r="B421" s="361">
        <f>'Rate Class Load Model'!B10</f>
        <v>1555494.9738878242</v>
      </c>
      <c r="C421" s="361">
        <f>'Rate Class Load Model'!C10</f>
        <v>552800.52702529693</v>
      </c>
      <c r="D421" s="361">
        <f>'Rate Class Load Model'!D10</f>
        <v>331944.32251332153</v>
      </c>
      <c r="E421" s="361">
        <f>'Rate Class Load Model'!E10</f>
        <v>14844.081169277064</v>
      </c>
      <c r="F421" s="361">
        <f>'Rate Class Load Model'!F10</f>
        <v>342.92000000000007</v>
      </c>
      <c r="G421" s="361">
        <f>'Rate Class Load Model'!J10</f>
        <v>139044.32</v>
      </c>
      <c r="H421" s="361">
        <f>'Rate Class Load Model'!G10</f>
        <v>1074.96</v>
      </c>
      <c r="I421" s="361">
        <f>'Rate Class Load Model'!H10</f>
        <v>29994.605248481424</v>
      </c>
      <c r="J421" s="361">
        <f>'Rate Class Load Model'!I10</f>
        <v>102972.90667387019</v>
      </c>
      <c r="K421" s="361">
        <f>SUM(B421:J421)</f>
        <v>2728513.6165180709</v>
      </c>
    </row>
    <row r="422" spans="1:26" x14ac:dyDescent="0.25">
      <c r="A422" s="325" t="str">
        <f>A359</f>
        <v>2019 Test</v>
      </c>
      <c r="B422" s="361">
        <f>'Rate Class Load Model'!B11</f>
        <v>1550486.6606992225</v>
      </c>
      <c r="C422" s="361">
        <f>'Rate Class Load Model'!C11</f>
        <v>538333.692709091</v>
      </c>
      <c r="D422" s="361">
        <f>'Rate Class Load Model'!D11</f>
        <v>361276.31069675618</v>
      </c>
      <c r="E422" s="361">
        <f>'Rate Class Load Model'!E11</f>
        <v>10945.463296866632</v>
      </c>
      <c r="F422" s="361">
        <f>'Rate Class Load Model'!F11</f>
        <v>342.92000000000007</v>
      </c>
      <c r="G422" s="361">
        <f>'Rate Class Load Model'!J11</f>
        <v>139044.32</v>
      </c>
      <c r="H422" s="361">
        <f>'Rate Class Load Model'!G11</f>
        <v>1074.96</v>
      </c>
      <c r="I422" s="361">
        <f>'Rate Class Load Model'!H11</f>
        <v>29994.605248481424</v>
      </c>
      <c r="J422" s="361">
        <f>'Rate Class Load Model'!I11</f>
        <v>102972.90667387019</v>
      </c>
      <c r="K422" s="361">
        <f>SUM(B422:J422)</f>
        <v>2734471.8393242871</v>
      </c>
    </row>
    <row r="423" spans="1:26" x14ac:dyDescent="0.25">
      <c r="A423" s="313"/>
      <c r="B423" s="384"/>
      <c r="C423" s="384"/>
      <c r="D423" s="384"/>
      <c r="E423" s="384"/>
    </row>
    <row r="425" spans="1:26" x14ac:dyDescent="0.25">
      <c r="O425" s="339" t="s">
        <v>369</v>
      </c>
      <c r="P425" s="339"/>
      <c r="Q425" s="339"/>
      <c r="R425" s="339"/>
      <c r="S425" s="339"/>
      <c r="T425" s="339"/>
      <c r="U425" s="339"/>
      <c r="V425" s="339"/>
      <c r="W425" s="339"/>
      <c r="X425" s="339"/>
    </row>
    <row r="426" spans="1:26" ht="27.75" customHeight="1" x14ac:dyDescent="0.25">
      <c r="O426" s="417"/>
      <c r="P426" s="417" t="str">
        <f>Summary!B3</f>
        <v>2010 Actual</v>
      </c>
      <c r="Q426" s="417" t="str">
        <f>Summary!C3</f>
        <v>2011 Actual</v>
      </c>
      <c r="R426" s="417" t="str">
        <f>Summary!D3</f>
        <v>2012 Actual</v>
      </c>
      <c r="S426" s="417" t="str">
        <f>Summary!E3</f>
        <v xml:space="preserve">2013 Actual </v>
      </c>
      <c r="T426" s="417" t="str">
        <f>Summary!F3</f>
        <v xml:space="preserve">2014 Actual </v>
      </c>
      <c r="U426" s="417" t="str">
        <f>Summary!G3</f>
        <v xml:space="preserve">2015 Actual </v>
      </c>
      <c r="V426" s="417" t="str">
        <f>Summary!H3</f>
        <v xml:space="preserve">2016 Actual </v>
      </c>
      <c r="W426" s="417" t="s">
        <v>266</v>
      </c>
      <c r="X426" s="417" t="str">
        <f>Summary!J3</f>
        <v>2018 Bridge</v>
      </c>
      <c r="Y426" s="417" t="str">
        <f>Summary!K3</f>
        <v>2019 Test</v>
      </c>
      <c r="Z426" s="150"/>
    </row>
    <row r="427" spans="1:26" x14ac:dyDescent="0.25">
      <c r="O427" s="445" t="s">
        <v>9</v>
      </c>
      <c r="P427" s="446"/>
      <c r="Q427" s="446"/>
      <c r="R427" s="446"/>
      <c r="S427" s="446"/>
      <c r="T427" s="446"/>
      <c r="U427" s="446"/>
      <c r="V427" s="446"/>
      <c r="W427" s="446"/>
      <c r="X427" s="446"/>
      <c r="Y427" s="447"/>
    </row>
    <row r="428" spans="1:26" x14ac:dyDescent="0.25">
      <c r="O428" s="325" t="s">
        <v>57</v>
      </c>
      <c r="P428" s="337">
        <f>Summary!B4</f>
        <v>1761921851.4400001</v>
      </c>
      <c r="Q428" s="337">
        <f>Summary!C4</f>
        <v>1767032100.7299995</v>
      </c>
      <c r="R428" s="337">
        <f>Summary!D4</f>
        <v>1775157463.7770281</v>
      </c>
      <c r="S428" s="337">
        <f>Summary!E4</f>
        <v>1780674124</v>
      </c>
      <c r="T428" s="337">
        <f>Summary!F4</f>
        <v>1782419695</v>
      </c>
      <c r="U428" s="337">
        <f>Summary!G4</f>
        <v>1777379399.230386</v>
      </c>
      <c r="V428" s="337">
        <f>Summary!H4</f>
        <v>1722187256.0000002</v>
      </c>
      <c r="W428" s="337">
        <f>Summary!I4</f>
        <v>1643582346.551877</v>
      </c>
      <c r="X428" s="337"/>
      <c r="Y428" s="337"/>
    </row>
    <row r="429" spans="1:26" ht="12.75" customHeight="1" x14ac:dyDescent="0.25">
      <c r="O429" s="305" t="s">
        <v>222</v>
      </c>
      <c r="P429" s="337">
        <f>Summary!B5</f>
        <v>1748395386.5384984</v>
      </c>
      <c r="Q429" s="337">
        <f>Summary!C5</f>
        <v>1768963448.1354213</v>
      </c>
      <c r="R429" s="337">
        <f>Summary!D5</f>
        <v>1787204459.9350173</v>
      </c>
      <c r="S429" s="337">
        <f>Summary!E5</f>
        <v>1778351375.4538741</v>
      </c>
      <c r="T429" s="337">
        <f>Summary!F5</f>
        <v>1769039132.9827464</v>
      </c>
      <c r="U429" s="337">
        <f>Summary!G5</f>
        <v>1793648359.1459024</v>
      </c>
      <c r="V429" s="337">
        <f>Summary!H5</f>
        <v>1699432505.2365861</v>
      </c>
      <c r="W429" s="337">
        <f>Summary!I5</f>
        <v>1666337097.3152921</v>
      </c>
      <c r="X429" s="337">
        <f>Summary!J5</f>
        <v>1678027185.7444842</v>
      </c>
      <c r="Y429" s="337">
        <f>Summary!K5</f>
        <v>1678027185.7444842</v>
      </c>
    </row>
    <row r="430" spans="1:26" ht="45" x14ac:dyDescent="0.25">
      <c r="O430" s="305" t="s">
        <v>223</v>
      </c>
      <c r="P430" s="365">
        <f t="shared" ref="P430:W430" si="233">(P429-P428)/P428</f>
        <v>-7.6771083180826776E-3</v>
      </c>
      <c r="Q430" s="365">
        <f t="shared" si="233"/>
        <v>1.092989428219132E-3</v>
      </c>
      <c r="R430" s="365">
        <f t="shared" si="233"/>
        <v>6.7864380506035202E-3</v>
      </c>
      <c r="S430" s="365">
        <f t="shared" si="233"/>
        <v>-1.3044209015112801E-3</v>
      </c>
      <c r="T430" s="365">
        <f t="shared" si="233"/>
        <v>-7.5069648606265185E-3</v>
      </c>
      <c r="U430" s="365">
        <f t="shared" si="233"/>
        <v>9.1533411057655532E-3</v>
      </c>
      <c r="V430" s="365">
        <f t="shared" si="233"/>
        <v>-1.3212704184250532E-2</v>
      </c>
      <c r="W430" s="365">
        <f t="shared" si="233"/>
        <v>1.3844606454403094E-2</v>
      </c>
      <c r="X430" s="365"/>
      <c r="Y430" s="365"/>
    </row>
    <row r="431" spans="1:26" x14ac:dyDescent="0.25">
      <c r="O431" s="445"/>
      <c r="P431" s="446"/>
      <c r="Q431" s="446"/>
      <c r="R431" s="446"/>
      <c r="S431" s="446"/>
      <c r="T431" s="446"/>
      <c r="U431" s="446"/>
      <c r="V431" s="446"/>
      <c r="W431" s="446"/>
      <c r="X431" s="446"/>
      <c r="Y431" s="447"/>
    </row>
    <row r="432" spans="1:26" x14ac:dyDescent="0.25">
      <c r="N432" s="344"/>
      <c r="O432" s="385" t="s">
        <v>0</v>
      </c>
      <c r="P432" s="386"/>
      <c r="Q432" s="387"/>
      <c r="R432" s="356"/>
      <c r="S432" s="356"/>
      <c r="T432" s="388"/>
      <c r="U432" s="388"/>
      <c r="V432" s="389"/>
      <c r="W432" s="389"/>
      <c r="X432" s="390">
        <f>'Rate Class Energy Model'!F17</f>
        <v>1.0281862442426828</v>
      </c>
      <c r="Y432" s="390">
        <f>X432</f>
        <v>1.0281862442426828</v>
      </c>
    </row>
    <row r="433" spans="15:27" ht="30" x14ac:dyDescent="0.25">
      <c r="O433" s="385" t="s">
        <v>242</v>
      </c>
      <c r="P433" s="337"/>
      <c r="Q433" s="389"/>
      <c r="R433" s="337"/>
      <c r="S433" s="337"/>
      <c r="T433" s="337"/>
      <c r="U433" s="337"/>
      <c r="V433" s="389"/>
      <c r="W433" s="389"/>
      <c r="X433" s="337">
        <f>X429/X432</f>
        <v>1632026488.5282977</v>
      </c>
      <c r="Y433" s="337">
        <f>Y429/Y432</f>
        <v>1632026488.5282977</v>
      </c>
    </row>
    <row r="434" spans="15:27" x14ac:dyDescent="0.25">
      <c r="O434" s="385" t="s">
        <v>224</v>
      </c>
      <c r="P434" s="337"/>
      <c r="Q434" s="389"/>
      <c r="R434" s="337"/>
      <c r="S434" s="337"/>
      <c r="T434" s="337"/>
      <c r="U434" s="337"/>
      <c r="V434" s="389"/>
      <c r="W434" s="389"/>
      <c r="X434" s="337">
        <f>'Rate Class Energy Model'!G85</f>
        <v>29896535.65808969</v>
      </c>
      <c r="Y434" s="337">
        <f>'Rate Class Energy Model'!G86</f>
        <v>36179389.974269077</v>
      </c>
    </row>
    <row r="435" spans="15:27" ht="30" x14ac:dyDescent="0.25">
      <c r="O435" s="385" t="s">
        <v>225</v>
      </c>
      <c r="P435" s="337">
        <f>Summary!B10</f>
        <v>1700869074.0808105</v>
      </c>
      <c r="Q435" s="337">
        <f>Summary!C10</f>
        <v>1705485900.5254331</v>
      </c>
      <c r="R435" s="337">
        <f>Summary!D10</f>
        <v>1721439858.3643131</v>
      </c>
      <c r="S435" s="337">
        <f>Summary!E10</f>
        <v>1745480850.6928558</v>
      </c>
      <c r="T435" s="337">
        <f>Summary!F10</f>
        <v>1730430155.3751984</v>
      </c>
      <c r="U435" s="337">
        <f>Summary!G10</f>
        <v>1750185362.5649092</v>
      </c>
      <c r="V435" s="337">
        <f>Summary!H10</f>
        <v>1676617026.5528002</v>
      </c>
      <c r="W435" s="337">
        <f>Summary!I10</f>
        <v>1596674909.6966147</v>
      </c>
      <c r="X435" s="337">
        <f>X433-X434</f>
        <v>1602129952.870208</v>
      </c>
      <c r="Y435" s="337">
        <f>Y433-Y434</f>
        <v>1595847098.5540285</v>
      </c>
    </row>
    <row r="436" spans="15:27" x14ac:dyDescent="0.25">
      <c r="O436" s="445"/>
      <c r="P436" s="446"/>
      <c r="Q436" s="446"/>
      <c r="R436" s="446"/>
      <c r="S436" s="446"/>
      <c r="T436" s="446"/>
      <c r="U436" s="446"/>
      <c r="V436" s="446"/>
      <c r="W436" s="446"/>
      <c r="X436" s="446"/>
      <c r="Y436" s="447"/>
    </row>
    <row r="437" spans="15:27" x14ac:dyDescent="0.25">
      <c r="O437" s="445" t="s">
        <v>226</v>
      </c>
      <c r="P437" s="446"/>
      <c r="Q437" s="446"/>
      <c r="R437" s="446"/>
      <c r="S437" s="446"/>
      <c r="T437" s="446"/>
      <c r="U437" s="446"/>
      <c r="V437" s="446"/>
      <c r="W437" s="446"/>
      <c r="X437" s="446"/>
      <c r="Y437" s="447"/>
    </row>
    <row r="438" spans="15:27" x14ac:dyDescent="0.25">
      <c r="O438" s="445" t="str">
        <f>Summary!A15</f>
        <v xml:space="preserve">Residential </v>
      </c>
      <c r="P438" s="446"/>
      <c r="Q438" s="446"/>
      <c r="R438" s="446"/>
      <c r="S438" s="446"/>
      <c r="T438" s="446"/>
      <c r="U438" s="446"/>
      <c r="V438" s="446"/>
      <c r="W438" s="446"/>
      <c r="X438" s="446"/>
      <c r="Y438" s="447"/>
    </row>
    <row r="439" spans="15:27" x14ac:dyDescent="0.25">
      <c r="O439" s="318" t="s">
        <v>51</v>
      </c>
      <c r="P439" s="333">
        <f>Summary!B16</f>
        <v>53053.824999999997</v>
      </c>
      <c r="Q439" s="333">
        <f>Summary!C16</f>
        <v>54019.096548117159</v>
      </c>
      <c r="R439" s="333">
        <f>Summary!D16</f>
        <v>54633.271548117154</v>
      </c>
      <c r="S439" s="333">
        <f>Summary!E16</f>
        <v>55069.766666666663</v>
      </c>
      <c r="T439" s="333">
        <f>Summary!F16</f>
        <v>55463.033333333333</v>
      </c>
      <c r="U439" s="333">
        <f>Summary!G16</f>
        <v>55921.837967914442</v>
      </c>
      <c r="V439" s="333">
        <f>Summary!H16</f>
        <v>56560.571301247772</v>
      </c>
      <c r="W439" s="333">
        <f>Summary!I16</f>
        <v>57271.5</v>
      </c>
      <c r="X439" s="333">
        <f>Summary!J16</f>
        <v>57970.103375516119</v>
      </c>
      <c r="Y439" s="333">
        <f>Summary!K16</f>
        <v>58677.228383541995</v>
      </c>
    </row>
    <row r="440" spans="15:27" x14ac:dyDescent="0.25">
      <c r="O440" s="325" t="s">
        <v>52</v>
      </c>
      <c r="P440" s="333">
        <f>Summary!B17</f>
        <v>476486462.39498103</v>
      </c>
      <c r="Q440" s="333">
        <f>Summary!C17</f>
        <v>478456723.38740706</v>
      </c>
      <c r="R440" s="333">
        <f>Summary!D17</f>
        <v>479247117.86883599</v>
      </c>
      <c r="S440" s="333">
        <f>Summary!E17</f>
        <v>464848342.57999998</v>
      </c>
      <c r="T440" s="333">
        <f>Summary!F17</f>
        <v>477025968.10000002</v>
      </c>
      <c r="U440" s="333">
        <f>Summary!G17</f>
        <v>486541295.97806096</v>
      </c>
      <c r="V440" s="333">
        <f>Summary!H17</f>
        <v>479944151.9611001</v>
      </c>
      <c r="W440" s="333">
        <f>Summary!I17</f>
        <v>453855074.99999994</v>
      </c>
      <c r="X440" s="333">
        <f>Summary!J17</f>
        <v>462090269.53014374</v>
      </c>
      <c r="Y440" s="333">
        <f>Summary!K17</f>
        <v>461453715.88431841</v>
      </c>
    </row>
    <row r="441" spans="15:27" x14ac:dyDescent="0.25">
      <c r="O441" s="445"/>
      <c r="P441" s="446"/>
      <c r="Q441" s="446"/>
      <c r="R441" s="446"/>
      <c r="S441" s="446"/>
      <c r="T441" s="446"/>
      <c r="U441" s="446"/>
      <c r="V441" s="446"/>
      <c r="W441" s="446"/>
      <c r="X441" s="446"/>
      <c r="Y441" s="447"/>
      <c r="Z441" s="150"/>
      <c r="AA441" s="150"/>
    </row>
    <row r="442" spans="15:27" x14ac:dyDescent="0.25">
      <c r="O442" s="445" t="str">
        <f>Summary!A19</f>
        <v>General Service &lt; 50 kW</v>
      </c>
      <c r="P442" s="446"/>
      <c r="Q442" s="446"/>
      <c r="R442" s="446"/>
      <c r="S442" s="446"/>
      <c r="T442" s="446"/>
      <c r="U442" s="446"/>
      <c r="V442" s="446"/>
      <c r="W442" s="446"/>
      <c r="X442" s="446"/>
      <c r="Y442" s="447"/>
      <c r="Z442" s="150"/>
      <c r="AA442" s="150"/>
    </row>
    <row r="443" spans="15:27" x14ac:dyDescent="0.25">
      <c r="O443" s="318" t="s">
        <v>51</v>
      </c>
      <c r="P443" s="333">
        <f>Summary!B20</f>
        <v>5893.3649999999998</v>
      </c>
      <c r="Q443" s="333">
        <f>Summary!C20</f>
        <v>5932.2793346659046</v>
      </c>
      <c r="R443" s="333">
        <f>Summary!D20</f>
        <v>5980.4143346659048</v>
      </c>
      <c r="S443" s="333">
        <f>Summary!E20</f>
        <v>6004.383517763541</v>
      </c>
      <c r="T443" s="333">
        <f>Summary!F20</f>
        <v>6056.767035527082</v>
      </c>
      <c r="U443" s="333">
        <f>Summary!G20</f>
        <v>6149.0998196068595</v>
      </c>
      <c r="V443" s="333">
        <f>Summary!H20</f>
        <v>6240.7163018433184</v>
      </c>
      <c r="W443" s="333">
        <f>Summary!I20</f>
        <v>6297.5</v>
      </c>
      <c r="X443" s="333">
        <f>Summary!J20</f>
        <v>6373.6893471967605</v>
      </c>
      <c r="Y443" s="333">
        <f>Summary!K20</f>
        <v>6450.8004596378669</v>
      </c>
    </row>
    <row r="444" spans="15:27" x14ac:dyDescent="0.25">
      <c r="O444" s="325" t="s">
        <v>52</v>
      </c>
      <c r="P444" s="333">
        <f>Summary!B21</f>
        <v>199237830.35864899</v>
      </c>
      <c r="Q444" s="333">
        <f>Summary!C21</f>
        <v>194492494.32360297</v>
      </c>
      <c r="R444" s="333">
        <f>Summary!D21</f>
        <v>194297828.73600498</v>
      </c>
      <c r="S444" s="333">
        <f>Summary!E21</f>
        <v>193717266.88</v>
      </c>
      <c r="T444" s="333">
        <f>Summary!F21</f>
        <v>198149244.67199999</v>
      </c>
      <c r="U444" s="333">
        <f>Summary!G21</f>
        <v>203100575.02300143</v>
      </c>
      <c r="V444" s="333">
        <f>Summary!H21</f>
        <v>212807518.98150003</v>
      </c>
      <c r="W444" s="333">
        <f>Summary!I21</f>
        <v>189005847.53</v>
      </c>
      <c r="X444" s="333">
        <f>Summary!J21</f>
        <v>190021845.86862719</v>
      </c>
      <c r="Y444" s="333">
        <f>Summary!K21</f>
        <v>193967011.30428866</v>
      </c>
    </row>
    <row r="445" spans="15:27" x14ac:dyDescent="0.25">
      <c r="O445" s="445"/>
      <c r="P445" s="446"/>
      <c r="Q445" s="446"/>
      <c r="R445" s="446"/>
      <c r="S445" s="446"/>
      <c r="T445" s="446"/>
      <c r="U445" s="446"/>
      <c r="V445" s="446"/>
      <c r="W445" s="446"/>
      <c r="X445" s="446"/>
      <c r="Y445" s="447"/>
    </row>
    <row r="446" spans="15:27" x14ac:dyDescent="0.25">
      <c r="O446" s="445" t="str">
        <f>Summary!A23</f>
        <v>General Service &gt; 50 to 999 kW</v>
      </c>
      <c r="P446" s="446"/>
      <c r="Q446" s="446"/>
      <c r="R446" s="446"/>
      <c r="S446" s="446"/>
      <c r="T446" s="446"/>
      <c r="U446" s="446"/>
      <c r="V446" s="446"/>
      <c r="W446" s="446"/>
      <c r="X446" s="446"/>
      <c r="Y446" s="447"/>
    </row>
    <row r="447" spans="15:27" x14ac:dyDescent="0.25">
      <c r="O447" s="318" t="s">
        <v>51</v>
      </c>
      <c r="P447" s="333">
        <f>Summary!B24</f>
        <v>802.59165000000007</v>
      </c>
      <c r="Q447" s="333">
        <f>Summary!C24</f>
        <v>822.44998333333342</v>
      </c>
      <c r="R447" s="333">
        <f>Summary!D24</f>
        <v>838.98333333333335</v>
      </c>
      <c r="S447" s="333">
        <f>Summary!E24</f>
        <v>840.00026063386156</v>
      </c>
      <c r="T447" s="333">
        <f>Summary!F24</f>
        <v>825.00052126772312</v>
      </c>
      <c r="U447" s="333">
        <f>Summary!G24</f>
        <v>807.93707304671102</v>
      </c>
      <c r="V447" s="333">
        <f>Summary!H24</f>
        <v>805.93681241284958</v>
      </c>
      <c r="W447" s="333">
        <f>Summary!I24</f>
        <v>796</v>
      </c>
      <c r="X447" s="333">
        <f>Summary!J24</f>
        <v>798.19667260588278</v>
      </c>
      <c r="Y447" s="333">
        <f>Summary!K24</f>
        <v>800.39940723505379</v>
      </c>
    </row>
    <row r="448" spans="15:27" x14ac:dyDescent="0.25">
      <c r="O448" s="325" t="s">
        <v>52</v>
      </c>
      <c r="P448" s="333">
        <f>Summary!B25</f>
        <v>486523861.41307795</v>
      </c>
      <c r="Q448" s="333">
        <f>Summary!C25</f>
        <v>500487577.54214203</v>
      </c>
      <c r="R448" s="333">
        <f>Summary!D25</f>
        <v>501135344.831294</v>
      </c>
      <c r="S448" s="333">
        <f>Summary!E25</f>
        <v>518348767.14387101</v>
      </c>
      <c r="T448" s="333">
        <f>Summary!F25</f>
        <v>494277241.77838707</v>
      </c>
      <c r="U448" s="333">
        <f>Summary!G25</f>
        <v>485904145.62462068</v>
      </c>
      <c r="V448" s="333">
        <f>Summary!H25</f>
        <v>484199963.40020001</v>
      </c>
      <c r="W448" s="333">
        <f>Summary!I25</f>
        <v>487037521.93633008</v>
      </c>
      <c r="X448" s="333">
        <f>Summary!J25</f>
        <v>492875293.95718992</v>
      </c>
      <c r="Y448" s="333">
        <f>Summary!K25</f>
        <v>491288356.1165024</v>
      </c>
    </row>
    <row r="449" spans="15:25" x14ac:dyDescent="0.25">
      <c r="O449" s="325" t="s">
        <v>53</v>
      </c>
      <c r="P449" s="333">
        <f>Summary!B26</f>
        <v>1535991.72820355</v>
      </c>
      <c r="Q449" s="333">
        <f>Summary!C26</f>
        <v>1559457.9765679198</v>
      </c>
      <c r="R449" s="333">
        <f>Summary!D26</f>
        <v>1578630.36979942</v>
      </c>
      <c r="S449" s="333">
        <f>Summary!E26</f>
        <v>1568192.8160256497</v>
      </c>
      <c r="T449" s="333">
        <f>Summary!F26</f>
        <v>1605303.1854654762</v>
      </c>
      <c r="U449" s="333">
        <f>Summary!G26</f>
        <v>1555819.3298522707</v>
      </c>
      <c r="V449" s="333">
        <f>Summary!H26</f>
        <v>1564560.6600000001</v>
      </c>
      <c r="W449" s="333">
        <f>Summary!I26</f>
        <v>1518753.3299999998</v>
      </c>
      <c r="X449" s="333">
        <f>Summary!J26</f>
        <v>1555494.9738878242</v>
      </c>
      <c r="Y449" s="333">
        <f>Summary!K26</f>
        <v>1550486.6606992225</v>
      </c>
    </row>
    <row r="450" spans="15:25" x14ac:dyDescent="0.25">
      <c r="O450" s="445"/>
      <c r="P450" s="446"/>
      <c r="Q450" s="446"/>
      <c r="R450" s="446"/>
      <c r="S450" s="446"/>
      <c r="T450" s="446"/>
      <c r="U450" s="446"/>
      <c r="V450" s="446"/>
      <c r="W450" s="446"/>
      <c r="X450" s="446"/>
      <c r="Y450" s="447"/>
    </row>
    <row r="451" spans="15:25" x14ac:dyDescent="0.25">
      <c r="O451" s="445" t="str">
        <f>Summary!A28</f>
        <v>General Service &gt; 1000 to 4999 kW</v>
      </c>
      <c r="P451" s="446"/>
      <c r="Q451" s="446"/>
      <c r="R451" s="446"/>
      <c r="S451" s="446"/>
      <c r="T451" s="446"/>
      <c r="U451" s="446"/>
      <c r="V451" s="446"/>
      <c r="W451" s="446"/>
      <c r="X451" s="446"/>
      <c r="Y451" s="447"/>
    </row>
    <row r="452" spans="15:25" x14ac:dyDescent="0.25">
      <c r="O452" s="318" t="s">
        <v>51</v>
      </c>
      <c r="P452" s="333">
        <f>Summary!B29</f>
        <v>31</v>
      </c>
      <c r="Q452" s="333">
        <f>Summary!C29</f>
        <v>33</v>
      </c>
      <c r="R452" s="333">
        <f>Summary!D29</f>
        <v>32</v>
      </c>
      <c r="S452" s="333">
        <f>Summary!E29</f>
        <v>29.5</v>
      </c>
      <c r="T452" s="333">
        <f>Summary!F29</f>
        <v>29</v>
      </c>
      <c r="U452" s="333">
        <f>Summary!G29</f>
        <v>29</v>
      </c>
      <c r="V452" s="333">
        <f>Summary!H29</f>
        <v>28.5</v>
      </c>
      <c r="W452" s="333">
        <f>Summary!I29</f>
        <v>28</v>
      </c>
      <c r="X452" s="333">
        <f>Summary!J29</f>
        <v>27.493472574956247</v>
      </c>
      <c r="Y452" s="333">
        <f>Summary!K29</f>
        <v>26.996108365352548</v>
      </c>
    </row>
    <row r="453" spans="15:25" x14ac:dyDescent="0.25">
      <c r="O453" s="325" t="s">
        <v>52</v>
      </c>
      <c r="P453" s="333">
        <f>Summary!B30</f>
        <v>250459340.058624</v>
      </c>
      <c r="Q453" s="333">
        <f>Summary!C30</f>
        <v>269851932.18712997</v>
      </c>
      <c r="R453" s="333">
        <f>Summary!D30</f>
        <v>256008218.77028799</v>
      </c>
      <c r="S453" s="333">
        <f>Summary!E30</f>
        <v>270280542.79000002</v>
      </c>
      <c r="T453" s="333">
        <f>Summary!F30</f>
        <v>263042175.85000002</v>
      </c>
      <c r="U453" s="333">
        <f>Summary!G30</f>
        <v>263255329.52904668</v>
      </c>
      <c r="V453" s="333">
        <f>Summary!H30</f>
        <v>261804628.41999996</v>
      </c>
      <c r="W453" s="333">
        <f>Summary!I30</f>
        <v>241351905.12511182</v>
      </c>
      <c r="X453" s="333">
        <f>Summary!J30</f>
        <v>235543174.07176879</v>
      </c>
      <c r="Y453" s="333">
        <f>Summary!K30</f>
        <v>229378990.2350671</v>
      </c>
    </row>
    <row r="454" spans="15:25" x14ac:dyDescent="0.25">
      <c r="O454" s="325" t="s">
        <v>53</v>
      </c>
      <c r="P454" s="333">
        <f>Summary!B31</f>
        <v>646503.53520000004</v>
      </c>
      <c r="Q454" s="333">
        <f>Summary!C31</f>
        <v>659131.46674197295</v>
      </c>
      <c r="R454" s="333">
        <f>Summary!D31</f>
        <v>606301.92947526893</v>
      </c>
      <c r="S454" s="333">
        <f>Summary!E31</f>
        <v>586434.7699999999</v>
      </c>
      <c r="T454" s="333">
        <f>Summary!F31</f>
        <v>581849.28</v>
      </c>
      <c r="U454" s="333">
        <f>Summary!G31</f>
        <v>581152.97</v>
      </c>
      <c r="V454" s="333">
        <f>Summary!H31</f>
        <v>631904.10997964221</v>
      </c>
      <c r="W454" s="333">
        <f>Summary!I31</f>
        <v>574484.46259129199</v>
      </c>
      <c r="X454" s="333">
        <f>Summary!J31</f>
        <v>552800.52702529693</v>
      </c>
      <c r="Y454" s="333">
        <f>Summary!K31</f>
        <v>538333.692709091</v>
      </c>
    </row>
    <row r="455" spans="15:25" x14ac:dyDescent="0.25">
      <c r="O455" s="445"/>
      <c r="P455" s="446"/>
      <c r="Q455" s="446"/>
      <c r="R455" s="446"/>
      <c r="S455" s="446"/>
      <c r="T455" s="446"/>
      <c r="U455" s="446"/>
      <c r="V455" s="446"/>
      <c r="W455" s="446"/>
      <c r="X455" s="446"/>
      <c r="Y455" s="447"/>
    </row>
    <row r="456" spans="15:25" x14ac:dyDescent="0.25">
      <c r="O456" s="445" t="str">
        <f>Summary!A33</f>
        <v>Large User</v>
      </c>
      <c r="P456" s="446"/>
      <c r="Q456" s="446"/>
      <c r="R456" s="446"/>
      <c r="S456" s="446"/>
      <c r="T456" s="446"/>
      <c r="U456" s="446"/>
      <c r="V456" s="446"/>
      <c r="W456" s="446"/>
      <c r="X456" s="446"/>
      <c r="Y456" s="447"/>
    </row>
    <row r="457" spans="15:25" x14ac:dyDescent="0.25">
      <c r="O457" s="318" t="s">
        <v>51</v>
      </c>
      <c r="P457" s="333">
        <f>Summary!B34</f>
        <v>2</v>
      </c>
      <c r="Q457" s="333">
        <f>Summary!C34</f>
        <v>2</v>
      </c>
      <c r="R457" s="333">
        <f>Summary!D34</f>
        <v>2</v>
      </c>
      <c r="S457" s="333">
        <f>Summary!E34</f>
        <v>2.5</v>
      </c>
      <c r="T457" s="333">
        <f>Summary!F34</f>
        <v>2.5</v>
      </c>
      <c r="U457" s="333">
        <f>Summary!G34</f>
        <v>2</v>
      </c>
      <c r="V457" s="333">
        <f>Summary!H34</f>
        <v>2</v>
      </c>
      <c r="W457" s="333">
        <f>Summary!I34</f>
        <v>2</v>
      </c>
      <c r="X457" s="333">
        <f>Summary!J34</f>
        <v>2</v>
      </c>
      <c r="Y457" s="333">
        <f>Summary!K34</f>
        <v>2</v>
      </c>
    </row>
    <row r="458" spans="15:25" x14ac:dyDescent="0.25">
      <c r="O458" s="325" t="s">
        <v>52</v>
      </c>
      <c r="P458" s="333">
        <f>Summary!B35</f>
        <v>196557280.622706</v>
      </c>
      <c r="Q458" s="333">
        <f>Summary!C35</f>
        <v>169195800.19187</v>
      </c>
      <c r="R458" s="333">
        <f>Summary!D35</f>
        <v>201189505.21250001</v>
      </c>
      <c r="S458" s="333">
        <f>Summary!E35</f>
        <v>204906256.95999998</v>
      </c>
      <c r="T458" s="333">
        <f>Summary!F35</f>
        <v>205265394.56999999</v>
      </c>
      <c r="U458" s="333">
        <f>Summary!G35</f>
        <v>207374361.59</v>
      </c>
      <c r="V458" s="333">
        <f>Summary!H35</f>
        <v>151250311.81999996</v>
      </c>
      <c r="W458" s="333">
        <f>Summary!I35</f>
        <v>146226388.16</v>
      </c>
      <c r="X458" s="333">
        <f>Summary!J35</f>
        <v>145628457.4468382</v>
      </c>
      <c r="Y458" s="333">
        <f>Summary!K35</f>
        <v>145141006.46077192</v>
      </c>
    </row>
    <row r="459" spans="15:25" x14ac:dyDescent="0.25">
      <c r="O459" s="325" t="s">
        <v>53</v>
      </c>
      <c r="P459" s="333">
        <f>Summary!B36</f>
        <v>421436.3223</v>
      </c>
      <c r="Q459" s="333">
        <f>Summary!C36</f>
        <v>431698.8584427</v>
      </c>
      <c r="R459" s="333">
        <f>Summary!D36</f>
        <v>483777.43670654303</v>
      </c>
      <c r="S459" s="333">
        <f>Summary!E36</f>
        <v>425911.83</v>
      </c>
      <c r="T459" s="333">
        <f>Summary!F36</f>
        <v>457866.89653992082</v>
      </c>
      <c r="U459" s="333">
        <f>Summary!G36</f>
        <v>430086.51000000007</v>
      </c>
      <c r="V459" s="333">
        <f>Summary!H36</f>
        <v>358566.19</v>
      </c>
      <c r="W459" s="333">
        <f>Summary!I36</f>
        <v>348189.01999999996</v>
      </c>
      <c r="X459" s="333">
        <f>Summary!J36</f>
        <v>331944.32251332153</v>
      </c>
      <c r="Y459" s="333">
        <f>Summary!K36</f>
        <v>361276.31069675618</v>
      </c>
    </row>
    <row r="460" spans="15:25" x14ac:dyDescent="0.25">
      <c r="O460" s="445"/>
      <c r="P460" s="446"/>
      <c r="Q460" s="446"/>
      <c r="R460" s="446"/>
      <c r="S460" s="446"/>
      <c r="T460" s="446"/>
      <c r="U460" s="446"/>
      <c r="V460" s="446"/>
      <c r="W460" s="446"/>
      <c r="X460" s="446"/>
      <c r="Y460" s="447"/>
    </row>
    <row r="461" spans="15:25" x14ac:dyDescent="0.25">
      <c r="O461" s="445" t="str">
        <f>Summary!A38</f>
        <v>Direct Market Participant</v>
      </c>
      <c r="P461" s="446"/>
      <c r="Q461" s="446"/>
      <c r="R461" s="446"/>
      <c r="S461" s="446"/>
      <c r="T461" s="446"/>
      <c r="U461" s="446"/>
      <c r="V461" s="446"/>
      <c r="W461" s="446"/>
      <c r="X461" s="446"/>
      <c r="Y461" s="447"/>
    </row>
    <row r="462" spans="15:25" x14ac:dyDescent="0.25">
      <c r="O462" s="391" t="str">
        <f>Summary!A39</f>
        <v xml:space="preserve">  Customers</v>
      </c>
      <c r="P462" s="333">
        <f>Summary!B39</f>
        <v>4</v>
      </c>
      <c r="Q462" s="333">
        <f>Summary!C39</f>
        <v>4</v>
      </c>
      <c r="R462" s="333">
        <f>Summary!D39</f>
        <v>4</v>
      </c>
      <c r="S462" s="333">
        <f>Summary!E39</f>
        <v>4</v>
      </c>
      <c r="T462" s="333">
        <f>Summary!F39</f>
        <v>4</v>
      </c>
      <c r="U462" s="333">
        <f>Summary!G39</f>
        <v>4</v>
      </c>
      <c r="V462" s="333">
        <f>Summary!H39</f>
        <v>4</v>
      </c>
      <c r="W462" s="333">
        <f>Summary!I39</f>
        <v>4</v>
      </c>
      <c r="X462" s="333">
        <f>Summary!J39</f>
        <v>4</v>
      </c>
      <c r="Y462" s="333">
        <f>Summary!K39</f>
        <v>4</v>
      </c>
    </row>
    <row r="463" spans="15:25" x14ac:dyDescent="0.25">
      <c r="O463" s="391" t="str">
        <f>Summary!A40</f>
        <v xml:space="preserve">  kW</v>
      </c>
      <c r="P463" s="333">
        <f>Summary!B40</f>
        <v>75928.2</v>
      </c>
      <c r="Q463" s="333">
        <f>Summary!C40</f>
        <v>81847.960000000006</v>
      </c>
      <c r="R463" s="333">
        <f>Summary!D40</f>
        <v>81650.759999999995</v>
      </c>
      <c r="S463" s="333">
        <f>Summary!E40</f>
        <v>73573.420000000013</v>
      </c>
      <c r="T463" s="333">
        <f>Summary!F40</f>
        <v>69660.58</v>
      </c>
      <c r="U463" s="333">
        <f>Summary!G40</f>
        <v>69115.460000000006</v>
      </c>
      <c r="V463" s="333">
        <f>Summary!H40</f>
        <v>70836.33</v>
      </c>
      <c r="W463" s="333">
        <f>Summary!I40</f>
        <v>67941.700000000012</v>
      </c>
      <c r="X463" s="333">
        <f>Summary!J40</f>
        <v>67941.700000000012</v>
      </c>
      <c r="Y463" s="333">
        <f>Summary!K40</f>
        <v>67941.700000000012</v>
      </c>
    </row>
    <row r="464" spans="15:25" s="150" customFormat="1" x14ac:dyDescent="0.25"/>
    <row r="465" spans="15:25" ht="30" customHeight="1" x14ac:dyDescent="0.25">
      <c r="O465" s="417"/>
      <c r="P465" s="417" t="s">
        <v>73</v>
      </c>
      <c r="Q465" s="417" t="s">
        <v>72</v>
      </c>
      <c r="R465" s="417" t="s">
        <v>71</v>
      </c>
      <c r="S465" s="417" t="s">
        <v>173</v>
      </c>
      <c r="T465" s="417" t="s">
        <v>174</v>
      </c>
      <c r="U465" s="417" t="s">
        <v>175</v>
      </c>
      <c r="V465" s="417" t="s">
        <v>176</v>
      </c>
      <c r="W465" s="417" t="s">
        <v>266</v>
      </c>
      <c r="X465" s="417" t="s">
        <v>177</v>
      </c>
      <c r="Y465" s="417" t="s">
        <v>178</v>
      </c>
    </row>
    <row r="466" spans="15:25" x14ac:dyDescent="0.25">
      <c r="O466" s="445" t="str">
        <f>Summary!A42</f>
        <v>Street Lights</v>
      </c>
      <c r="P466" s="446"/>
      <c r="Q466" s="446"/>
      <c r="R466" s="446"/>
      <c r="S466" s="446"/>
      <c r="T466" s="446"/>
      <c r="U466" s="446"/>
      <c r="V466" s="446"/>
      <c r="W466" s="446"/>
      <c r="X466" s="446"/>
      <c r="Y466" s="447"/>
    </row>
    <row r="467" spans="15:25" x14ac:dyDescent="0.25">
      <c r="O467" s="391" t="str">
        <f>Summary!A43</f>
        <v xml:space="preserve">  Connections</v>
      </c>
      <c r="P467" s="333">
        <f>Summary!B43</f>
        <v>15198.5</v>
      </c>
      <c r="Q467" s="333">
        <f>Summary!C43</f>
        <v>15263.5</v>
      </c>
      <c r="R467" s="333">
        <f>Summary!D43</f>
        <v>15362</v>
      </c>
      <c r="S467" s="333">
        <f>Summary!E43</f>
        <v>15453.073785272187</v>
      </c>
      <c r="T467" s="333">
        <f>Summary!F43</f>
        <v>15512.073785272187</v>
      </c>
      <c r="U467" s="333">
        <f>Summary!G43</f>
        <v>15538.5</v>
      </c>
      <c r="V467" s="333">
        <f>Summary!H43</f>
        <v>15726</v>
      </c>
      <c r="W467" s="333">
        <f>Summary!I43</f>
        <v>16024</v>
      </c>
      <c r="X467" s="333">
        <f>Summary!J43</f>
        <v>16141.350826567697</v>
      </c>
      <c r="Y467" s="333">
        <f>Summary!K43</f>
        <v>16259.561065048532</v>
      </c>
    </row>
    <row r="468" spans="15:25" x14ac:dyDescent="0.25">
      <c r="O468" s="391" t="str">
        <f>Summary!A44</f>
        <v xml:space="preserve">  kWh</v>
      </c>
      <c r="P468" s="333">
        <f>Summary!B44</f>
        <v>11228686.4925451</v>
      </c>
      <c r="Q468" s="333">
        <f>Summary!C44</f>
        <v>11229392.51389375</v>
      </c>
      <c r="R468" s="333">
        <f>Summary!D44</f>
        <v>11359958.941223141</v>
      </c>
      <c r="S468" s="333">
        <f>Summary!E44</f>
        <v>11262943.219999999</v>
      </c>
      <c r="T468" s="333">
        <f>Summary!F44</f>
        <v>11406115.66</v>
      </c>
      <c r="U468" s="333">
        <f>Summary!G44</f>
        <v>11394265.718750002</v>
      </c>
      <c r="V468" s="333">
        <f>Summary!H44</f>
        <v>11108606.15000003</v>
      </c>
      <c r="W468" s="333">
        <f>Summary!I44</f>
        <v>8378434.2200000007</v>
      </c>
      <c r="X468" s="333">
        <f>Summary!J44</f>
        <v>5151174.2704671035</v>
      </c>
      <c r="Y468" s="333">
        <f>Summary!K44</f>
        <v>3798280.8279070696</v>
      </c>
    </row>
    <row r="469" spans="15:25" x14ac:dyDescent="0.25">
      <c r="O469" s="391" t="str">
        <f>Summary!A45</f>
        <v xml:space="preserve">  kW</v>
      </c>
      <c r="P469" s="333">
        <f>Summary!B45</f>
        <v>31414.760000000002</v>
      </c>
      <c r="Q469" s="333">
        <f>Summary!C45</f>
        <v>31402.7772498757</v>
      </c>
      <c r="R469" s="333">
        <f>Summary!D45</f>
        <v>31676.619901697199</v>
      </c>
      <c r="S469" s="333">
        <f>Summary!E45</f>
        <v>31771.761757714674</v>
      </c>
      <c r="T469" s="333">
        <f>Summary!F45</f>
        <v>31886.136091179094</v>
      </c>
      <c r="U469" s="333">
        <f>Summary!G45</f>
        <v>31872.978670269313</v>
      </c>
      <c r="V469" s="333">
        <f>Summary!H45</f>
        <v>31300.14</v>
      </c>
      <c r="W469" s="333">
        <f>Summary!I45</f>
        <v>24144.04</v>
      </c>
      <c r="X469" s="333">
        <f>Summary!J45</f>
        <v>14844.081169277064</v>
      </c>
      <c r="Y469" s="333">
        <f>Summary!K45</f>
        <v>10945.463296866632</v>
      </c>
    </row>
    <row r="470" spans="15:25" x14ac:dyDescent="0.25">
      <c r="O470" s="445"/>
      <c r="P470" s="446">
        <v>113910.59999999999</v>
      </c>
      <c r="Q470" s="446">
        <v>96048.524183723959</v>
      </c>
      <c r="R470" s="446">
        <v>111193.80000000002</v>
      </c>
      <c r="S470" s="446">
        <v>110634.70000000001</v>
      </c>
      <c r="T470" s="446">
        <v>115370.49999999999</v>
      </c>
      <c r="U470" s="446">
        <v>105467.49</v>
      </c>
      <c r="V470" s="446">
        <v>100002.37884363059</v>
      </c>
      <c r="W470" s="446">
        <v>96786.246525642244</v>
      </c>
      <c r="X470" s="446"/>
      <c r="Y470" s="447"/>
    </row>
    <row r="471" spans="15:25" x14ac:dyDescent="0.25">
      <c r="O471" s="445" t="str">
        <f>Summary!A47</f>
        <v>Sentinel Lights</v>
      </c>
      <c r="P471" s="446"/>
      <c r="Q471" s="446"/>
      <c r="R471" s="446"/>
      <c r="S471" s="446"/>
      <c r="T471" s="446"/>
      <c r="U471" s="446"/>
      <c r="V471" s="446"/>
      <c r="W471" s="446"/>
      <c r="X471" s="446"/>
      <c r="Y471" s="447"/>
    </row>
    <row r="472" spans="15:25" x14ac:dyDescent="0.25">
      <c r="O472" s="391" t="str">
        <f>Summary!A48</f>
        <v xml:space="preserve">  Connections</v>
      </c>
      <c r="P472" s="333">
        <f>Summary!B48</f>
        <v>219.19</v>
      </c>
      <c r="Q472" s="333">
        <f>Summary!C48</f>
        <v>189.12055555555554</v>
      </c>
      <c r="R472" s="333">
        <f>Summary!D48</f>
        <v>176.89706230751005</v>
      </c>
      <c r="S472" s="333">
        <f>Summary!E48</f>
        <v>190.6022269604359</v>
      </c>
      <c r="T472" s="333">
        <f>Summary!F48</f>
        <v>188.52144041696278</v>
      </c>
      <c r="U472" s="333">
        <f>Summary!G48</f>
        <v>188.78204217010187</v>
      </c>
      <c r="V472" s="333">
        <f>Summary!H48</f>
        <v>181.02132196162046</v>
      </c>
      <c r="W472" s="333">
        <f>Summary!I48</f>
        <v>168</v>
      </c>
      <c r="X472" s="333">
        <f>Summary!J48</f>
        <v>168</v>
      </c>
      <c r="Y472" s="333">
        <f>Summary!K48</f>
        <v>168</v>
      </c>
    </row>
    <row r="473" spans="15:25" x14ac:dyDescent="0.25">
      <c r="O473" s="391" t="str">
        <f>Summary!A49</f>
        <v xml:space="preserve">  kWh</v>
      </c>
      <c r="P473" s="333">
        <f>Summary!B49</f>
        <v>175284.4</v>
      </c>
      <c r="Q473" s="333">
        <f>Summary!C49</f>
        <v>164006.01</v>
      </c>
      <c r="R473" s="333">
        <f>Summary!D49</f>
        <v>178406.38999999998</v>
      </c>
      <c r="S473" s="333">
        <f>Summary!E49</f>
        <v>152803.15</v>
      </c>
      <c r="T473" s="333">
        <f>Summary!F49</f>
        <v>146515.24000000002</v>
      </c>
      <c r="U473" s="333">
        <f>Summary!G49</f>
        <v>142708.41887585534</v>
      </c>
      <c r="V473" s="333">
        <f>Summary!H49</f>
        <v>136701.00000000009</v>
      </c>
      <c r="W473" s="333">
        <f>Summary!I49</f>
        <v>126989</v>
      </c>
      <c r="X473" s="333">
        <f>Summary!J49</f>
        <v>126989.00000000001</v>
      </c>
      <c r="Y473" s="333">
        <f>Summary!K49</f>
        <v>126989.00000000001</v>
      </c>
    </row>
    <row r="474" spans="15:25" x14ac:dyDescent="0.25">
      <c r="O474" s="391" t="str">
        <f>Summary!A50</f>
        <v xml:space="preserve">  kW</v>
      </c>
      <c r="P474" s="333">
        <f>Summary!B50</f>
        <v>486.90111111111116</v>
      </c>
      <c r="Q474" s="333">
        <f>Summary!C50</f>
        <v>228.22855967333334</v>
      </c>
      <c r="R474" s="333">
        <f>Summary!D50</f>
        <v>311.12235571111108</v>
      </c>
      <c r="S474" s="333">
        <f>Summary!E50</f>
        <v>306.93329242222217</v>
      </c>
      <c r="T474" s="333">
        <f>Summary!F50</f>
        <v>292.76845053333329</v>
      </c>
      <c r="U474" s="333">
        <f>Summary!G50</f>
        <v>288.48305517777777</v>
      </c>
      <c r="V474" s="333">
        <f>Summary!H50</f>
        <v>416.63902725875835</v>
      </c>
      <c r="W474" s="333">
        <f>Summary!I50</f>
        <v>342.92000000000007</v>
      </c>
      <c r="X474" s="333">
        <f>Summary!J50</f>
        <v>342.92000000000007</v>
      </c>
      <c r="Y474" s="333">
        <f>Summary!K50</f>
        <v>342.92000000000007</v>
      </c>
    </row>
    <row r="475" spans="15:25" x14ac:dyDescent="0.25">
      <c r="O475" s="445"/>
      <c r="P475" s="446"/>
      <c r="Q475" s="446"/>
      <c r="R475" s="446"/>
      <c r="S475" s="446"/>
      <c r="T475" s="446"/>
      <c r="U475" s="446"/>
      <c r="V475" s="446"/>
      <c r="W475" s="446"/>
      <c r="X475" s="446"/>
      <c r="Y475" s="447"/>
    </row>
    <row r="476" spans="15:25" x14ac:dyDescent="0.25">
      <c r="O476" s="445" t="str">
        <f>Summary!A52</f>
        <v xml:space="preserve">Unmetered Loads </v>
      </c>
      <c r="P476" s="446"/>
      <c r="Q476" s="446"/>
      <c r="R476" s="446"/>
      <c r="S476" s="446"/>
      <c r="T476" s="446"/>
      <c r="U476" s="446"/>
      <c r="V476" s="446"/>
      <c r="W476" s="446"/>
      <c r="X476" s="446"/>
      <c r="Y476" s="447"/>
    </row>
    <row r="477" spans="15:25" x14ac:dyDescent="0.25">
      <c r="O477" s="391" t="str">
        <f>Summary!A53</f>
        <v xml:space="preserve">  Connections</v>
      </c>
      <c r="P477" s="333">
        <f>Summary!B53</f>
        <v>588.875</v>
      </c>
      <c r="Q477" s="333">
        <f>Summary!C53</f>
        <v>564.95000000000005</v>
      </c>
      <c r="R477" s="333">
        <f>Summary!D53</f>
        <v>538.45000000000005</v>
      </c>
      <c r="S477" s="333">
        <f>Summary!E53</f>
        <v>534</v>
      </c>
      <c r="T477" s="333">
        <f>Summary!F53</f>
        <v>531</v>
      </c>
      <c r="U477" s="333">
        <f>Summary!G53</f>
        <v>534</v>
      </c>
      <c r="V477" s="333">
        <f>Summary!H53</f>
        <v>523</v>
      </c>
      <c r="W477" s="333">
        <f>Summary!I53</f>
        <v>499</v>
      </c>
      <c r="X477" s="333">
        <f>Summary!J53</f>
        <v>499</v>
      </c>
      <c r="Y477" s="333">
        <f>Summary!K53</f>
        <v>499</v>
      </c>
    </row>
    <row r="478" spans="15:25" x14ac:dyDescent="0.25">
      <c r="O478" s="391" t="str">
        <f>Summary!A54</f>
        <v xml:space="preserve">  kWh</v>
      </c>
      <c r="P478" s="333">
        <f>Summary!B54</f>
        <v>2609944.9105078499</v>
      </c>
      <c r="Q478" s="333">
        <f>Summary!C54</f>
        <v>2512918.5874618399</v>
      </c>
      <c r="R478" s="333">
        <f>Summary!D54</f>
        <v>2457457.59674505</v>
      </c>
      <c r="S478" s="333">
        <f>Summary!E54</f>
        <v>2430644.8189845476</v>
      </c>
      <c r="T478" s="333">
        <f>Summary!F54</f>
        <v>2451441.9548110636</v>
      </c>
      <c r="U478" s="333">
        <f>Summary!G54</f>
        <v>2413613.7725536497</v>
      </c>
      <c r="V478" s="333">
        <f>Summary!H54</f>
        <v>2346837.5999999996</v>
      </c>
      <c r="W478" s="333">
        <f>Summary!I54</f>
        <v>2273987.9970972422</v>
      </c>
      <c r="X478" s="333">
        <f>Summary!J54</f>
        <v>2273987.9970972422</v>
      </c>
      <c r="Y478" s="333">
        <f>Summary!K54</f>
        <v>2273987.9970972422</v>
      </c>
    </row>
    <row r="479" spans="15:25" x14ac:dyDescent="0.25">
      <c r="O479" s="445"/>
      <c r="P479" s="446"/>
      <c r="Q479" s="446"/>
      <c r="R479" s="446"/>
      <c r="S479" s="446"/>
      <c r="T479" s="446"/>
      <c r="U479" s="446"/>
      <c r="V479" s="446"/>
      <c r="W479" s="446"/>
      <c r="X479" s="446"/>
      <c r="Y479" s="447"/>
    </row>
    <row r="480" spans="15:25" x14ac:dyDescent="0.25">
      <c r="O480" s="445" t="str">
        <f>Summary!A56</f>
        <v>Embedded Distributor - Hydro One, CND</v>
      </c>
      <c r="P480" s="446"/>
      <c r="Q480" s="446"/>
      <c r="R480" s="446"/>
      <c r="S480" s="446"/>
      <c r="T480" s="446"/>
      <c r="U480" s="446"/>
      <c r="V480" s="446"/>
      <c r="W480" s="446"/>
      <c r="X480" s="446"/>
      <c r="Y480" s="447"/>
    </row>
    <row r="481" spans="15:25" x14ac:dyDescent="0.25">
      <c r="O481" s="391" t="str">
        <f>Summary!A57</f>
        <v xml:space="preserve">  Customers </v>
      </c>
      <c r="P481" s="333">
        <f>Summary!B57</f>
        <v>2</v>
      </c>
      <c r="Q481" s="333">
        <f>Summary!C57</f>
        <v>2</v>
      </c>
      <c r="R481" s="333">
        <f>Summary!D57</f>
        <v>2</v>
      </c>
      <c r="S481" s="333">
        <f>Summary!E57</f>
        <v>2</v>
      </c>
      <c r="T481" s="333">
        <f>Summary!F57</f>
        <v>2</v>
      </c>
      <c r="U481" s="333">
        <f>Summary!G57</f>
        <v>2</v>
      </c>
      <c r="V481" s="333">
        <f>Summary!H57</f>
        <v>2</v>
      </c>
      <c r="W481" s="333">
        <f>Summary!I57</f>
        <v>2</v>
      </c>
      <c r="X481" s="333">
        <f>Summary!J57</f>
        <v>2</v>
      </c>
      <c r="Y481" s="333">
        <f>Summary!K57</f>
        <v>2</v>
      </c>
    </row>
    <row r="482" spans="15:25" x14ac:dyDescent="0.25">
      <c r="O482" s="391" t="str">
        <f>Summary!A58</f>
        <v xml:space="preserve">  kWh</v>
      </c>
      <c r="P482" s="333">
        <f>Summary!B58</f>
        <v>13614985.1197195</v>
      </c>
      <c r="Q482" s="333">
        <f>Summary!C58</f>
        <v>13478593.7449254</v>
      </c>
      <c r="R482" s="333">
        <f>Summary!D58</f>
        <v>13008528.857421899</v>
      </c>
      <c r="S482" s="333">
        <f>Summary!E58</f>
        <v>13176711.219999999</v>
      </c>
      <c r="T482" s="333">
        <f>Summary!F58</f>
        <v>13845907.199999999</v>
      </c>
      <c r="U482" s="333">
        <f>Summary!G58</f>
        <v>13548202.5</v>
      </c>
      <c r="V482" s="333">
        <f>Summary!H58</f>
        <v>13027612.079999994</v>
      </c>
      <c r="W482" s="333">
        <f>Summary!I58</f>
        <v>12605162.219999999</v>
      </c>
      <c r="X482" s="333">
        <f>Summary!J58</f>
        <v>12605162.219999999</v>
      </c>
      <c r="Y482" s="333">
        <f>Summary!K58</f>
        <v>12605162.219999999</v>
      </c>
    </row>
    <row r="483" spans="15:25" x14ac:dyDescent="0.25">
      <c r="O483" s="309" t="str">
        <f>Summary!A59</f>
        <v xml:space="preserve">  kW</v>
      </c>
      <c r="P483" s="333">
        <f>Summary!B59</f>
        <v>27708.199199999988</v>
      </c>
      <c r="Q483" s="333">
        <f>Summary!C59</f>
        <v>28171.380953131098</v>
      </c>
      <c r="R483" s="333">
        <f>Summary!D59</f>
        <v>29053.063102722197</v>
      </c>
      <c r="S483" s="333">
        <f>Summary!E59</f>
        <v>27808.589999999997</v>
      </c>
      <c r="T483" s="333">
        <f>Summary!F59</f>
        <v>28706.47</v>
      </c>
      <c r="U483" s="333">
        <f>Summary!G59</f>
        <v>28843.22000000003</v>
      </c>
      <c r="V483" s="333">
        <f>Summary!H59</f>
        <v>27465.539999999994</v>
      </c>
      <c r="W483" s="333">
        <f>Summary!I59</f>
        <v>24387.435638304029</v>
      </c>
      <c r="X483" s="333">
        <f>Summary!J59</f>
        <v>24387.435638304029</v>
      </c>
      <c r="Y483" s="333">
        <f>Summary!K59</f>
        <v>24387.435638304029</v>
      </c>
    </row>
    <row r="484" spans="15:25" x14ac:dyDescent="0.25">
      <c r="O484" s="445"/>
      <c r="P484" s="446"/>
      <c r="Q484" s="446"/>
      <c r="R484" s="446"/>
      <c r="S484" s="446"/>
      <c r="T484" s="446"/>
      <c r="U484" s="446"/>
      <c r="V484" s="446"/>
      <c r="W484" s="446"/>
      <c r="X484" s="446"/>
      <c r="Y484" s="447"/>
    </row>
    <row r="485" spans="15:25" x14ac:dyDescent="0.25">
      <c r="O485" s="445" t="str">
        <f>Summary!A61</f>
        <v>Embedded Distributor - Waterloo North, CND</v>
      </c>
      <c r="P485" s="446"/>
      <c r="Q485" s="446"/>
      <c r="R485" s="446"/>
      <c r="S485" s="446"/>
      <c r="T485" s="446"/>
      <c r="U485" s="446"/>
      <c r="V485" s="446"/>
      <c r="W485" s="446"/>
      <c r="X485" s="446"/>
      <c r="Y485" s="447"/>
    </row>
    <row r="486" spans="15:25" x14ac:dyDescent="0.25">
      <c r="O486" s="391" t="str">
        <f>Summary!A62</f>
        <v xml:space="preserve">  Customers </v>
      </c>
      <c r="P486" s="333">
        <f>Summary!B62</f>
        <v>1</v>
      </c>
      <c r="Q486" s="333">
        <f>Summary!C62</f>
        <v>1</v>
      </c>
      <c r="R486" s="333">
        <f>Summary!D62</f>
        <v>1</v>
      </c>
      <c r="S486" s="333">
        <f>Summary!E62</f>
        <v>1</v>
      </c>
      <c r="T486" s="333">
        <f>Summary!F62</f>
        <v>1</v>
      </c>
      <c r="U486" s="333">
        <f>Summary!G62</f>
        <v>1</v>
      </c>
      <c r="V486" s="333">
        <f>Summary!H62</f>
        <v>1</v>
      </c>
      <c r="W486" s="333">
        <f>Summary!I62</f>
        <v>1</v>
      </c>
      <c r="X486" s="333">
        <f>Summary!J62</f>
        <v>1</v>
      </c>
      <c r="Y486" s="333">
        <f>Summary!K62</f>
        <v>1</v>
      </c>
    </row>
    <row r="487" spans="15:25" x14ac:dyDescent="0.25">
      <c r="O487" s="391" t="str">
        <f>Summary!A63</f>
        <v xml:space="preserve">  kWh</v>
      </c>
      <c r="P487" s="333"/>
      <c r="Q487" s="333"/>
      <c r="R487" s="333"/>
      <c r="S487" s="333">
        <f>Summary!E63</f>
        <v>45983609.929999992</v>
      </c>
      <c r="T487" s="333">
        <f>Summary!F63</f>
        <v>58781039.110000007</v>
      </c>
      <c r="U487" s="333">
        <f>Summary!G63</f>
        <v>60363735.780000001</v>
      </c>
      <c r="V487" s="333">
        <f>Summary!H63</f>
        <v>61404043.760000005</v>
      </c>
      <c r="W487" s="333">
        <f>Summary!I63</f>
        <v>58104381.490000002</v>
      </c>
      <c r="X487" s="333">
        <f>Summary!J63</f>
        <v>58104381.490000002</v>
      </c>
      <c r="Y487" s="333">
        <f>Summary!K63</f>
        <v>58104381.490000002</v>
      </c>
    </row>
    <row r="488" spans="15:25" x14ac:dyDescent="0.25">
      <c r="O488" s="391" t="str">
        <f>Summary!A64</f>
        <v xml:space="preserve">  kW</v>
      </c>
      <c r="P488" s="333">
        <f>Summary!B64</f>
        <v>73663.072638679005</v>
      </c>
      <c r="Q488" s="333">
        <f>Summary!C64</f>
        <v>78979.832576877903</v>
      </c>
      <c r="R488" s="333">
        <f>Summary!D64</f>
        <v>70981.983230590806</v>
      </c>
      <c r="S488" s="333">
        <f>Summary!E64</f>
        <v>92129.709999999992</v>
      </c>
      <c r="T488" s="333">
        <f>Summary!F64</f>
        <v>106790</v>
      </c>
      <c r="U488" s="333">
        <f>Summary!G64</f>
        <v>108928.78999999998</v>
      </c>
      <c r="V488" s="333">
        <f>Summary!H64</f>
        <v>121168.08</v>
      </c>
      <c r="W488" s="333">
        <f>Summary!I64</f>
        <v>114656.88436169598</v>
      </c>
      <c r="X488" s="333">
        <f>Summary!J64</f>
        <v>114656.88436169598</v>
      </c>
      <c r="Y488" s="333">
        <f>Summary!K64</f>
        <v>114656.88436169598</v>
      </c>
    </row>
    <row r="489" spans="15:25" x14ac:dyDescent="0.25">
      <c r="O489" s="445"/>
      <c r="P489" s="446"/>
      <c r="Q489" s="446"/>
      <c r="R489" s="446"/>
      <c r="S489" s="446"/>
      <c r="T489" s="446"/>
      <c r="U489" s="446"/>
      <c r="V489" s="446"/>
      <c r="W489" s="446"/>
      <c r="X489" s="446"/>
      <c r="Y489" s="447"/>
    </row>
    <row r="490" spans="15:25" x14ac:dyDescent="0.25">
      <c r="O490" s="445" t="str">
        <f>Summary!A66</f>
        <v>Embedded Distributor - Brantford Power, BCP</v>
      </c>
      <c r="P490" s="446"/>
      <c r="Q490" s="446"/>
      <c r="R490" s="446"/>
      <c r="S490" s="446"/>
      <c r="T490" s="446"/>
      <c r="U490" s="446"/>
      <c r="V490" s="446"/>
      <c r="W490" s="446"/>
      <c r="X490" s="446"/>
      <c r="Y490" s="447"/>
    </row>
    <row r="491" spans="15:25" x14ac:dyDescent="0.25">
      <c r="O491" s="391" t="str">
        <f>Summary!A67</f>
        <v xml:space="preserve">  Customers </v>
      </c>
      <c r="P491" s="333">
        <f>Summary!B67</f>
        <v>1</v>
      </c>
      <c r="Q491" s="333">
        <f>Summary!C67</f>
        <v>1</v>
      </c>
      <c r="R491" s="333">
        <f>Summary!D67</f>
        <v>1</v>
      </c>
      <c r="S491" s="333">
        <f>Summary!E67</f>
        <v>1</v>
      </c>
      <c r="T491" s="333">
        <f>Summary!F67</f>
        <v>1</v>
      </c>
      <c r="U491" s="333">
        <f>Summary!G67</f>
        <v>1</v>
      </c>
      <c r="V491" s="333">
        <f>Summary!H67</f>
        <v>1</v>
      </c>
      <c r="W491" s="333">
        <f>Summary!I67</f>
        <v>1</v>
      </c>
      <c r="X491" s="333">
        <f>Summary!J67</f>
        <v>1</v>
      </c>
      <c r="Y491" s="333">
        <f>Summary!K67</f>
        <v>1</v>
      </c>
    </row>
    <row r="492" spans="15:25" x14ac:dyDescent="0.25">
      <c r="O492" s="391" t="str">
        <f>Summary!A68</f>
        <v xml:space="preserve">  kWh</v>
      </c>
      <c r="P492" s="333">
        <f>Summary!B68</f>
        <v>373339</v>
      </c>
      <c r="Q492" s="333">
        <f>Summary!C68</f>
        <v>373339</v>
      </c>
      <c r="R492" s="333">
        <f>Summary!D68</f>
        <v>374823</v>
      </c>
      <c r="S492" s="333">
        <f>Summary!E68</f>
        <v>356273</v>
      </c>
      <c r="T492" s="333">
        <f>Summary!F68</f>
        <v>338022</v>
      </c>
      <c r="U492" s="333">
        <f>Summary!G68</f>
        <v>352067.78</v>
      </c>
      <c r="V492" s="333">
        <f>Summary!H68</f>
        <v>380114.44</v>
      </c>
      <c r="W492" s="333">
        <f>Summary!I68</f>
        <v>347756.59287776717</v>
      </c>
      <c r="X492" s="333">
        <f>Summary!J68</f>
        <v>347756.59287776717</v>
      </c>
      <c r="Y492" s="333">
        <f>Summary!K68</f>
        <v>347756.59287776717</v>
      </c>
    </row>
    <row r="493" spans="15:25" x14ac:dyDescent="0.25">
      <c r="O493" s="391" t="str">
        <f>Summary!A69</f>
        <v xml:space="preserve">  kW</v>
      </c>
      <c r="P493" s="333">
        <f>Summary!B69</f>
        <v>10.28</v>
      </c>
      <c r="Q493" s="333">
        <f>Summary!C69</f>
        <v>44.33</v>
      </c>
      <c r="R493" s="333">
        <f>Summary!D69</f>
        <v>87.52000000000001</v>
      </c>
      <c r="S493" s="333">
        <f>Summary!E69</f>
        <v>31.049999999999997</v>
      </c>
      <c r="T493" s="333">
        <f>Summary!F69</f>
        <v>94.67</v>
      </c>
      <c r="U493" s="333">
        <f>Summary!G69</f>
        <v>95.46</v>
      </c>
      <c r="V493" s="333">
        <f>Summary!H69</f>
        <v>1313.24</v>
      </c>
      <c r="W493" s="333">
        <f>Summary!I69</f>
        <v>1074.96</v>
      </c>
      <c r="X493" s="333">
        <f>Summary!J69</f>
        <v>1074.96</v>
      </c>
      <c r="Y493" s="333">
        <f>Summary!K69</f>
        <v>1074.96</v>
      </c>
    </row>
    <row r="494" spans="15:25" x14ac:dyDescent="0.25">
      <c r="O494" s="445"/>
      <c r="P494" s="446"/>
      <c r="Q494" s="446"/>
      <c r="R494" s="446"/>
      <c r="S494" s="446"/>
      <c r="T494" s="446"/>
      <c r="U494" s="446"/>
      <c r="V494" s="446"/>
      <c r="W494" s="446"/>
      <c r="X494" s="446"/>
      <c r="Y494" s="447"/>
    </row>
    <row r="495" spans="15:25" x14ac:dyDescent="0.25">
      <c r="O495" s="471" t="str">
        <f>Summary!A71</f>
        <v>Embedded Distributor - Hydro One #1, BCP</v>
      </c>
      <c r="P495" s="446"/>
      <c r="Q495" s="446"/>
      <c r="R495" s="446"/>
      <c r="S495" s="446"/>
      <c r="T495" s="446"/>
      <c r="U495" s="446"/>
      <c r="V495" s="446"/>
      <c r="W495" s="446"/>
      <c r="X495" s="446"/>
      <c r="Y495" s="447"/>
    </row>
    <row r="496" spans="15:25" x14ac:dyDescent="0.25">
      <c r="O496" s="391" t="str">
        <f>Summary!A72</f>
        <v xml:space="preserve">  Customers </v>
      </c>
      <c r="P496" s="333">
        <f>Summary!B72</f>
        <v>1</v>
      </c>
      <c r="Q496" s="333">
        <f>Summary!C72</f>
        <v>1</v>
      </c>
      <c r="R496" s="333">
        <f>Summary!D72</f>
        <v>1</v>
      </c>
      <c r="S496" s="333">
        <f>Summary!E72</f>
        <v>1</v>
      </c>
      <c r="T496" s="333">
        <f>Summary!F72</f>
        <v>1</v>
      </c>
      <c r="U496" s="333">
        <f>Summary!G72</f>
        <v>1</v>
      </c>
      <c r="V496" s="333">
        <f>Summary!H72</f>
        <v>1</v>
      </c>
      <c r="W496" s="333">
        <f>Summary!I72</f>
        <v>1</v>
      </c>
      <c r="X496" s="333">
        <f>Summary!J72</f>
        <v>1</v>
      </c>
      <c r="Y496" s="333">
        <f>Summary!K72</f>
        <v>1</v>
      </c>
    </row>
    <row r="497" spans="15:44" x14ac:dyDescent="0.25">
      <c r="O497" s="391" t="str">
        <f>Summary!A73</f>
        <v xml:space="preserve">  kWh</v>
      </c>
      <c r="P497" s="333">
        <f>Summary!B73</f>
        <v>13348829.459999999</v>
      </c>
      <c r="Q497" s="333">
        <f>Summary!C73</f>
        <v>13695349.587000001</v>
      </c>
      <c r="R497" s="333">
        <f>Summary!D73</f>
        <v>9863706.6199999992</v>
      </c>
      <c r="S497" s="333">
        <f>Summary!E73</f>
        <v>13883197</v>
      </c>
      <c r="T497" s="333">
        <f>Summary!F73</f>
        <v>12996387</v>
      </c>
      <c r="U497" s="333">
        <f>Summary!G73</f>
        <v>13819341.6</v>
      </c>
      <c r="V497" s="333">
        <f>Summary!H73</f>
        <v>13560291.5</v>
      </c>
      <c r="W497" s="333">
        <f>Summary!I73</f>
        <v>12191720.381133871</v>
      </c>
      <c r="X497" s="333">
        <f>Summary!J73</f>
        <v>12191720.381133871</v>
      </c>
      <c r="Y497" s="333">
        <f>Summary!K73</f>
        <v>12191720.381133871</v>
      </c>
    </row>
    <row r="498" spans="15:44" x14ac:dyDescent="0.25">
      <c r="O498" s="391" t="str">
        <f>Summary!A74</f>
        <v xml:space="preserve">  kW</v>
      </c>
      <c r="P498" s="333">
        <f>Summary!B74</f>
        <v>29199.89</v>
      </c>
      <c r="Q498" s="333">
        <f>Summary!C74</f>
        <v>31127.55</v>
      </c>
      <c r="R498" s="333">
        <f>Summary!D74</f>
        <v>24429.269999999997</v>
      </c>
      <c r="S498" s="333">
        <f>Summary!E74</f>
        <v>31865.139999999996</v>
      </c>
      <c r="T498" s="333">
        <f>Summary!F74</f>
        <v>31822.170000000002</v>
      </c>
      <c r="U498" s="333">
        <f>Summary!G74</f>
        <v>30826.699999999997</v>
      </c>
      <c r="V498" s="333">
        <f>Summary!H74</f>
        <v>29427.999999999996</v>
      </c>
      <c r="W498" s="333">
        <f>Summary!I74</f>
        <v>29010.799999999999</v>
      </c>
      <c r="X498" s="333">
        <f>Summary!J74</f>
        <v>29994.605248481424</v>
      </c>
      <c r="Y498" s="333">
        <f>Summary!K74</f>
        <v>29994.605248481424</v>
      </c>
    </row>
    <row r="499" spans="15:44" x14ac:dyDescent="0.25">
      <c r="O499" s="445"/>
      <c r="P499" s="446"/>
      <c r="Q499" s="446"/>
      <c r="R499" s="446"/>
      <c r="S499" s="446"/>
      <c r="T499" s="446"/>
      <c r="U499" s="446"/>
      <c r="V499" s="446"/>
      <c r="W499" s="446"/>
      <c r="X499" s="446"/>
      <c r="Y499" s="447"/>
    </row>
    <row r="500" spans="15:44" x14ac:dyDescent="0.25">
      <c r="O500" s="471" t="str">
        <f>Summary!A76</f>
        <v>Embedded Distributor - Hydro One #2, BCP</v>
      </c>
      <c r="P500" s="446"/>
      <c r="Q500" s="446"/>
      <c r="R500" s="446"/>
      <c r="S500" s="446"/>
      <c r="T500" s="446"/>
      <c r="U500" s="446"/>
      <c r="V500" s="446"/>
      <c r="W500" s="446"/>
      <c r="X500" s="446"/>
      <c r="Y500" s="447"/>
    </row>
    <row r="501" spans="15:44" x14ac:dyDescent="0.25">
      <c r="O501" s="391" t="str">
        <f>Summary!A77</f>
        <v xml:space="preserve">  Customers</v>
      </c>
      <c r="P501" s="333">
        <f>Summary!B77</f>
        <v>4</v>
      </c>
      <c r="Q501" s="333">
        <f>Summary!C77</f>
        <v>4</v>
      </c>
      <c r="R501" s="333">
        <f>Summary!D77</f>
        <v>4</v>
      </c>
      <c r="S501" s="333">
        <f>Summary!E77</f>
        <v>4</v>
      </c>
      <c r="T501" s="333">
        <f>Summary!F77</f>
        <v>4</v>
      </c>
      <c r="U501" s="333">
        <f>Summary!G77</f>
        <v>4</v>
      </c>
      <c r="V501" s="333">
        <f>Summary!H77</f>
        <v>4</v>
      </c>
      <c r="W501" s="333">
        <f>Summary!I77</f>
        <v>4</v>
      </c>
      <c r="X501" s="333">
        <f>Summary!J77</f>
        <v>4</v>
      </c>
      <c r="Y501" s="333">
        <f>Summary!K77</f>
        <v>4</v>
      </c>
    </row>
    <row r="502" spans="15:44" x14ac:dyDescent="0.25">
      <c r="O502" s="391" t="str">
        <f>Summary!A78</f>
        <v xml:space="preserve">  kWh</v>
      </c>
      <c r="P502" s="333">
        <f>Summary!B78</f>
        <v>50253229.850000001</v>
      </c>
      <c r="Q502" s="333">
        <f>Summary!C78</f>
        <v>51547773.450000003</v>
      </c>
      <c r="R502" s="333">
        <f>Summary!D78</f>
        <v>52318961.540000007</v>
      </c>
      <c r="S502" s="333">
        <f>Summary!E78</f>
        <v>52117101.93</v>
      </c>
      <c r="T502" s="333">
        <f>Summary!F78</f>
        <v>51485741.349999994</v>
      </c>
      <c r="U502" s="333">
        <f>Summary!G78</f>
        <v>62339455.030000001</v>
      </c>
      <c r="V502" s="333">
        <f>Summary!H78</f>
        <v>46050289.200000003</v>
      </c>
      <c r="W502" s="333">
        <f>Summary!I78</f>
        <v>43274121.534063838</v>
      </c>
      <c r="X502" s="333">
        <f>Summary!J78</f>
        <v>43274121.534063838</v>
      </c>
      <c r="Y502" s="333">
        <f>Summary!K78</f>
        <v>43274121.534063838</v>
      </c>
    </row>
    <row r="503" spans="15:44" x14ac:dyDescent="0.25">
      <c r="O503" s="391" t="str">
        <f>Summary!A79</f>
        <v xml:space="preserve">  kW - Estimated</v>
      </c>
      <c r="P503" s="333">
        <f>Summary!B79</f>
        <v>109926.40127449173</v>
      </c>
      <c r="Q503" s="333">
        <f>Summary!C79</f>
        <v>117160.63801515776</v>
      </c>
      <c r="R503" s="333">
        <f>Summary!D79</f>
        <v>129577.45874038131</v>
      </c>
      <c r="S503" s="333">
        <f>Summary!E79</f>
        <v>119620.77246283546</v>
      </c>
      <c r="T503" s="333">
        <f>Summary!F79</f>
        <v>126064.88355692466</v>
      </c>
      <c r="U503" s="333">
        <f>Summary!G79</f>
        <v>139060.14729191593</v>
      </c>
      <c r="V503" s="333">
        <f>Summary!H79</f>
        <v>99936.488133577368</v>
      </c>
      <c r="W503" s="333">
        <f>Summary!I79</f>
        <v>102972.90667387019</v>
      </c>
      <c r="X503" s="333">
        <f>Summary!J79</f>
        <v>102972.90667387019</v>
      </c>
      <c r="Y503" s="333">
        <f>Summary!K79</f>
        <v>102972.90667387019</v>
      </c>
    </row>
    <row r="504" spans="15:44" x14ac:dyDescent="0.25">
      <c r="O504" s="445"/>
      <c r="P504" s="446"/>
      <c r="Q504" s="446"/>
      <c r="R504" s="446"/>
      <c r="S504" s="446"/>
      <c r="T504" s="446"/>
      <c r="U504" s="446"/>
      <c r="V504" s="446"/>
      <c r="W504" s="446"/>
      <c r="X504" s="446"/>
      <c r="Y504" s="447"/>
    </row>
    <row r="505" spans="15:44" x14ac:dyDescent="0.25">
      <c r="O505" s="445" t="s">
        <v>20</v>
      </c>
      <c r="P505" s="446"/>
      <c r="Q505" s="446"/>
      <c r="R505" s="446"/>
      <c r="S505" s="446"/>
      <c r="T505" s="446"/>
      <c r="U505" s="446"/>
      <c r="V505" s="446"/>
      <c r="W505" s="446"/>
      <c r="X505" s="446"/>
      <c r="Y505" s="447"/>
    </row>
    <row r="506" spans="15:44" x14ac:dyDescent="0.25">
      <c r="O506" s="389" t="s">
        <v>56</v>
      </c>
      <c r="P506" s="392">
        <f t="shared" ref="P506:Y506" si="234">P439+P443+P447+P452++P457+P462+P467+P472++P477+P481+P496+P486+P491+P501</f>
        <v>75802.346649999992</v>
      </c>
      <c r="Q506" s="392">
        <f t="shared" si="234"/>
        <v>76839.396421671932</v>
      </c>
      <c r="R506" s="392">
        <f t="shared" si="234"/>
        <v>77577.016278423907</v>
      </c>
      <c r="S506" s="392">
        <f t="shared" si="234"/>
        <v>78136.826457296687</v>
      </c>
      <c r="T506" s="392">
        <f t="shared" si="234"/>
        <v>78620.89611581729</v>
      </c>
      <c r="U506" s="392">
        <f t="shared" si="234"/>
        <v>79184.156902738119</v>
      </c>
      <c r="V506" s="392">
        <f t="shared" si="234"/>
        <v>80080.745737465564</v>
      </c>
      <c r="W506" s="392">
        <f t="shared" si="234"/>
        <v>81099</v>
      </c>
      <c r="X506" s="392">
        <f t="shared" si="234"/>
        <v>81992.833694461413</v>
      </c>
      <c r="Y506" s="392">
        <f t="shared" si="234"/>
        <v>82896.985423828795</v>
      </c>
    </row>
    <row r="507" spans="15:44" x14ac:dyDescent="0.25">
      <c r="O507" s="393" t="s">
        <v>52</v>
      </c>
      <c r="P507" s="392">
        <f t="shared" ref="P507:Y507" si="235">P440+P444+P448+P453++P458+P468+P473++P478+P482+P497+P487+P492+P502</f>
        <v>1700869074.0808105</v>
      </c>
      <c r="Q507" s="392">
        <f t="shared" si="235"/>
        <v>1705485900.5254331</v>
      </c>
      <c r="R507" s="392">
        <f t="shared" si="235"/>
        <v>1721439858.3643131</v>
      </c>
      <c r="S507" s="392">
        <f t="shared" si="235"/>
        <v>1791464460.6228559</v>
      </c>
      <c r="T507" s="392">
        <f t="shared" si="235"/>
        <v>1789211194.4851983</v>
      </c>
      <c r="U507" s="392">
        <f t="shared" si="235"/>
        <v>1810549098.3449092</v>
      </c>
      <c r="V507" s="392">
        <f t="shared" si="235"/>
        <v>1738021070.3128002</v>
      </c>
      <c r="W507" s="392">
        <f t="shared" si="235"/>
        <v>1654779291.1866148</v>
      </c>
      <c r="X507" s="392">
        <f t="shared" si="235"/>
        <v>1660234334.3602076</v>
      </c>
      <c r="Y507" s="392">
        <f t="shared" si="235"/>
        <v>1653951480.0440283</v>
      </c>
    </row>
    <row r="508" spans="15:44" ht="30" x14ac:dyDescent="0.25">
      <c r="O508" s="385" t="s">
        <v>269</v>
      </c>
      <c r="P508" s="392">
        <f t="shared" ref="P508:Y508" si="236">P449+P454+P459+P463+P469+P474+P483+P498+P488+P493+P503</f>
        <v>2952269.2899278314</v>
      </c>
      <c r="Q508" s="392">
        <f t="shared" si="236"/>
        <v>3019250.9991073082</v>
      </c>
      <c r="R508" s="392">
        <f t="shared" si="236"/>
        <v>3036477.5333123347</v>
      </c>
      <c r="S508" s="392">
        <f t="shared" si="236"/>
        <v>2957646.7935386221</v>
      </c>
      <c r="T508" s="392">
        <f t="shared" si="236"/>
        <v>3040337.0401040348</v>
      </c>
      <c r="U508" s="392">
        <f t="shared" si="236"/>
        <v>2976090.048869634</v>
      </c>
      <c r="V508" s="392">
        <f t="shared" si="236"/>
        <v>2936895.4171404787</v>
      </c>
      <c r="W508" s="392">
        <f t="shared" si="236"/>
        <v>2805958.4592651618</v>
      </c>
      <c r="X508" s="392">
        <f t="shared" si="236"/>
        <v>2796455.3165180711</v>
      </c>
      <c r="Y508" s="392">
        <f t="shared" si="236"/>
        <v>2802413.5393242873</v>
      </c>
    </row>
    <row r="510" spans="15:44" x14ac:dyDescent="0.25">
      <c r="AG510" s="394"/>
      <c r="AH510" s="395"/>
      <c r="AI510" s="395"/>
      <c r="AJ510" s="396"/>
      <c r="AK510" s="397"/>
      <c r="AL510" s="397"/>
      <c r="AM510" s="396"/>
      <c r="AN510" s="396"/>
      <c r="AO510" s="396"/>
      <c r="AP510" s="396"/>
      <c r="AQ510" s="396"/>
      <c r="AR510" s="396"/>
    </row>
    <row r="511" spans="15:44" x14ac:dyDescent="0.25">
      <c r="AB511" s="313" t="s">
        <v>372</v>
      </c>
      <c r="AC511" s="313"/>
      <c r="AD511" s="313"/>
      <c r="AE511" s="398"/>
      <c r="AF511" s="398"/>
    </row>
    <row r="512" spans="15:44" ht="45" x14ac:dyDescent="0.25">
      <c r="AB512" s="421"/>
      <c r="AC512" s="417" t="s">
        <v>270</v>
      </c>
      <c r="AD512" s="417" t="s">
        <v>241</v>
      </c>
      <c r="AE512" s="417" t="s">
        <v>370</v>
      </c>
      <c r="AF512" s="417" t="s">
        <v>371</v>
      </c>
    </row>
    <row r="513" spans="28:44" ht="15.75" customHeight="1" x14ac:dyDescent="0.25">
      <c r="AB513" s="399" t="s">
        <v>272</v>
      </c>
      <c r="AC513" s="400"/>
      <c r="AD513" s="400"/>
      <c r="AE513" s="400"/>
      <c r="AF513" s="400"/>
    </row>
    <row r="514" spans="28:44" x14ac:dyDescent="0.25">
      <c r="AB514" s="401" t="s">
        <v>1</v>
      </c>
      <c r="AC514" s="402">
        <f t="shared" ref="AC514:AD522" si="237">P5</f>
        <v>16617706.291648619</v>
      </c>
      <c r="AD514" s="402">
        <f>$Q$5</f>
        <v>16422948.089999998</v>
      </c>
      <c r="AE514" s="402">
        <f>AD514-AC514</f>
        <v>-194758.20164862089</v>
      </c>
      <c r="AF514" s="403">
        <f>AE514/AD514</f>
        <v>-1.1858906243953238E-2</v>
      </c>
    </row>
    <row r="515" spans="28:44" x14ac:dyDescent="0.25">
      <c r="AB515" s="401" t="s">
        <v>138</v>
      </c>
      <c r="AC515" s="402">
        <f t="shared" si="237"/>
        <v>3877700.9603126463</v>
      </c>
      <c r="AD515" s="402">
        <f>$Q$6</f>
        <v>3926809.24</v>
      </c>
      <c r="AE515" s="402">
        <f t="shared" ref="AE515:AE522" si="238">AD515-AC515</f>
        <v>49108.279687353875</v>
      </c>
      <c r="AF515" s="403">
        <f t="shared" ref="AF515:AF524" si="239">AE515/AD515</f>
        <v>1.2505898984630552E-2</v>
      </c>
    </row>
    <row r="516" spans="28:44" x14ac:dyDescent="0.25">
      <c r="AB516" s="401" t="s">
        <v>139</v>
      </c>
      <c r="AC516" s="402">
        <f t="shared" si="237"/>
        <v>7895231.9926077398</v>
      </c>
      <c r="AD516" s="402">
        <f>$Q$7</f>
        <v>7634121.7500000009</v>
      </c>
      <c r="AE516" s="402">
        <f t="shared" si="238"/>
        <v>-261110.24260773882</v>
      </c>
      <c r="AF516" s="403">
        <f t="shared" si="239"/>
        <v>-3.4203049303967253E-2</v>
      </c>
    </row>
    <row r="517" spans="28:44" x14ac:dyDescent="0.25">
      <c r="AB517" s="401" t="s">
        <v>140</v>
      </c>
      <c r="AC517" s="402">
        <f t="shared" si="237"/>
        <v>1854779</v>
      </c>
      <c r="AD517" s="402">
        <f>$Q$8</f>
        <v>1841141.4400000002</v>
      </c>
      <c r="AE517" s="402">
        <f t="shared" si="238"/>
        <v>-13637.559999999823</v>
      </c>
      <c r="AF517" s="403">
        <f t="shared" si="239"/>
        <v>-7.4071223990264546E-3</v>
      </c>
    </row>
    <row r="518" spans="28:44" x14ac:dyDescent="0.25">
      <c r="AB518" s="401" t="s">
        <v>113</v>
      </c>
      <c r="AC518" s="402">
        <f t="shared" si="237"/>
        <v>1504085</v>
      </c>
      <c r="AD518" s="402">
        <f>$Q$9</f>
        <v>1244375.8800000001</v>
      </c>
      <c r="AE518" s="402">
        <f t="shared" si="238"/>
        <v>-259709.11999999988</v>
      </c>
      <c r="AF518" s="403">
        <f t="shared" si="239"/>
        <v>-0.20870632754469642</v>
      </c>
    </row>
    <row r="519" spans="28:44" x14ac:dyDescent="0.25">
      <c r="AB519" s="401" t="s">
        <v>66</v>
      </c>
      <c r="AC519" s="402">
        <f t="shared" si="237"/>
        <v>1041524.6362878387</v>
      </c>
      <c r="AD519" s="402">
        <f>$Q$10</f>
        <v>1000646.87</v>
      </c>
      <c r="AE519" s="402">
        <f t="shared" si="238"/>
        <v>-40877.766287838691</v>
      </c>
      <c r="AF519" s="403">
        <f t="shared" si="239"/>
        <v>-4.0851340781027666E-2</v>
      </c>
    </row>
    <row r="520" spans="28:44" x14ac:dyDescent="0.25">
      <c r="AB520" s="401" t="s">
        <v>195</v>
      </c>
      <c r="AC520" s="402">
        <f t="shared" si="237"/>
        <v>22961.927365766394</v>
      </c>
      <c r="AD520" s="402">
        <f>$Q$11</f>
        <v>17721</v>
      </c>
      <c r="AE520" s="402">
        <f t="shared" si="238"/>
        <v>-5240.9273657663944</v>
      </c>
      <c r="AF520" s="403">
        <f t="shared" si="239"/>
        <v>-0.29574670536461795</v>
      </c>
    </row>
    <row r="521" spans="28:44" x14ac:dyDescent="0.25">
      <c r="AB521" s="401" t="s">
        <v>2</v>
      </c>
      <c r="AC521" s="402">
        <f t="shared" si="237"/>
        <v>64115.878744267517</v>
      </c>
      <c r="AD521" s="402">
        <f>$Q$12</f>
        <v>58508.86</v>
      </c>
      <c r="AE521" s="402">
        <f t="shared" si="238"/>
        <v>-5607.018744267516</v>
      </c>
      <c r="AF521" s="403">
        <f t="shared" si="239"/>
        <v>-9.5831960223930465E-2</v>
      </c>
    </row>
    <row r="522" spans="28:44" x14ac:dyDescent="0.25">
      <c r="AB522" s="401" t="s">
        <v>227</v>
      </c>
      <c r="AC522" s="402">
        <f t="shared" si="237"/>
        <v>194006</v>
      </c>
      <c r="AD522" s="402">
        <f t="shared" si="237"/>
        <v>196448</v>
      </c>
      <c r="AE522" s="402">
        <f t="shared" si="238"/>
        <v>2442</v>
      </c>
      <c r="AF522" s="403">
        <f t="shared" si="239"/>
        <v>1.2430770483792149E-2</v>
      </c>
    </row>
    <row r="523" spans="28:44" x14ac:dyDescent="0.25">
      <c r="AB523" s="401" t="s">
        <v>340</v>
      </c>
      <c r="AC523" s="402">
        <f>P15</f>
        <v>0</v>
      </c>
      <c r="AD523" s="402">
        <f>Q15</f>
        <v>-24598.18</v>
      </c>
      <c r="AE523" s="402">
        <f t="shared" ref="AE523" si="240">AD523-AC523</f>
        <v>-24598.18</v>
      </c>
      <c r="AF523" s="403">
        <f t="shared" si="239"/>
        <v>1</v>
      </c>
    </row>
    <row r="524" spans="28:44" x14ac:dyDescent="0.25">
      <c r="AB524" s="404" t="s">
        <v>20</v>
      </c>
      <c r="AC524" s="405">
        <f>SUM(AC514:AC523)</f>
        <v>33072111.686966874</v>
      </c>
      <c r="AD524" s="405">
        <f t="shared" ref="AD524:AE524" si="241">SUM(AD514:AD523)</f>
        <v>32318122.949999999</v>
      </c>
      <c r="AE524" s="405">
        <f t="shared" si="241"/>
        <v>-753988.73696687818</v>
      </c>
      <c r="AF524" s="406">
        <f t="shared" si="239"/>
        <v>-2.3330214385698975E-2</v>
      </c>
    </row>
    <row r="526" spans="28:44" x14ac:dyDescent="0.25">
      <c r="AG526" s="313" t="s">
        <v>373</v>
      </c>
      <c r="AH526" s="313"/>
      <c r="AI526" s="313"/>
      <c r="AJ526" s="398"/>
      <c r="AK526" s="398"/>
    </row>
    <row r="527" spans="28:44" ht="63" customHeight="1" x14ac:dyDescent="0.25">
      <c r="AG527" s="421" t="s">
        <v>245</v>
      </c>
      <c r="AH527" s="437" t="s">
        <v>246</v>
      </c>
      <c r="AI527" s="438"/>
      <c r="AJ527" s="417" t="s">
        <v>247</v>
      </c>
      <c r="AK527" s="437" t="s">
        <v>97</v>
      </c>
      <c r="AL527" s="438"/>
      <c r="AM527" s="437" t="s">
        <v>248</v>
      </c>
      <c r="AN527" s="438"/>
      <c r="AO527" s="437" t="s">
        <v>249</v>
      </c>
      <c r="AP527" s="438"/>
      <c r="AQ527" s="437" t="s">
        <v>250</v>
      </c>
      <c r="AR527" s="438"/>
    </row>
    <row r="528" spans="28:44" x14ac:dyDescent="0.25">
      <c r="AG528" s="439" t="s">
        <v>310</v>
      </c>
      <c r="AH528" s="439"/>
      <c r="AI528" s="439"/>
      <c r="AJ528" s="439"/>
      <c r="AK528" s="439"/>
      <c r="AL528" s="439"/>
      <c r="AN528" s="407">
        <f>$F$253</f>
        <v>1.0083265719220569</v>
      </c>
      <c r="AO528" s="440"/>
      <c r="AP528" s="440"/>
      <c r="AQ528" s="440"/>
      <c r="AR528" s="440"/>
    </row>
    <row r="529" spans="33:44" ht="49.5" customHeight="1" x14ac:dyDescent="0.25">
      <c r="AG529" s="404"/>
      <c r="AH529" s="408" t="str">
        <f>AC512</f>
        <v>2014 
Board Approved</v>
      </c>
      <c r="AI529" s="408" t="str">
        <f>AD512</f>
        <v>2014 
Actual</v>
      </c>
      <c r="AJ529" s="409"/>
      <c r="AK529" s="408" t="str">
        <f>AH529</f>
        <v>2014 
Board Approved</v>
      </c>
      <c r="AL529" s="408" t="str">
        <f>AI529</f>
        <v>2014 
Actual</v>
      </c>
      <c r="AM529" s="408" t="str">
        <f>AK529</f>
        <v>2014 
Board Approved</v>
      </c>
      <c r="AN529" s="408" t="str">
        <f>AL529</f>
        <v>2014 
Actual</v>
      </c>
      <c r="AO529" s="408" t="str">
        <f>AM529</f>
        <v>2014 
Board Approved</v>
      </c>
      <c r="AP529" s="408" t="str">
        <f t="shared" ref="AP529:AR529" si="242">AN529</f>
        <v>2014 
Actual</v>
      </c>
      <c r="AQ529" s="408" t="str">
        <f t="shared" si="242"/>
        <v>2014 
Board Approved</v>
      </c>
      <c r="AR529" s="408" t="str">
        <f t="shared" si="242"/>
        <v>2014 
Actual</v>
      </c>
    </row>
    <row r="530" spans="33:44" x14ac:dyDescent="0.25">
      <c r="AG530" s="401" t="s">
        <v>1</v>
      </c>
      <c r="AH530" s="392">
        <f>48091+8335</f>
        <v>56426</v>
      </c>
      <c r="AI530" s="392">
        <f>Summary!$F$16</f>
        <v>55463.033333333333</v>
      </c>
      <c r="AJ530" s="410" t="s">
        <v>89</v>
      </c>
      <c r="AK530" s="392">
        <f>400646088+82794132</f>
        <v>483440220</v>
      </c>
      <c r="AL530" s="392">
        <f>Summary!$F$17</f>
        <v>477025968.10000002</v>
      </c>
      <c r="AM530" s="410">
        <f>AK530</f>
        <v>483440220</v>
      </c>
      <c r="AN530" s="392">
        <f>AL530*$AN$528</f>
        <v>480997959.13207346</v>
      </c>
      <c r="AO530" s="410">
        <f>AK530/AH530</f>
        <v>8567.685464147733</v>
      </c>
      <c r="AP530" s="410">
        <f>AL530/AI530</f>
        <v>8600.791183436897</v>
      </c>
      <c r="AQ530" s="410">
        <f>AM530/AH530</f>
        <v>8567.685464147733</v>
      </c>
      <c r="AR530" s="410">
        <f>AN530/AI530</f>
        <v>8672.4062898123757</v>
      </c>
    </row>
    <row r="531" spans="33:44" x14ac:dyDescent="0.25">
      <c r="AG531" s="401" t="s">
        <v>138</v>
      </c>
      <c r="AH531" s="392">
        <f>4740+1338</f>
        <v>6078</v>
      </c>
      <c r="AI531" s="392">
        <f>Summary!$F$20</f>
        <v>6056.767035527082</v>
      </c>
      <c r="AJ531" s="410" t="s">
        <v>89</v>
      </c>
      <c r="AK531" s="392">
        <f>155607417+40399125</f>
        <v>196006542</v>
      </c>
      <c r="AL531" s="392">
        <f>Summary!$F$21</f>
        <v>198149244.67199999</v>
      </c>
      <c r="AM531" s="410">
        <f t="shared" ref="AM531:AM543" si="243">AK531</f>
        <v>196006542</v>
      </c>
      <c r="AN531" s="392">
        <f t="shared" ref="AN531:AN543" si="244">AL531*$AN$528</f>
        <v>199799148.60906264</v>
      </c>
      <c r="AO531" s="410">
        <f t="shared" ref="AO531:AO543" si="245">AK531/AH531</f>
        <v>32248.526159921028</v>
      </c>
      <c r="AP531" s="410">
        <f t="shared" ref="AP531:AP543" si="246">AL531/AI531</f>
        <v>32715.348553067852</v>
      </c>
      <c r="AQ531" s="410">
        <f t="shared" ref="AQ531:AQ543" si="247">AM531/AH531</f>
        <v>32248.526159921028</v>
      </c>
      <c r="AR531" s="410">
        <f t="shared" ref="AR531:AR543" si="248">AN531/AI531</f>
        <v>32987.755255750133</v>
      </c>
    </row>
    <row r="532" spans="33:44" x14ac:dyDescent="0.25">
      <c r="AG532" s="401" t="s">
        <v>139</v>
      </c>
      <c r="AH532" s="392">
        <f>773+101</f>
        <v>874</v>
      </c>
      <c r="AI532" s="392">
        <f>Summary!$F$24</f>
        <v>825.00052126772312</v>
      </c>
      <c r="AJ532" s="410" t="s">
        <v>90</v>
      </c>
      <c r="AK532" s="392">
        <f>1403590</f>
        <v>1403590</v>
      </c>
      <c r="AL532" s="392">
        <f>Summary!$F$26</f>
        <v>1605303.1854654762</v>
      </c>
      <c r="AM532" s="410">
        <f t="shared" si="243"/>
        <v>1403590</v>
      </c>
      <c r="AN532" s="392">
        <f t="shared" si="244"/>
        <v>1618669.8578959615</v>
      </c>
      <c r="AO532" s="410">
        <f t="shared" si="245"/>
        <v>1605.9382151029749</v>
      </c>
      <c r="AP532" s="410">
        <f t="shared" si="246"/>
        <v>1945.8208135416862</v>
      </c>
      <c r="AQ532" s="410">
        <f t="shared" si="247"/>
        <v>1605.9382151029749</v>
      </c>
      <c r="AR532" s="410">
        <f t="shared" si="248"/>
        <v>1962.0228304930763</v>
      </c>
    </row>
    <row r="533" spans="33:44" x14ac:dyDescent="0.25">
      <c r="AG533" s="401" t="s">
        <v>140</v>
      </c>
      <c r="AH533" s="392">
        <f>27+5</f>
        <v>32</v>
      </c>
      <c r="AI533" s="392">
        <f>Summary!$F$29</f>
        <v>29</v>
      </c>
      <c r="AJ533" s="410" t="s">
        <v>90</v>
      </c>
      <c r="AK533" s="392">
        <f>526573+195338</f>
        <v>721911</v>
      </c>
      <c r="AL533" s="392">
        <f>Summary!$F$31</f>
        <v>581849.28</v>
      </c>
      <c r="AM533" s="410">
        <f t="shared" si="243"/>
        <v>721911</v>
      </c>
      <c r="AN533" s="392">
        <f t="shared" si="244"/>
        <v>586694.08987771708</v>
      </c>
      <c r="AO533" s="410">
        <f t="shared" si="245"/>
        <v>22559.71875</v>
      </c>
      <c r="AP533" s="410">
        <f t="shared" si="246"/>
        <v>20063.768275862069</v>
      </c>
      <c r="AQ533" s="410">
        <f t="shared" si="247"/>
        <v>22559.71875</v>
      </c>
      <c r="AR533" s="410">
        <f t="shared" si="248"/>
        <v>20230.830685438519</v>
      </c>
    </row>
    <row r="534" spans="33:44" x14ac:dyDescent="0.25">
      <c r="AG534" s="401" t="s">
        <v>113</v>
      </c>
      <c r="AH534" s="392">
        <v>2</v>
      </c>
      <c r="AI534" s="392">
        <f>Summary!$F$34</f>
        <v>2.5</v>
      </c>
      <c r="AJ534" s="410" t="s">
        <v>90</v>
      </c>
      <c r="AK534" s="392">
        <f>429057</f>
        <v>429057</v>
      </c>
      <c r="AL534" s="392">
        <f>Summary!$F$36</f>
        <v>457866.89653992082</v>
      </c>
      <c r="AM534" s="410">
        <f t="shared" si="243"/>
        <v>429057</v>
      </c>
      <c r="AN534" s="392">
        <f t="shared" si="244"/>
        <v>461679.35818468942</v>
      </c>
      <c r="AO534" s="410">
        <f t="shared" si="245"/>
        <v>214528.5</v>
      </c>
      <c r="AP534" s="410">
        <f t="shared" si="246"/>
        <v>183146.75861596834</v>
      </c>
      <c r="AQ534" s="410">
        <f t="shared" si="247"/>
        <v>214528.5</v>
      </c>
      <c r="AR534" s="410">
        <f t="shared" si="248"/>
        <v>184671.74327387576</v>
      </c>
    </row>
    <row r="535" spans="33:44" x14ac:dyDescent="0.25">
      <c r="AG535" s="401" t="s">
        <v>112</v>
      </c>
      <c r="AH535" s="392">
        <v>1</v>
      </c>
      <c r="AI535" s="392">
        <f>Summary!$F$39</f>
        <v>4</v>
      </c>
      <c r="AJ535" s="410" t="s">
        <v>90</v>
      </c>
      <c r="AK535" s="392">
        <f>79211</f>
        <v>79211</v>
      </c>
      <c r="AL535" s="392">
        <f>Summary!$F$40</f>
        <v>69660.58</v>
      </c>
      <c r="AM535" s="410">
        <f t="shared" si="243"/>
        <v>79211</v>
      </c>
      <c r="AN535" s="392">
        <f t="shared" si="244"/>
        <v>70240.613829502196</v>
      </c>
      <c r="AO535" s="410">
        <f t="shared" si="245"/>
        <v>79211</v>
      </c>
      <c r="AP535" s="410">
        <f t="shared" si="246"/>
        <v>17415.145</v>
      </c>
      <c r="AQ535" s="410">
        <f t="shared" si="247"/>
        <v>79211</v>
      </c>
      <c r="AR535" s="410">
        <f t="shared" si="248"/>
        <v>17560.153457375549</v>
      </c>
    </row>
    <row r="536" spans="33:44" x14ac:dyDescent="0.25">
      <c r="AG536" s="401" t="s">
        <v>66</v>
      </c>
      <c r="AH536" s="392">
        <f>12997+2630</f>
        <v>15627</v>
      </c>
      <c r="AI536" s="392">
        <f>Summary!$F$43</f>
        <v>15512.073785272187</v>
      </c>
      <c r="AJ536" s="410" t="s">
        <v>90</v>
      </c>
      <c r="AK536" s="392">
        <f>25751+4783</f>
        <v>30534</v>
      </c>
      <c r="AL536" s="392">
        <f>Summary!$F$45</f>
        <v>31886.136091179094</v>
      </c>
      <c r="AM536" s="410">
        <f t="shared" si="243"/>
        <v>30534</v>
      </c>
      <c r="AN536" s="392">
        <f t="shared" si="244"/>
        <v>32151.638296658792</v>
      </c>
      <c r="AO536" s="410">
        <f t="shared" si="245"/>
        <v>1.9539258974851219</v>
      </c>
      <c r="AP536" s="410">
        <f t="shared" si="246"/>
        <v>2.0555688770287524</v>
      </c>
      <c r="AQ536" s="410">
        <f t="shared" si="247"/>
        <v>1.9539258974851219</v>
      </c>
      <c r="AR536" s="410">
        <f t="shared" si="248"/>
        <v>2.0726847191240738</v>
      </c>
    </row>
    <row r="537" spans="33:44" x14ac:dyDescent="0.25">
      <c r="AG537" s="401" t="s">
        <v>195</v>
      </c>
      <c r="AH537" s="392">
        <v>218</v>
      </c>
      <c r="AI537" s="392">
        <f>Summary!$F$48</f>
        <v>188.52144041696278</v>
      </c>
      <c r="AJ537" s="410" t="s">
        <v>90</v>
      </c>
      <c r="AK537" s="392">
        <v>574</v>
      </c>
      <c r="AL537" s="392">
        <f>Summary!$F$50</f>
        <v>292.76845053333329</v>
      </c>
      <c r="AM537" s="410">
        <f t="shared" si="243"/>
        <v>574</v>
      </c>
      <c r="AN537" s="392">
        <f t="shared" si="244"/>
        <v>295.20620809320826</v>
      </c>
      <c r="AO537" s="410">
        <f t="shared" si="245"/>
        <v>2.6330275229357798</v>
      </c>
      <c r="AP537" s="410">
        <f>AL537/AI537</f>
        <v>1.552971640179504</v>
      </c>
      <c r="AQ537" s="410">
        <f t="shared" si="247"/>
        <v>2.6330275229357798</v>
      </c>
      <c r="AR537" s="410">
        <f t="shared" si="248"/>
        <v>1.5659025702343732</v>
      </c>
    </row>
    <row r="538" spans="33:44" x14ac:dyDescent="0.25">
      <c r="AG538" s="401" t="s">
        <v>2</v>
      </c>
      <c r="AH538" s="392">
        <f>482+51</f>
        <v>533</v>
      </c>
      <c r="AI538" s="392">
        <f>Summary!$F$53</f>
        <v>531</v>
      </c>
      <c r="AJ538" s="410" t="s">
        <v>89</v>
      </c>
      <c r="AK538" s="392">
        <f>1746895+96048</f>
        <v>1842943</v>
      </c>
      <c r="AL538" s="392">
        <f>Summary!$F$54</f>
        <v>2451441.9548110636</v>
      </c>
      <c r="AM538" s="410">
        <f t="shared" si="243"/>
        <v>1842943</v>
      </c>
      <c r="AN538" s="392">
        <f t="shared" si="244"/>
        <v>2471854.0625605457</v>
      </c>
      <c r="AO538" s="410">
        <f t="shared" si="245"/>
        <v>3457.6791744840525</v>
      </c>
      <c r="AP538" s="410">
        <f t="shared" si="246"/>
        <v>4616.6515156517207</v>
      </c>
      <c r="AQ538" s="410">
        <f t="shared" si="247"/>
        <v>3457.6791744840525</v>
      </c>
      <c r="AR538" s="410">
        <f t="shared" si="248"/>
        <v>4655.0923965358679</v>
      </c>
    </row>
    <row r="539" spans="33:44" x14ac:dyDescent="0.25">
      <c r="AG539" s="401" t="s">
        <v>290</v>
      </c>
      <c r="AH539" s="392">
        <v>1</v>
      </c>
      <c r="AI539" s="392">
        <f>Summary!$F$57</f>
        <v>2</v>
      </c>
      <c r="AJ539" s="410" t="s">
        <v>90</v>
      </c>
      <c r="AK539" s="392">
        <f>102844*29053/100035</f>
        <v>29868.813235367623</v>
      </c>
      <c r="AL539" s="392">
        <f>Summary!$F$59</f>
        <v>28706.47</v>
      </c>
      <c r="AM539" s="410">
        <f t="shared" si="243"/>
        <v>29868.813235367623</v>
      </c>
      <c r="AN539" s="392">
        <f t="shared" si="244"/>
        <v>28945.496487083368</v>
      </c>
      <c r="AO539" s="410">
        <f t="shared" si="245"/>
        <v>29868.813235367623</v>
      </c>
      <c r="AP539" s="410">
        <f t="shared" si="246"/>
        <v>14353.235000000001</v>
      </c>
      <c r="AQ539" s="410">
        <f t="shared" si="247"/>
        <v>29868.813235367623</v>
      </c>
      <c r="AR539" s="410">
        <f>AN539/AI539</f>
        <v>14472.748243541684</v>
      </c>
    </row>
    <row r="540" spans="33:44" x14ac:dyDescent="0.25">
      <c r="AG540" s="401" t="s">
        <v>291</v>
      </c>
      <c r="AH540" s="392">
        <v>1</v>
      </c>
      <c r="AI540" s="392">
        <f>Summary!$F$62</f>
        <v>1</v>
      </c>
      <c r="AJ540" s="410" t="s">
        <v>90</v>
      </c>
      <c r="AK540" s="392">
        <f>102844*70982/100035</f>
        <v>72975.186764632381</v>
      </c>
      <c r="AL540" s="392">
        <f>Summary!$F$64</f>
        <v>106790</v>
      </c>
      <c r="AM540" s="410">
        <f t="shared" si="243"/>
        <v>72975.186764632381</v>
      </c>
      <c r="AN540" s="392">
        <f t="shared" si="244"/>
        <v>107679.19461555645</v>
      </c>
      <c r="AO540" s="410">
        <f t="shared" si="245"/>
        <v>72975.186764632381</v>
      </c>
      <c r="AP540" s="410">
        <f t="shared" si="246"/>
        <v>106790</v>
      </c>
      <c r="AQ540" s="410">
        <f t="shared" si="247"/>
        <v>72975.186764632381</v>
      </c>
      <c r="AR540" s="410">
        <f t="shared" si="248"/>
        <v>107679.19461555645</v>
      </c>
    </row>
    <row r="541" spans="33:44" x14ac:dyDescent="0.25">
      <c r="AG541" s="401" t="s">
        <v>292</v>
      </c>
      <c r="AH541" s="392">
        <v>1</v>
      </c>
      <c r="AI541" s="392">
        <f>Summary!$F$67</f>
        <v>1</v>
      </c>
      <c r="AJ541" s="410" t="s">
        <v>90</v>
      </c>
      <c r="AK541" s="392">
        <v>38</v>
      </c>
      <c r="AL541" s="392">
        <f>Summary!$F$69</f>
        <v>94.67</v>
      </c>
      <c r="AM541" s="410">
        <f t="shared" si="243"/>
        <v>38</v>
      </c>
      <c r="AN541" s="392">
        <f t="shared" si="244"/>
        <v>95.458276563861133</v>
      </c>
      <c r="AO541" s="410">
        <f t="shared" si="245"/>
        <v>38</v>
      </c>
      <c r="AP541" s="410">
        <f t="shared" si="246"/>
        <v>94.67</v>
      </c>
      <c r="AQ541" s="410">
        <f t="shared" si="247"/>
        <v>38</v>
      </c>
      <c r="AR541" s="410">
        <f t="shared" si="248"/>
        <v>95.458276563861133</v>
      </c>
    </row>
    <row r="542" spans="33:44" x14ac:dyDescent="0.25">
      <c r="AG542" s="401" t="s">
        <v>293</v>
      </c>
      <c r="AH542" s="392">
        <v>1</v>
      </c>
      <c r="AI542" s="392">
        <f>Summary!$F$72</f>
        <v>1</v>
      </c>
      <c r="AJ542" s="410" t="s">
        <v>90</v>
      </c>
      <c r="AK542" s="392">
        <v>26712</v>
      </c>
      <c r="AL542" s="392">
        <f>Summary!$F$74</f>
        <v>31822.170000000002</v>
      </c>
      <c r="AM542" s="410">
        <f t="shared" si="243"/>
        <v>26712</v>
      </c>
      <c r="AN542" s="392">
        <f t="shared" si="244"/>
        <v>32087.139587220921</v>
      </c>
      <c r="AO542" s="410">
        <f t="shared" si="245"/>
        <v>26712</v>
      </c>
      <c r="AP542" s="410">
        <f t="shared" si="246"/>
        <v>31822.170000000002</v>
      </c>
      <c r="AQ542" s="410">
        <f t="shared" si="247"/>
        <v>26712</v>
      </c>
      <c r="AR542" s="410">
        <f t="shared" si="248"/>
        <v>32087.139587220921</v>
      </c>
    </row>
    <row r="543" spans="33:44" x14ac:dyDescent="0.25">
      <c r="AG543" s="401" t="s">
        <v>294</v>
      </c>
      <c r="AH543" s="392">
        <v>4</v>
      </c>
      <c r="AI543" s="392">
        <f>Summary!$F$77</f>
        <v>4</v>
      </c>
      <c r="AJ543" s="410" t="s">
        <v>90</v>
      </c>
      <c r="AK543" s="392">
        <v>100541</v>
      </c>
      <c r="AL543" s="392">
        <f>Summary!$F$79</f>
        <v>126064.88355692466</v>
      </c>
      <c r="AM543" s="410">
        <f t="shared" si="243"/>
        <v>100541</v>
      </c>
      <c r="AN543" s="392">
        <f t="shared" si="244"/>
        <v>127114.57187670712</v>
      </c>
      <c r="AO543" s="410">
        <f t="shared" si="245"/>
        <v>25135.25</v>
      </c>
      <c r="AP543" s="410">
        <f t="shared" si="246"/>
        <v>31516.220889231165</v>
      </c>
      <c r="AQ543" s="410">
        <f t="shared" si="247"/>
        <v>25135.25</v>
      </c>
      <c r="AR543" s="410">
        <f t="shared" si="248"/>
        <v>31778.642969176781</v>
      </c>
    </row>
    <row r="544" spans="33:44" x14ac:dyDescent="0.25">
      <c r="AG544" s="401" t="s">
        <v>12</v>
      </c>
      <c r="AH544" s="392">
        <f>SUM(AH530:AH543)</f>
        <v>79799</v>
      </c>
      <c r="AI544" s="392">
        <f>SUM(AI530:AI543)</f>
        <v>78620.89611581729</v>
      </c>
      <c r="AJ544" s="410"/>
      <c r="AK544" s="411"/>
      <c r="AL544" s="411"/>
      <c r="AM544" s="411"/>
      <c r="AN544" s="411"/>
      <c r="AO544" s="411"/>
      <c r="AP544" s="411"/>
      <c r="AQ544" s="411"/>
      <c r="AR544" s="411"/>
    </row>
    <row r="545" spans="33:44" x14ac:dyDescent="0.25">
      <c r="AG545" s="389"/>
      <c r="AH545" s="436" t="s">
        <v>251</v>
      </c>
      <c r="AI545" s="436"/>
      <c r="AJ545" s="389"/>
      <c r="AK545" s="436" t="s">
        <v>251</v>
      </c>
      <c r="AL545" s="436"/>
      <c r="AM545" s="436" t="s">
        <v>251</v>
      </c>
      <c r="AN545" s="436"/>
      <c r="AO545" s="436" t="s">
        <v>251</v>
      </c>
      <c r="AP545" s="436"/>
      <c r="AQ545" s="436" t="s">
        <v>251</v>
      </c>
      <c r="AR545" s="436"/>
    </row>
    <row r="546" spans="33:44" x14ac:dyDescent="0.25">
      <c r="AG546" s="412" t="str">
        <f>AG530</f>
        <v xml:space="preserve">Residential </v>
      </c>
      <c r="AH546" s="435">
        <f>AI530-AH530</f>
        <v>-962.96666666666715</v>
      </c>
      <c r="AI546" s="435"/>
      <c r="AJ546" s="410" t="str">
        <f>AJ530</f>
        <v>kWh</v>
      </c>
      <c r="AK546" s="435">
        <f>AL530-AK530</f>
        <v>-6414251.8999999762</v>
      </c>
      <c r="AL546" s="435"/>
      <c r="AM546" s="435">
        <f t="shared" ref="AM546:AM555" si="249">AN530-AM530</f>
        <v>-2442260.867926538</v>
      </c>
      <c r="AN546" s="435"/>
      <c r="AO546" s="435">
        <f t="shared" ref="AO546:AO554" si="250">AP530-AO530</f>
        <v>33.105719289163972</v>
      </c>
      <c r="AP546" s="435"/>
      <c r="AQ546" s="435">
        <f t="shared" ref="AQ546:AQ554" si="251">AR530-AQ530</f>
        <v>104.72082566464269</v>
      </c>
      <c r="AR546" s="435"/>
    </row>
    <row r="547" spans="33:44" x14ac:dyDescent="0.25">
      <c r="AG547" s="412" t="str">
        <f t="shared" ref="AG547:AG559" si="252">AG531</f>
        <v>General Service &lt; 50 kW</v>
      </c>
      <c r="AH547" s="435">
        <f t="shared" ref="AH547:AH559" si="253">AI531-AH531</f>
        <v>-21.232964472917956</v>
      </c>
      <c r="AI547" s="435"/>
      <c r="AJ547" s="410" t="str">
        <f t="shared" ref="AJ547:AJ559" si="254">AJ531</f>
        <v>kWh</v>
      </c>
      <c r="AK547" s="435">
        <f t="shared" ref="AK547:AK559" si="255">AL531-AK531</f>
        <v>2142702.6719999909</v>
      </c>
      <c r="AL547" s="435"/>
      <c r="AM547" s="435">
        <f t="shared" si="249"/>
        <v>3792606.6090626419</v>
      </c>
      <c r="AN547" s="435"/>
      <c r="AO547" s="435">
        <f t="shared" si="250"/>
        <v>466.82239314682374</v>
      </c>
      <c r="AP547" s="435"/>
      <c r="AQ547" s="435">
        <f t="shared" si="251"/>
        <v>739.22909582910506</v>
      </c>
      <c r="AR547" s="435"/>
    </row>
    <row r="548" spans="33:44" x14ac:dyDescent="0.25">
      <c r="AG548" s="412" t="str">
        <f t="shared" si="252"/>
        <v>General Service &gt; 50 to 999 kW</v>
      </c>
      <c r="AH548" s="435">
        <f t="shared" si="253"/>
        <v>-48.999478732276884</v>
      </c>
      <c r="AI548" s="435"/>
      <c r="AJ548" s="410" t="str">
        <f t="shared" si="254"/>
        <v>kW</v>
      </c>
      <c r="AK548" s="435">
        <f t="shared" si="255"/>
        <v>201713.18546547624</v>
      </c>
      <c r="AL548" s="435"/>
      <c r="AM548" s="435">
        <f t="shared" si="249"/>
        <v>215079.8578959615</v>
      </c>
      <c r="AN548" s="435"/>
      <c r="AO548" s="435">
        <f t="shared" si="250"/>
        <v>339.88259843871128</v>
      </c>
      <c r="AP548" s="435"/>
      <c r="AQ548" s="435">
        <f t="shared" si="251"/>
        <v>356.08461539010136</v>
      </c>
      <c r="AR548" s="435"/>
    </row>
    <row r="549" spans="33:44" x14ac:dyDescent="0.25">
      <c r="AG549" s="412" t="str">
        <f t="shared" si="252"/>
        <v>General Service &gt; 1000 to 4999 kW</v>
      </c>
      <c r="AH549" s="435">
        <f t="shared" si="253"/>
        <v>-3</v>
      </c>
      <c r="AI549" s="435"/>
      <c r="AJ549" s="410" t="str">
        <f t="shared" si="254"/>
        <v>kW</v>
      </c>
      <c r="AK549" s="435">
        <f t="shared" si="255"/>
        <v>-140061.71999999997</v>
      </c>
      <c r="AL549" s="435"/>
      <c r="AM549" s="435">
        <f t="shared" si="249"/>
        <v>-135216.91012228292</v>
      </c>
      <c r="AN549" s="435"/>
      <c r="AO549" s="435">
        <f t="shared" si="250"/>
        <v>-2495.9504741379315</v>
      </c>
      <c r="AP549" s="435"/>
      <c r="AQ549" s="435">
        <f t="shared" si="251"/>
        <v>-2328.8880645614809</v>
      </c>
      <c r="AR549" s="435"/>
    </row>
    <row r="550" spans="33:44" x14ac:dyDescent="0.25">
      <c r="AG550" s="412" t="str">
        <f t="shared" si="252"/>
        <v>Large User</v>
      </c>
      <c r="AH550" s="435">
        <f t="shared" si="253"/>
        <v>0.5</v>
      </c>
      <c r="AI550" s="435"/>
      <c r="AJ550" s="410" t="str">
        <f t="shared" si="254"/>
        <v>kW</v>
      </c>
      <c r="AK550" s="435">
        <f t="shared" si="255"/>
        <v>28809.896539920825</v>
      </c>
      <c r="AL550" s="435"/>
      <c r="AM550" s="435">
        <f t="shared" si="249"/>
        <v>32622.358184689423</v>
      </c>
      <c r="AN550" s="435"/>
      <c r="AO550" s="435">
        <f t="shared" si="250"/>
        <v>-31381.741384031659</v>
      </c>
      <c r="AP550" s="435"/>
      <c r="AQ550" s="435">
        <f t="shared" si="251"/>
        <v>-29856.756726124237</v>
      </c>
      <c r="AR550" s="435"/>
    </row>
    <row r="551" spans="33:44" x14ac:dyDescent="0.25">
      <c r="AG551" s="412" t="str">
        <f t="shared" si="252"/>
        <v>Direct Market Participant</v>
      </c>
      <c r="AH551" s="435">
        <f t="shared" si="253"/>
        <v>3</v>
      </c>
      <c r="AI551" s="435"/>
      <c r="AJ551" s="410" t="str">
        <f t="shared" si="254"/>
        <v>kW</v>
      </c>
      <c r="AK551" s="435">
        <f t="shared" si="255"/>
        <v>-9550.4199999999983</v>
      </c>
      <c r="AL551" s="435"/>
      <c r="AM551" s="435">
        <f t="shared" si="249"/>
        <v>-8970.3861704978044</v>
      </c>
      <c r="AN551" s="435"/>
      <c r="AO551" s="435">
        <f t="shared" si="250"/>
        <v>-61795.854999999996</v>
      </c>
      <c r="AP551" s="435"/>
      <c r="AQ551" s="435">
        <f t="shared" si="251"/>
        <v>-61650.846542624451</v>
      </c>
      <c r="AR551" s="435"/>
    </row>
    <row r="552" spans="33:44" x14ac:dyDescent="0.25">
      <c r="AG552" s="412" t="str">
        <f t="shared" si="252"/>
        <v>Street Lights</v>
      </c>
      <c r="AH552" s="435">
        <f t="shared" si="253"/>
        <v>-114.9262147278132</v>
      </c>
      <c r="AI552" s="435"/>
      <c r="AJ552" s="410" t="str">
        <f t="shared" si="254"/>
        <v>kW</v>
      </c>
      <c r="AK552" s="435">
        <f t="shared" si="255"/>
        <v>1352.1360911790944</v>
      </c>
      <c r="AL552" s="435"/>
      <c r="AM552" s="435">
        <f t="shared" si="249"/>
        <v>1617.6382966587917</v>
      </c>
      <c r="AN552" s="435"/>
      <c r="AO552" s="435">
        <f t="shared" si="250"/>
        <v>0.10164297954363044</v>
      </c>
      <c r="AP552" s="435"/>
      <c r="AQ552" s="435">
        <f t="shared" si="251"/>
        <v>0.11875882163895191</v>
      </c>
      <c r="AR552" s="435"/>
    </row>
    <row r="553" spans="33:44" x14ac:dyDescent="0.25">
      <c r="AG553" s="412" t="str">
        <f t="shared" si="252"/>
        <v>Sentinel Lights</v>
      </c>
      <c r="AH553" s="435">
        <f t="shared" si="253"/>
        <v>-29.478559583037224</v>
      </c>
      <c r="AI553" s="435"/>
      <c r="AJ553" s="410" t="str">
        <f t="shared" si="254"/>
        <v>kW</v>
      </c>
      <c r="AK553" s="435">
        <f t="shared" si="255"/>
        <v>-281.23154946666671</v>
      </c>
      <c r="AL553" s="435"/>
      <c r="AM553" s="435">
        <f t="shared" si="249"/>
        <v>-278.79379190679174</v>
      </c>
      <c r="AN553" s="435"/>
      <c r="AO553" s="435">
        <f t="shared" si="250"/>
        <v>-1.0800558827562758</v>
      </c>
      <c r="AP553" s="435"/>
      <c r="AQ553" s="435">
        <f t="shared" si="251"/>
        <v>-1.0671249527014066</v>
      </c>
      <c r="AR553" s="435"/>
    </row>
    <row r="554" spans="33:44" x14ac:dyDescent="0.25">
      <c r="AG554" s="412" t="str">
        <f t="shared" si="252"/>
        <v xml:space="preserve">Unmetered Loads </v>
      </c>
      <c r="AH554" s="435">
        <f t="shared" si="253"/>
        <v>-2</v>
      </c>
      <c r="AI554" s="435"/>
      <c r="AJ554" s="410" t="str">
        <f t="shared" si="254"/>
        <v>kWh</v>
      </c>
      <c r="AK554" s="435">
        <f t="shared" si="255"/>
        <v>608498.9548110636</v>
      </c>
      <c r="AL554" s="435"/>
      <c r="AM554" s="435">
        <f t="shared" si="249"/>
        <v>628911.06256054575</v>
      </c>
      <c r="AN554" s="435"/>
      <c r="AO554" s="435">
        <f t="shared" si="250"/>
        <v>1158.9723411676682</v>
      </c>
      <c r="AP554" s="435"/>
      <c r="AQ554" s="435">
        <f t="shared" si="251"/>
        <v>1197.4132220518154</v>
      </c>
      <c r="AR554" s="435"/>
    </row>
    <row r="555" spans="33:44" x14ac:dyDescent="0.25">
      <c r="AG555" s="412" t="str">
        <f t="shared" si="252"/>
        <v>Embedded Distributor - Hydro One, CND</v>
      </c>
      <c r="AH555" s="435">
        <f t="shared" si="253"/>
        <v>1</v>
      </c>
      <c r="AI555" s="435"/>
      <c r="AJ555" s="410" t="str">
        <f t="shared" si="254"/>
        <v>kW</v>
      </c>
      <c r="AK555" s="435">
        <f t="shared" si="255"/>
        <v>-1162.3432353676217</v>
      </c>
      <c r="AL555" s="435"/>
      <c r="AM555" s="435">
        <f t="shared" si="249"/>
        <v>-923.31674828425457</v>
      </c>
      <c r="AN555" s="435"/>
      <c r="AO555" s="435">
        <f t="shared" ref="AO555:AO559" si="256">AP539-AO539</f>
        <v>-15515.578235367622</v>
      </c>
      <c r="AP555" s="435"/>
      <c r="AQ555" s="435">
        <f t="shared" ref="AQ555:AQ558" si="257">AR539-AQ539</f>
        <v>-15396.064991825939</v>
      </c>
      <c r="AR555" s="435"/>
    </row>
    <row r="556" spans="33:44" x14ac:dyDescent="0.25">
      <c r="AG556" s="412" t="str">
        <f t="shared" si="252"/>
        <v>Embedded Distributor - Waterloo North, CND</v>
      </c>
      <c r="AH556" s="435">
        <f t="shared" si="253"/>
        <v>0</v>
      </c>
      <c r="AI556" s="435"/>
      <c r="AJ556" s="410" t="str">
        <f t="shared" si="254"/>
        <v>kW</v>
      </c>
      <c r="AK556" s="435">
        <f t="shared" si="255"/>
        <v>33814.813235367619</v>
      </c>
      <c r="AL556" s="435"/>
      <c r="AM556" s="435">
        <f t="shared" ref="AM556:AM559" si="258">AN540-AM540</f>
        <v>34704.00785092407</v>
      </c>
      <c r="AN556" s="435"/>
      <c r="AO556" s="435">
        <f>AP540-AO540</f>
        <v>33814.813235367619</v>
      </c>
      <c r="AP556" s="435"/>
      <c r="AQ556" s="435">
        <f>AR540-AQ540</f>
        <v>34704.00785092407</v>
      </c>
      <c r="AR556" s="435"/>
    </row>
    <row r="557" spans="33:44" x14ac:dyDescent="0.25">
      <c r="AG557" s="412" t="str">
        <f t="shared" si="252"/>
        <v>Embedded Distributor - Brantford Power, BCP</v>
      </c>
      <c r="AH557" s="435">
        <f t="shared" si="253"/>
        <v>0</v>
      </c>
      <c r="AI557" s="435"/>
      <c r="AJ557" s="410" t="str">
        <f t="shared" si="254"/>
        <v>kW</v>
      </c>
      <c r="AK557" s="435">
        <f t="shared" si="255"/>
        <v>56.67</v>
      </c>
      <c r="AL557" s="435"/>
      <c r="AM557" s="435">
        <f>AN541-AM541</f>
        <v>57.458276563861133</v>
      </c>
      <c r="AN557" s="435"/>
      <c r="AO557" s="435">
        <f t="shared" si="256"/>
        <v>56.67</v>
      </c>
      <c r="AP557" s="435"/>
      <c r="AQ557" s="435">
        <f t="shared" si="257"/>
        <v>57.458276563861133</v>
      </c>
      <c r="AR557" s="435"/>
    </row>
    <row r="558" spans="33:44" x14ac:dyDescent="0.25">
      <c r="AG558" s="412" t="str">
        <f t="shared" si="252"/>
        <v>Embedded Distributor - Hydro One #1, BCP</v>
      </c>
      <c r="AH558" s="435">
        <f t="shared" si="253"/>
        <v>0</v>
      </c>
      <c r="AI558" s="435"/>
      <c r="AJ558" s="410" t="str">
        <f t="shared" si="254"/>
        <v>kW</v>
      </c>
      <c r="AK558" s="435">
        <f t="shared" si="255"/>
        <v>5110.1700000000019</v>
      </c>
      <c r="AL558" s="435"/>
      <c r="AM558" s="435">
        <f>AN542-AM542</f>
        <v>5375.1395872209214</v>
      </c>
      <c r="AN558" s="435"/>
      <c r="AO558" s="435">
        <f t="shared" si="256"/>
        <v>5110.1700000000019</v>
      </c>
      <c r="AP558" s="435"/>
      <c r="AQ558" s="435">
        <f t="shared" si="257"/>
        <v>5375.1395872209214</v>
      </c>
      <c r="AR558" s="435"/>
    </row>
    <row r="559" spans="33:44" x14ac:dyDescent="0.25">
      <c r="AG559" s="412" t="str">
        <f t="shared" si="252"/>
        <v>Embedded Distributor - Hydro One #2, BCP</v>
      </c>
      <c r="AH559" s="435">
        <f t="shared" si="253"/>
        <v>0</v>
      </c>
      <c r="AI559" s="435"/>
      <c r="AJ559" s="410" t="str">
        <f t="shared" si="254"/>
        <v>kW</v>
      </c>
      <c r="AK559" s="435">
        <f t="shared" si="255"/>
        <v>25523.883556924658</v>
      </c>
      <c r="AL559" s="435"/>
      <c r="AM559" s="435">
        <f t="shared" si="258"/>
        <v>26573.571876707123</v>
      </c>
      <c r="AN559" s="435"/>
      <c r="AO559" s="435">
        <f t="shared" si="256"/>
        <v>6380.9708892311646</v>
      </c>
      <c r="AP559" s="435"/>
      <c r="AQ559" s="435">
        <f>AR543-AQ543</f>
        <v>6643.3929691767808</v>
      </c>
      <c r="AR559" s="435"/>
    </row>
    <row r="561" spans="28:37" x14ac:dyDescent="0.25">
      <c r="AB561" s="313" t="s">
        <v>374</v>
      </c>
      <c r="AC561" s="313"/>
      <c r="AD561" s="313"/>
      <c r="AE561" s="398"/>
      <c r="AF561" s="398"/>
    </row>
    <row r="562" spans="28:37" ht="30" x14ac:dyDescent="0.25">
      <c r="AB562" s="421"/>
      <c r="AC562" s="417" t="s">
        <v>241</v>
      </c>
      <c r="AD562" s="417" t="s">
        <v>312</v>
      </c>
      <c r="AE562" s="417" t="s">
        <v>375</v>
      </c>
      <c r="AF562" s="417" t="s">
        <v>371</v>
      </c>
    </row>
    <row r="563" spans="28:37" s="308" customFormat="1" ht="30" x14ac:dyDescent="0.25">
      <c r="AB563" s="399" t="s">
        <v>272</v>
      </c>
      <c r="AC563" s="400"/>
      <c r="AD563" s="400"/>
      <c r="AE563" s="400"/>
      <c r="AF563" s="400"/>
    </row>
    <row r="564" spans="28:37" x14ac:dyDescent="0.25">
      <c r="AB564" s="401" t="s">
        <v>1</v>
      </c>
      <c r="AC564" s="402">
        <f>$Q$5</f>
        <v>16422948.089999998</v>
      </c>
      <c r="AD564" s="402">
        <f>$R$5</f>
        <v>16660342</v>
      </c>
      <c r="AE564" s="402">
        <f>AD564-AC564</f>
        <v>237393.91000000201</v>
      </c>
      <c r="AF564" s="403">
        <f>AE564/AD564</f>
        <v>1.4249041826392399E-2</v>
      </c>
    </row>
    <row r="565" spans="28:37" x14ac:dyDescent="0.25">
      <c r="AB565" s="401" t="s">
        <v>138</v>
      </c>
      <c r="AC565" s="402">
        <f>$Q$6</f>
        <v>3926809.24</v>
      </c>
      <c r="AD565" s="402">
        <f>$R$6</f>
        <v>4171987</v>
      </c>
      <c r="AE565" s="402">
        <f t="shared" ref="AE565:AE572" si="259">AD565-AC565</f>
        <v>245177.75999999978</v>
      </c>
      <c r="AF565" s="403">
        <f t="shared" ref="AF565:AF574" si="260">AE565/AD565</f>
        <v>5.8767623197291785E-2</v>
      </c>
    </row>
    <row r="566" spans="28:37" x14ac:dyDescent="0.25">
      <c r="AB566" s="401" t="s">
        <v>139</v>
      </c>
      <c r="AC566" s="402">
        <f>$Q$7</f>
        <v>7634121.7500000009</v>
      </c>
      <c r="AD566" s="402">
        <f>$R$7</f>
        <v>7544907</v>
      </c>
      <c r="AE566" s="402">
        <f t="shared" si="259"/>
        <v>-89214.750000000931</v>
      </c>
      <c r="AF566" s="403">
        <f t="shared" si="260"/>
        <v>-1.1824499626039252E-2</v>
      </c>
    </row>
    <row r="567" spans="28:37" x14ac:dyDescent="0.25">
      <c r="AB567" s="401" t="s">
        <v>140</v>
      </c>
      <c r="AC567" s="402">
        <f>$Q$8</f>
        <v>1841141.4400000002</v>
      </c>
      <c r="AD567" s="402">
        <f>$R$8</f>
        <v>1833026</v>
      </c>
      <c r="AE567" s="402">
        <f t="shared" si="259"/>
        <v>-8115.440000000177</v>
      </c>
      <c r="AF567" s="403">
        <f t="shared" si="260"/>
        <v>-4.4273458205176452E-3</v>
      </c>
    </row>
    <row r="568" spans="28:37" x14ac:dyDescent="0.25">
      <c r="AB568" s="401" t="s">
        <v>113</v>
      </c>
      <c r="AC568" s="402">
        <f>$Q$9</f>
        <v>1244375.8800000001</v>
      </c>
      <c r="AD568" s="402">
        <f>$R$9</f>
        <v>1228321</v>
      </c>
      <c r="AE568" s="402">
        <f t="shared" si="259"/>
        <v>-16054.880000000121</v>
      </c>
      <c r="AF568" s="403">
        <f t="shared" si="260"/>
        <v>-1.3070589853955213E-2</v>
      </c>
    </row>
    <row r="569" spans="28:37" x14ac:dyDescent="0.25">
      <c r="AB569" s="401" t="s">
        <v>66</v>
      </c>
      <c r="AC569" s="402">
        <f>$Q$10</f>
        <v>1000646.87</v>
      </c>
      <c r="AD569" s="402">
        <f>$R$10</f>
        <v>1069866</v>
      </c>
      <c r="AE569" s="402">
        <f t="shared" si="259"/>
        <v>69219.13</v>
      </c>
      <c r="AF569" s="403">
        <f t="shared" si="260"/>
        <v>6.4698878177267063E-2</v>
      </c>
    </row>
    <row r="570" spans="28:37" x14ac:dyDescent="0.25">
      <c r="AB570" s="401" t="s">
        <v>195</v>
      </c>
      <c r="AC570" s="402">
        <f>$Q$11</f>
        <v>17721</v>
      </c>
      <c r="AD570" s="402">
        <f>$R$11</f>
        <v>28319</v>
      </c>
      <c r="AE570" s="402">
        <f t="shared" si="259"/>
        <v>10598</v>
      </c>
      <c r="AF570" s="403">
        <f t="shared" si="260"/>
        <v>0.37423637840319218</v>
      </c>
    </row>
    <row r="571" spans="28:37" x14ac:dyDescent="0.25">
      <c r="AB571" s="401" t="s">
        <v>2</v>
      </c>
      <c r="AC571" s="402">
        <f>$Q$12</f>
        <v>58508.86</v>
      </c>
      <c r="AD571" s="402">
        <f>$R$12</f>
        <v>56137</v>
      </c>
      <c r="AE571" s="402">
        <f t="shared" si="259"/>
        <v>-2371.8600000000006</v>
      </c>
      <c r="AF571" s="403">
        <f t="shared" si="260"/>
        <v>-4.225127812316299E-2</v>
      </c>
    </row>
    <row r="572" spans="28:37" x14ac:dyDescent="0.25">
      <c r="AB572" s="401" t="s">
        <v>227</v>
      </c>
      <c r="AC572" s="402">
        <f>$Q$13</f>
        <v>196448</v>
      </c>
      <c r="AD572" s="402">
        <f>$R$13</f>
        <v>260109</v>
      </c>
      <c r="AE572" s="402">
        <f t="shared" si="259"/>
        <v>63661</v>
      </c>
      <c r="AF572" s="403">
        <f t="shared" si="260"/>
        <v>0.24474739436159457</v>
      </c>
    </row>
    <row r="573" spans="28:37" x14ac:dyDescent="0.25">
      <c r="AB573" s="401" t="s">
        <v>340</v>
      </c>
      <c r="AC573" s="402">
        <f>Q15</f>
        <v>-24598.18</v>
      </c>
      <c r="AD573" s="402">
        <f>R15</f>
        <v>49728</v>
      </c>
      <c r="AE573" s="402">
        <f t="shared" ref="AE573" si="261">AD573-AC573</f>
        <v>74326.179999999993</v>
      </c>
      <c r="AF573" s="403">
        <f t="shared" si="260"/>
        <v>1.4946545205920205</v>
      </c>
    </row>
    <row r="574" spans="28:37" x14ac:dyDescent="0.25">
      <c r="AB574" s="404" t="s">
        <v>20</v>
      </c>
      <c r="AC574" s="405">
        <f>SUM(AC564:AC573)</f>
        <v>32318122.949999999</v>
      </c>
      <c r="AD574" s="405">
        <f t="shared" ref="AD574:AE574" si="262">SUM(AD564:AD573)</f>
        <v>32902742</v>
      </c>
      <c r="AE574" s="405">
        <f t="shared" si="262"/>
        <v>584619.05000000051</v>
      </c>
      <c r="AF574" s="406">
        <f t="shared" si="260"/>
        <v>1.7768095133226299E-2</v>
      </c>
    </row>
    <row r="576" spans="28:37" x14ac:dyDescent="0.25">
      <c r="AG576" s="313" t="s">
        <v>376</v>
      </c>
      <c r="AH576" s="313"/>
      <c r="AI576" s="313"/>
      <c r="AJ576" s="398"/>
      <c r="AK576" s="398"/>
    </row>
    <row r="577" spans="33:44" ht="72" customHeight="1" x14ac:dyDescent="0.25">
      <c r="AG577" s="421" t="s">
        <v>245</v>
      </c>
      <c r="AH577" s="437" t="s">
        <v>246</v>
      </c>
      <c r="AI577" s="438"/>
      <c r="AJ577" s="417" t="s">
        <v>247</v>
      </c>
      <c r="AK577" s="437" t="s">
        <v>97</v>
      </c>
      <c r="AL577" s="438"/>
      <c r="AM577" s="437" t="s">
        <v>248</v>
      </c>
      <c r="AN577" s="438"/>
      <c r="AO577" s="437" t="s">
        <v>249</v>
      </c>
      <c r="AP577" s="438"/>
      <c r="AQ577" s="437" t="s">
        <v>250</v>
      </c>
      <c r="AR577" s="438"/>
    </row>
    <row r="578" spans="33:44" x14ac:dyDescent="0.25">
      <c r="AG578" s="439" t="s">
        <v>310</v>
      </c>
      <c r="AH578" s="439"/>
      <c r="AI578" s="439"/>
      <c r="AJ578" s="439"/>
      <c r="AK578" s="439"/>
      <c r="AL578" s="439"/>
      <c r="AM578" s="407">
        <f>$F$253</f>
        <v>1.0083265719220569</v>
      </c>
      <c r="AN578" s="407">
        <f>$F$254</f>
        <v>1.0005860810991496</v>
      </c>
      <c r="AO578" s="440"/>
      <c r="AP578" s="440"/>
      <c r="AQ578" s="440"/>
      <c r="AR578" s="440"/>
    </row>
    <row r="579" spans="33:44" ht="38.25" customHeight="1" x14ac:dyDescent="0.25">
      <c r="AG579" s="404"/>
      <c r="AH579" s="408" t="str">
        <f>AC562</f>
        <v>2014 
Actual</v>
      </c>
      <c r="AI579" s="408" t="str">
        <f>AD562</f>
        <v>2015
Actual</v>
      </c>
      <c r="AJ579" s="409"/>
      <c r="AK579" s="408" t="str">
        <f>AH579</f>
        <v>2014 
Actual</v>
      </c>
      <c r="AL579" s="408" t="str">
        <f>AI579</f>
        <v>2015
Actual</v>
      </c>
      <c r="AM579" s="408" t="str">
        <f>AK579</f>
        <v>2014 
Actual</v>
      </c>
      <c r="AN579" s="408" t="str">
        <f>AL579</f>
        <v>2015
Actual</v>
      </c>
      <c r="AO579" s="408" t="str">
        <f>AM579</f>
        <v>2014 
Actual</v>
      </c>
      <c r="AP579" s="408" t="str">
        <f t="shared" ref="AP579" si="263">AN579</f>
        <v>2015
Actual</v>
      </c>
      <c r="AQ579" s="408" t="str">
        <f t="shared" ref="AQ579" si="264">AO579</f>
        <v>2014 
Actual</v>
      </c>
      <c r="AR579" s="408" t="str">
        <f t="shared" ref="AR579" si="265">AP579</f>
        <v>2015
Actual</v>
      </c>
    </row>
    <row r="580" spans="33:44" x14ac:dyDescent="0.25">
      <c r="AG580" s="401" t="s">
        <v>1</v>
      </c>
      <c r="AH580" s="392">
        <f>Summary!$F$16</f>
        <v>55463.033333333333</v>
      </c>
      <c r="AI580" s="392">
        <f>Summary!$G$16</f>
        <v>55921.837967914442</v>
      </c>
      <c r="AJ580" s="410" t="s">
        <v>89</v>
      </c>
      <c r="AK580" s="392">
        <f>Summary!$F$17</f>
        <v>477025968.10000002</v>
      </c>
      <c r="AL580" s="392">
        <f>Summary!$G$17</f>
        <v>486541295.97806096</v>
      </c>
      <c r="AM580" s="410">
        <f>AK580*AM578</f>
        <v>480997959.13207346</v>
      </c>
      <c r="AN580" s="392">
        <f>AL580*AN578</f>
        <v>486826448.63558942</v>
      </c>
      <c r="AO580" s="410">
        <f>AK580/AH580</f>
        <v>8600.791183436897</v>
      </c>
      <c r="AP580" s="410">
        <f>AL580/AI580</f>
        <v>8700.3809899312964</v>
      </c>
      <c r="AQ580" s="410">
        <f>AM580/AH580</f>
        <v>8672.4062898123757</v>
      </c>
      <c r="AR580" s="410">
        <f>AN580/AI580</f>
        <v>8705.4801187848934</v>
      </c>
    </row>
    <row r="581" spans="33:44" x14ac:dyDescent="0.25">
      <c r="AG581" s="401" t="s">
        <v>138</v>
      </c>
      <c r="AH581" s="392">
        <f>Summary!$F$20</f>
        <v>6056.767035527082</v>
      </c>
      <c r="AI581" s="392">
        <f>Summary!$G$20</f>
        <v>6149.0998196068595</v>
      </c>
      <c r="AJ581" s="410" t="s">
        <v>89</v>
      </c>
      <c r="AK581" s="392">
        <f>Summary!$F$21</f>
        <v>198149244.67199999</v>
      </c>
      <c r="AL581" s="392">
        <f>Summary!$G$21</f>
        <v>203100575.02300143</v>
      </c>
      <c r="AM581" s="410">
        <f>AK581*AM578</f>
        <v>199799148.60906264</v>
      </c>
      <c r="AN581" s="392">
        <f>AL581*AN578</f>
        <v>203219608.43124881</v>
      </c>
      <c r="AO581" s="410">
        <f t="shared" ref="AO581:AO593" si="266">AK581/AH581</f>
        <v>32715.348553067852</v>
      </c>
      <c r="AP581" s="410">
        <f t="shared" ref="AP581:AP586" si="267">AL581/AI581</f>
        <v>33029.318271172022</v>
      </c>
      <c r="AQ581" s="410">
        <f t="shared" ref="AQ581:AQ593" si="268">AM581/AH581</f>
        <v>32987.755255750133</v>
      </c>
      <c r="AR581" s="410">
        <f t="shared" ref="AR581:AR588" si="269">AN581/AI581</f>
        <v>33048.676130328553</v>
      </c>
    </row>
    <row r="582" spans="33:44" x14ac:dyDescent="0.25">
      <c r="AG582" s="401" t="s">
        <v>139</v>
      </c>
      <c r="AH582" s="392">
        <f>Summary!$F$24</f>
        <v>825.00052126772312</v>
      </c>
      <c r="AI582" s="392">
        <f>Summary!$G$24</f>
        <v>807.93707304671102</v>
      </c>
      <c r="AJ582" s="410" t="s">
        <v>90</v>
      </c>
      <c r="AK582" s="392">
        <f>Summary!$F$26</f>
        <v>1605303.1854654762</v>
      </c>
      <c r="AL582" s="392">
        <f>Summary!$G$26</f>
        <v>1555819.3298522707</v>
      </c>
      <c r="AM582" s="410">
        <f>AK582*AM578</f>
        <v>1618669.8578959615</v>
      </c>
      <c r="AN582" s="392">
        <f>AL582*AN578</f>
        <v>1556731.1661551886</v>
      </c>
      <c r="AO582" s="410">
        <f t="shared" si="266"/>
        <v>1945.8208135416862</v>
      </c>
      <c r="AP582" s="410">
        <f t="shared" si="267"/>
        <v>1925.6689434801078</v>
      </c>
      <c r="AQ582" s="410">
        <f t="shared" si="268"/>
        <v>1962.0228304930763</v>
      </c>
      <c r="AR582" s="410">
        <f t="shared" si="269"/>
        <v>1926.7975416511008</v>
      </c>
    </row>
    <row r="583" spans="33:44" x14ac:dyDescent="0.25">
      <c r="AG583" s="401" t="s">
        <v>140</v>
      </c>
      <c r="AH583" s="392">
        <f>Summary!$F$29</f>
        <v>29</v>
      </c>
      <c r="AI583" s="392">
        <f>Summary!$G$29</f>
        <v>29</v>
      </c>
      <c r="AJ583" s="410" t="s">
        <v>90</v>
      </c>
      <c r="AK583" s="392">
        <f>Summary!$F$31</f>
        <v>581849.28</v>
      </c>
      <c r="AL583" s="392">
        <f>Summary!$G$31</f>
        <v>581152.97</v>
      </c>
      <c r="AM583" s="410">
        <f>AK583*AM578</f>
        <v>586694.08987771708</v>
      </c>
      <c r="AN583" s="392">
        <f>AL583*AN578</f>
        <v>581493.57277143165</v>
      </c>
      <c r="AO583" s="410">
        <f t="shared" si="266"/>
        <v>20063.768275862069</v>
      </c>
      <c r="AP583" s="410">
        <f t="shared" si="267"/>
        <v>20039.757586206895</v>
      </c>
      <c r="AQ583" s="410">
        <f t="shared" si="268"/>
        <v>20230.830685438519</v>
      </c>
      <c r="AR583" s="410">
        <f t="shared" si="269"/>
        <v>20051.502509359711</v>
      </c>
    </row>
    <row r="584" spans="33:44" x14ac:dyDescent="0.25">
      <c r="AG584" s="401" t="s">
        <v>113</v>
      </c>
      <c r="AH584" s="392">
        <f>Summary!$F$34</f>
        <v>2.5</v>
      </c>
      <c r="AI584" s="392">
        <f>Summary!$G$34</f>
        <v>2</v>
      </c>
      <c r="AJ584" s="410" t="s">
        <v>90</v>
      </c>
      <c r="AK584" s="392">
        <f>Summary!$F$36</f>
        <v>457866.89653992082</v>
      </c>
      <c r="AL584" s="392">
        <f>Summary!$G$36</f>
        <v>430086.51000000007</v>
      </c>
      <c r="AM584" s="410">
        <f>AK584*AM578</f>
        <v>461679.35818468942</v>
      </c>
      <c r="AN584" s="392">
        <f>AL584*AN578</f>
        <v>430338.57557451027</v>
      </c>
      <c r="AO584" s="410">
        <f t="shared" si="266"/>
        <v>183146.75861596834</v>
      </c>
      <c r="AP584" s="410">
        <f t="shared" si="267"/>
        <v>215043.25500000003</v>
      </c>
      <c r="AQ584" s="410">
        <f t="shared" si="268"/>
        <v>184671.74327387576</v>
      </c>
      <c r="AR584" s="410">
        <f t="shared" si="269"/>
        <v>215169.28778725513</v>
      </c>
    </row>
    <row r="585" spans="33:44" x14ac:dyDescent="0.25">
      <c r="AG585" s="401" t="s">
        <v>112</v>
      </c>
      <c r="AH585" s="392">
        <f>Summary!$F$39</f>
        <v>4</v>
      </c>
      <c r="AI585" s="392">
        <f>Summary!$G$39</f>
        <v>4</v>
      </c>
      <c r="AJ585" s="410" t="s">
        <v>90</v>
      </c>
      <c r="AK585" s="392">
        <f>Summary!$F$40</f>
        <v>69660.58</v>
      </c>
      <c r="AL585" s="392">
        <f>Summary!$G$40</f>
        <v>69115.460000000006</v>
      </c>
      <c r="AM585" s="410">
        <f>AK585*AM578</f>
        <v>70240.613829502196</v>
      </c>
      <c r="AN585" s="392">
        <f>AL585*AN578</f>
        <v>69155.96726476503</v>
      </c>
      <c r="AO585" s="410">
        <f t="shared" si="266"/>
        <v>17415.145</v>
      </c>
      <c r="AP585" s="410">
        <f t="shared" si="267"/>
        <v>17278.865000000002</v>
      </c>
      <c r="AQ585" s="410">
        <f t="shared" si="268"/>
        <v>17560.153457375549</v>
      </c>
      <c r="AR585" s="410">
        <f t="shared" si="269"/>
        <v>17288.991816191257</v>
      </c>
    </row>
    <row r="586" spans="33:44" x14ac:dyDescent="0.25">
      <c r="AG586" s="401" t="s">
        <v>66</v>
      </c>
      <c r="AH586" s="392">
        <f>Summary!$F$43</f>
        <v>15512.073785272187</v>
      </c>
      <c r="AI586" s="392">
        <f>Summary!$G$43</f>
        <v>15538.5</v>
      </c>
      <c r="AJ586" s="410" t="s">
        <v>90</v>
      </c>
      <c r="AK586" s="392">
        <f>Summary!$F$45</f>
        <v>31886.136091179094</v>
      </c>
      <c r="AL586" s="392">
        <f>Summary!$G$45</f>
        <v>31872.978670269313</v>
      </c>
      <c r="AM586" s="410">
        <f>AK586*AM578</f>
        <v>32151.638296658792</v>
      </c>
      <c r="AN586" s="392">
        <f>AL586*AN578</f>
        <v>31891.658820641554</v>
      </c>
      <c r="AO586" s="410">
        <f t="shared" si="266"/>
        <v>2.0555688770287524</v>
      </c>
      <c r="AP586" s="410">
        <f t="shared" si="267"/>
        <v>2.0512262232692544</v>
      </c>
      <c r="AQ586" s="410">
        <f t="shared" si="268"/>
        <v>2.0726847191240738</v>
      </c>
      <c r="AR586" s="410">
        <f t="shared" si="269"/>
        <v>2.0524284081887925</v>
      </c>
    </row>
    <row r="587" spans="33:44" x14ac:dyDescent="0.25">
      <c r="AG587" s="401" t="s">
        <v>195</v>
      </c>
      <c r="AH587" s="392">
        <f>Summary!$F$48</f>
        <v>188.52144041696278</v>
      </c>
      <c r="AI587" s="392">
        <f>Summary!$G$48</f>
        <v>188.78204217010187</v>
      </c>
      <c r="AJ587" s="410" t="s">
        <v>90</v>
      </c>
      <c r="AK587" s="392">
        <f>Summary!$F$50</f>
        <v>292.76845053333329</v>
      </c>
      <c r="AL587" s="392">
        <f>Summary!$G$50</f>
        <v>288.48305517777777</v>
      </c>
      <c r="AM587" s="410">
        <f>AK587*AM578</f>
        <v>295.20620809320826</v>
      </c>
      <c r="AN587" s="392">
        <f>AL587*AN578</f>
        <v>288.65212964384239</v>
      </c>
      <c r="AO587" s="410">
        <f t="shared" si="266"/>
        <v>1.552971640179504</v>
      </c>
      <c r="AP587" s="410">
        <f>AL587/AI587</f>
        <v>1.528127632594632</v>
      </c>
      <c r="AQ587" s="410">
        <f t="shared" si="268"/>
        <v>1.5659025702343732</v>
      </c>
      <c r="AR587" s="410">
        <f t="shared" si="269"/>
        <v>1.5290232393171839</v>
      </c>
    </row>
    <row r="588" spans="33:44" x14ac:dyDescent="0.25">
      <c r="AG588" s="401" t="s">
        <v>2</v>
      </c>
      <c r="AH588" s="392">
        <f>Summary!$F$53</f>
        <v>531</v>
      </c>
      <c r="AI588" s="392">
        <f>Summary!$G$53</f>
        <v>534</v>
      </c>
      <c r="AJ588" s="410" t="s">
        <v>89</v>
      </c>
      <c r="AK588" s="392">
        <f>Summary!$F$54</f>
        <v>2451441.9548110636</v>
      </c>
      <c r="AL588" s="392">
        <f>Summary!$G$54</f>
        <v>2413613.7725536497</v>
      </c>
      <c r="AM588" s="410">
        <f>AK588*AM578</f>
        <v>2471854.0625605457</v>
      </c>
      <c r="AN588" s="392">
        <f>AL588*AN578</f>
        <v>2415028.3459663908</v>
      </c>
      <c r="AO588" s="410">
        <f t="shared" si="266"/>
        <v>4616.6515156517207</v>
      </c>
      <c r="AP588" s="410">
        <f t="shared" ref="AP588:AP593" si="270">AL588/AI588</f>
        <v>4519.8759785648872</v>
      </c>
      <c r="AQ588" s="410">
        <f t="shared" si="268"/>
        <v>4655.0923965358679</v>
      </c>
      <c r="AR588" s="410">
        <f t="shared" si="269"/>
        <v>4522.5249924464251</v>
      </c>
    </row>
    <row r="589" spans="33:44" x14ac:dyDescent="0.25">
      <c r="AG589" s="401" t="s">
        <v>290</v>
      </c>
      <c r="AH589" s="392">
        <f>Summary!$F$57</f>
        <v>2</v>
      </c>
      <c r="AI589" s="392">
        <f>Summary!$G$57</f>
        <v>2</v>
      </c>
      <c r="AJ589" s="410" t="s">
        <v>90</v>
      </c>
      <c r="AK589" s="392">
        <f>Summary!$F$59</f>
        <v>28706.47</v>
      </c>
      <c r="AL589" s="392">
        <f>Summary!$G$59</f>
        <v>28843.22000000003</v>
      </c>
      <c r="AM589" s="410">
        <f>AK589*AM578</f>
        <v>28945.496487083368</v>
      </c>
      <c r="AN589" s="392">
        <f>AL589*AN578</f>
        <v>28860.124466080644</v>
      </c>
      <c r="AO589" s="410">
        <f t="shared" si="266"/>
        <v>14353.235000000001</v>
      </c>
      <c r="AP589" s="410">
        <f t="shared" si="270"/>
        <v>14421.610000000015</v>
      </c>
      <c r="AQ589" s="410">
        <f t="shared" si="268"/>
        <v>14472.748243541684</v>
      </c>
      <c r="AR589" s="410">
        <f>AN589/AI589</f>
        <v>14430.062233040322</v>
      </c>
    </row>
    <row r="590" spans="33:44" x14ac:dyDescent="0.25">
      <c r="AG590" s="401" t="s">
        <v>291</v>
      </c>
      <c r="AH590" s="392">
        <f>Summary!$F$62</f>
        <v>1</v>
      </c>
      <c r="AI590" s="392">
        <f>Summary!$G$62</f>
        <v>1</v>
      </c>
      <c r="AJ590" s="410" t="s">
        <v>90</v>
      </c>
      <c r="AK590" s="392">
        <f>Summary!$F$64</f>
        <v>106790</v>
      </c>
      <c r="AL590" s="392">
        <f>Summary!$G$64</f>
        <v>108928.78999999998</v>
      </c>
      <c r="AM590" s="410">
        <f>AK590*AM578</f>
        <v>107679.19461555645</v>
      </c>
      <c r="AN590" s="392">
        <f>AL590*AN578</f>
        <v>108992.63110497221</v>
      </c>
      <c r="AO590" s="410">
        <f t="shared" si="266"/>
        <v>106790</v>
      </c>
      <c r="AP590" s="410">
        <f t="shared" si="270"/>
        <v>108928.78999999998</v>
      </c>
      <c r="AQ590" s="410">
        <f t="shared" si="268"/>
        <v>107679.19461555645</v>
      </c>
      <c r="AR590" s="410">
        <f t="shared" ref="AR590:AR593" si="271">AN590/AI590</f>
        <v>108992.63110497221</v>
      </c>
    </row>
    <row r="591" spans="33:44" x14ac:dyDescent="0.25">
      <c r="AG591" s="401" t="s">
        <v>292</v>
      </c>
      <c r="AH591" s="392">
        <f>Summary!$F$67</f>
        <v>1</v>
      </c>
      <c r="AI591" s="392">
        <f>Summary!$G$67</f>
        <v>1</v>
      </c>
      <c r="AJ591" s="410" t="s">
        <v>90</v>
      </c>
      <c r="AK591" s="392">
        <f>Summary!$F$69</f>
        <v>94.67</v>
      </c>
      <c r="AL591" s="392">
        <f>Summary!$G$69</f>
        <v>95.46</v>
      </c>
      <c r="AM591" s="410">
        <f>AK591*AM578</f>
        <v>95.458276563861133</v>
      </c>
      <c r="AN591" s="392">
        <f>AL591*AN578</f>
        <v>95.515947301724808</v>
      </c>
      <c r="AO591" s="410">
        <f t="shared" si="266"/>
        <v>94.67</v>
      </c>
      <c r="AP591" s="410">
        <f t="shared" si="270"/>
        <v>95.46</v>
      </c>
      <c r="AQ591" s="410">
        <f t="shared" si="268"/>
        <v>95.458276563861133</v>
      </c>
      <c r="AR591" s="410">
        <f t="shared" si="271"/>
        <v>95.515947301724808</v>
      </c>
    </row>
    <row r="592" spans="33:44" x14ac:dyDescent="0.25">
      <c r="AG592" s="401" t="s">
        <v>293</v>
      </c>
      <c r="AH592" s="392">
        <f>Summary!$F$72</f>
        <v>1</v>
      </c>
      <c r="AI592" s="392">
        <f>Summary!$G$72</f>
        <v>1</v>
      </c>
      <c r="AJ592" s="410" t="s">
        <v>90</v>
      </c>
      <c r="AK592" s="392">
        <f>Summary!$F$74</f>
        <v>31822.170000000002</v>
      </c>
      <c r="AL592" s="392">
        <f>Summary!$G$74</f>
        <v>30826.699999999997</v>
      </c>
      <c r="AM592" s="410">
        <f>AK592*AM578</f>
        <v>32087.139587220921</v>
      </c>
      <c r="AN592" s="392">
        <f>AL592*AN578</f>
        <v>30844.766946219152</v>
      </c>
      <c r="AO592" s="410">
        <f t="shared" si="266"/>
        <v>31822.170000000002</v>
      </c>
      <c r="AP592" s="410">
        <f t="shared" si="270"/>
        <v>30826.699999999997</v>
      </c>
      <c r="AQ592" s="410">
        <f t="shared" si="268"/>
        <v>32087.139587220921</v>
      </c>
      <c r="AR592" s="410">
        <f t="shared" si="271"/>
        <v>30844.766946219152</v>
      </c>
    </row>
    <row r="593" spans="33:44" x14ac:dyDescent="0.25">
      <c r="AG593" s="401" t="s">
        <v>294</v>
      </c>
      <c r="AH593" s="392">
        <f>Summary!$F$77</f>
        <v>4</v>
      </c>
      <c r="AI593" s="392">
        <f>Summary!$G$77</f>
        <v>4</v>
      </c>
      <c r="AJ593" s="410" t="s">
        <v>90</v>
      </c>
      <c r="AK593" s="392">
        <f>Summary!$F$79</f>
        <v>126064.88355692466</v>
      </c>
      <c r="AL593" s="392">
        <f>Summary!$G$79</f>
        <v>139060.14729191593</v>
      </c>
      <c r="AM593" s="410">
        <f>AK593*AM578</f>
        <v>127114.57187670712</v>
      </c>
      <c r="AN593" s="392">
        <f>AL593*AN578</f>
        <v>139141.64781588869</v>
      </c>
      <c r="AO593" s="410">
        <f t="shared" si="266"/>
        <v>31516.220889231165</v>
      </c>
      <c r="AP593" s="410">
        <f t="shared" si="270"/>
        <v>34765.036822978982</v>
      </c>
      <c r="AQ593" s="410">
        <f t="shared" si="268"/>
        <v>31778.642969176781</v>
      </c>
      <c r="AR593" s="410">
        <f t="shared" si="271"/>
        <v>34785.411953972172</v>
      </c>
    </row>
    <row r="594" spans="33:44" x14ac:dyDescent="0.25">
      <c r="AG594" s="401" t="s">
        <v>12</v>
      </c>
      <c r="AH594" s="392">
        <f>SUM(AH580:AH593)</f>
        <v>78620.89611581729</v>
      </c>
      <c r="AI594" s="392">
        <f>SUM(AI580:AI593)</f>
        <v>79184.156902738119</v>
      </c>
      <c r="AJ594" s="410"/>
      <c r="AK594" s="411"/>
      <c r="AL594" s="411"/>
      <c r="AM594" s="411"/>
      <c r="AN594" s="411"/>
      <c r="AO594" s="411"/>
      <c r="AP594" s="411"/>
      <c r="AQ594" s="411"/>
      <c r="AR594" s="411"/>
    </row>
    <row r="595" spans="33:44" x14ac:dyDescent="0.25">
      <c r="AG595" s="389"/>
      <c r="AH595" s="436" t="s">
        <v>251</v>
      </c>
      <c r="AI595" s="436"/>
      <c r="AJ595" s="389"/>
      <c r="AK595" s="436" t="s">
        <v>251</v>
      </c>
      <c r="AL595" s="436"/>
      <c r="AM595" s="436" t="s">
        <v>251</v>
      </c>
      <c r="AN595" s="436"/>
      <c r="AO595" s="436" t="s">
        <v>251</v>
      </c>
      <c r="AP595" s="436"/>
      <c r="AQ595" s="436" t="s">
        <v>251</v>
      </c>
      <c r="AR595" s="436"/>
    </row>
    <row r="596" spans="33:44" x14ac:dyDescent="0.25">
      <c r="AG596" s="412" t="str">
        <f>AG580</f>
        <v xml:space="preserve">Residential </v>
      </c>
      <c r="AH596" s="435">
        <f>AI580-AH580</f>
        <v>458.80463458110899</v>
      </c>
      <c r="AI596" s="435"/>
      <c r="AJ596" s="410" t="str">
        <f>AJ580</f>
        <v>kWh</v>
      </c>
      <c r="AK596" s="435">
        <f>AL580-AK580</f>
        <v>9515327.8780609369</v>
      </c>
      <c r="AL596" s="435"/>
      <c r="AM596" s="435">
        <f t="shared" ref="AM596:AM605" si="272">AN580-AM580</f>
        <v>5828489.5035159588</v>
      </c>
      <c r="AN596" s="435"/>
      <c r="AO596" s="435">
        <f t="shared" ref="AO596:AO604" si="273">AP580-AO580</f>
        <v>99.589806494399454</v>
      </c>
      <c r="AP596" s="435"/>
      <c r="AQ596" s="435">
        <f t="shared" ref="AQ596:AQ604" si="274">AR580-AQ580</f>
        <v>33.073828972517731</v>
      </c>
      <c r="AR596" s="435"/>
    </row>
    <row r="597" spans="33:44" x14ac:dyDescent="0.25">
      <c r="AG597" s="412" t="str">
        <f t="shared" ref="AG597:AG609" si="275">AG581</f>
        <v>General Service &lt; 50 kW</v>
      </c>
      <c r="AH597" s="435">
        <f t="shared" ref="AH597:AH609" si="276">AI581-AH581</f>
        <v>92.332784079777412</v>
      </c>
      <c r="AI597" s="435"/>
      <c r="AJ597" s="410" t="str">
        <f t="shared" ref="AJ597:AJ609" si="277">AJ581</f>
        <v>kWh</v>
      </c>
      <c r="AK597" s="435">
        <f t="shared" ref="AK597:AK609" si="278">AL581-AK581</f>
        <v>4951330.3510014415</v>
      </c>
      <c r="AL597" s="435"/>
      <c r="AM597" s="435">
        <f t="shared" si="272"/>
        <v>3420459.822186172</v>
      </c>
      <c r="AN597" s="435"/>
      <c r="AO597" s="435">
        <f t="shared" si="273"/>
        <v>313.96971810417017</v>
      </c>
      <c r="AP597" s="435"/>
      <c r="AQ597" s="435">
        <f t="shared" si="274"/>
        <v>60.920874578419898</v>
      </c>
      <c r="AR597" s="435"/>
    </row>
    <row r="598" spans="33:44" x14ac:dyDescent="0.25">
      <c r="AG598" s="412" t="str">
        <f t="shared" si="275"/>
        <v>General Service &gt; 50 to 999 kW</v>
      </c>
      <c r="AH598" s="435">
        <f t="shared" si="276"/>
        <v>-17.063448221012095</v>
      </c>
      <c r="AI598" s="435"/>
      <c r="AJ598" s="410" t="str">
        <f t="shared" si="277"/>
        <v>kW</v>
      </c>
      <c r="AK598" s="435">
        <f t="shared" si="278"/>
        <v>-49483.855613205582</v>
      </c>
      <c r="AL598" s="435"/>
      <c r="AM598" s="435">
        <f t="shared" si="272"/>
        <v>-61938.69174077292</v>
      </c>
      <c r="AN598" s="435"/>
      <c r="AO598" s="435">
        <f t="shared" si="273"/>
        <v>-20.151870061578393</v>
      </c>
      <c r="AP598" s="435"/>
      <c r="AQ598" s="435">
        <f t="shared" si="274"/>
        <v>-35.225288841975498</v>
      </c>
      <c r="AR598" s="435"/>
    </row>
    <row r="599" spans="33:44" x14ac:dyDescent="0.25">
      <c r="AG599" s="412" t="str">
        <f t="shared" si="275"/>
        <v>General Service &gt; 1000 to 4999 kW</v>
      </c>
      <c r="AH599" s="435">
        <f t="shared" si="276"/>
        <v>0</v>
      </c>
      <c r="AI599" s="435"/>
      <c r="AJ599" s="410" t="str">
        <f t="shared" si="277"/>
        <v>kW</v>
      </c>
      <c r="AK599" s="435">
        <f t="shared" si="278"/>
        <v>-696.31000000005588</v>
      </c>
      <c r="AL599" s="435"/>
      <c r="AM599" s="435">
        <f t="shared" si="272"/>
        <v>-5200.5171062854351</v>
      </c>
      <c r="AN599" s="435"/>
      <c r="AO599" s="435">
        <f t="shared" si="273"/>
        <v>-24.010689655173337</v>
      </c>
      <c r="AP599" s="435"/>
      <c r="AQ599" s="435">
        <f t="shared" si="274"/>
        <v>-179.32817607880861</v>
      </c>
      <c r="AR599" s="435"/>
    </row>
    <row r="600" spans="33:44" x14ac:dyDescent="0.25">
      <c r="AG600" s="412" t="str">
        <f t="shared" si="275"/>
        <v>Large User</v>
      </c>
      <c r="AH600" s="435">
        <f t="shared" si="276"/>
        <v>-0.5</v>
      </c>
      <c r="AI600" s="435"/>
      <c r="AJ600" s="410" t="str">
        <f t="shared" si="277"/>
        <v>kW</v>
      </c>
      <c r="AK600" s="435">
        <f t="shared" si="278"/>
        <v>-27780.386539920757</v>
      </c>
      <c r="AL600" s="435"/>
      <c r="AM600" s="435">
        <f t="shared" si="272"/>
        <v>-31340.782610179158</v>
      </c>
      <c r="AN600" s="435"/>
      <c r="AO600" s="435">
        <f t="shared" si="273"/>
        <v>31896.496384031692</v>
      </c>
      <c r="AP600" s="435"/>
      <c r="AQ600" s="435">
        <f t="shared" si="274"/>
        <v>30497.544513379369</v>
      </c>
      <c r="AR600" s="435"/>
    </row>
    <row r="601" spans="33:44" x14ac:dyDescent="0.25">
      <c r="AG601" s="412" t="str">
        <f t="shared" si="275"/>
        <v>Direct Market Participant</v>
      </c>
      <c r="AH601" s="435">
        <f t="shared" si="276"/>
        <v>0</v>
      </c>
      <c r="AI601" s="435"/>
      <c r="AJ601" s="410" t="str">
        <f t="shared" si="277"/>
        <v>kW</v>
      </c>
      <c r="AK601" s="435">
        <f t="shared" si="278"/>
        <v>-545.11999999999534</v>
      </c>
      <c r="AL601" s="435"/>
      <c r="AM601" s="435">
        <f t="shared" si="272"/>
        <v>-1084.646564737166</v>
      </c>
      <c r="AN601" s="435"/>
      <c r="AO601" s="435">
        <f t="shared" si="273"/>
        <v>-136.27999999999884</v>
      </c>
      <c r="AP601" s="435"/>
      <c r="AQ601" s="435">
        <f t="shared" si="274"/>
        <v>-271.16164118429151</v>
      </c>
      <c r="AR601" s="435"/>
    </row>
    <row r="602" spans="33:44" x14ac:dyDescent="0.25">
      <c r="AG602" s="412" t="str">
        <f t="shared" si="275"/>
        <v>Street Lights</v>
      </c>
      <c r="AH602" s="435">
        <f t="shared" si="276"/>
        <v>26.426214727813203</v>
      </c>
      <c r="AI602" s="435"/>
      <c r="AJ602" s="410" t="str">
        <f t="shared" si="277"/>
        <v>kW</v>
      </c>
      <c r="AK602" s="435">
        <f t="shared" si="278"/>
        <v>-13.157420909781649</v>
      </c>
      <c r="AL602" s="435"/>
      <c r="AM602" s="435">
        <f t="shared" si="272"/>
        <v>-259.97947601723718</v>
      </c>
      <c r="AN602" s="435"/>
      <c r="AO602" s="435">
        <f t="shared" si="273"/>
        <v>-4.3426537594979386E-3</v>
      </c>
      <c r="AP602" s="435"/>
      <c r="AQ602" s="435">
        <f t="shared" si="274"/>
        <v>-2.0256310935281352E-2</v>
      </c>
      <c r="AR602" s="435"/>
    </row>
    <row r="603" spans="33:44" x14ac:dyDescent="0.25">
      <c r="AG603" s="412" t="str">
        <f t="shared" si="275"/>
        <v>Sentinel Lights</v>
      </c>
      <c r="AH603" s="435">
        <f t="shared" si="276"/>
        <v>0.26060175313909895</v>
      </c>
      <c r="AI603" s="435"/>
      <c r="AJ603" s="410" t="str">
        <f t="shared" si="277"/>
        <v>kW</v>
      </c>
      <c r="AK603" s="435">
        <f t="shared" si="278"/>
        <v>-4.2853953555555222</v>
      </c>
      <c r="AL603" s="435"/>
      <c r="AM603" s="435">
        <f t="shared" si="272"/>
        <v>-6.5540784493658748</v>
      </c>
      <c r="AN603" s="435"/>
      <c r="AO603" s="435">
        <f t="shared" si="273"/>
        <v>-2.484400758487193E-2</v>
      </c>
      <c r="AP603" s="435"/>
      <c r="AQ603" s="435">
        <f t="shared" si="274"/>
        <v>-3.6879330917189312E-2</v>
      </c>
      <c r="AR603" s="435"/>
    </row>
    <row r="604" spans="33:44" x14ac:dyDescent="0.25">
      <c r="AG604" s="412" t="str">
        <f t="shared" si="275"/>
        <v xml:space="preserve">Unmetered Loads </v>
      </c>
      <c r="AH604" s="435">
        <f t="shared" si="276"/>
        <v>3</v>
      </c>
      <c r="AI604" s="435"/>
      <c r="AJ604" s="410" t="str">
        <f t="shared" si="277"/>
        <v>kWh</v>
      </c>
      <c r="AK604" s="435">
        <f t="shared" si="278"/>
        <v>-37828.182257413864</v>
      </c>
      <c r="AL604" s="435"/>
      <c r="AM604" s="435">
        <f t="shared" si="272"/>
        <v>-56825.716594154947</v>
      </c>
      <c r="AN604" s="435"/>
      <c r="AO604" s="435">
        <f t="shared" si="273"/>
        <v>-96.775537086833538</v>
      </c>
      <c r="AP604" s="435"/>
      <c r="AQ604" s="435">
        <f t="shared" si="274"/>
        <v>-132.56740408944279</v>
      </c>
      <c r="AR604" s="435"/>
    </row>
    <row r="605" spans="33:44" x14ac:dyDescent="0.25">
      <c r="AG605" s="412" t="str">
        <f t="shared" si="275"/>
        <v>Embedded Distributor - Hydro One, CND</v>
      </c>
      <c r="AH605" s="435">
        <f t="shared" si="276"/>
        <v>0</v>
      </c>
      <c r="AI605" s="435"/>
      <c r="AJ605" s="410" t="str">
        <f t="shared" si="277"/>
        <v>kW</v>
      </c>
      <c r="AK605" s="435">
        <f t="shared" si="278"/>
        <v>136.7500000000291</v>
      </c>
      <c r="AL605" s="435"/>
      <c r="AM605" s="435">
        <f t="shared" si="272"/>
        <v>-85.372021002724068</v>
      </c>
      <c r="AN605" s="435"/>
      <c r="AO605" s="435">
        <f t="shared" ref="AO605:AO609" si="279">AP589-AO589</f>
        <v>68.375000000014552</v>
      </c>
      <c r="AP605" s="435"/>
      <c r="AQ605" s="435">
        <f t="shared" ref="AQ605:AQ608" si="280">AR589-AQ589</f>
        <v>-42.686010501362034</v>
      </c>
      <c r="AR605" s="435"/>
    </row>
    <row r="606" spans="33:44" x14ac:dyDescent="0.25">
      <c r="AG606" s="412" t="str">
        <f t="shared" si="275"/>
        <v>Embedded Distributor - Waterloo North, CND</v>
      </c>
      <c r="AH606" s="435">
        <f t="shared" si="276"/>
        <v>0</v>
      </c>
      <c r="AI606" s="435"/>
      <c r="AJ606" s="410" t="str">
        <f t="shared" si="277"/>
        <v>kW</v>
      </c>
      <c r="AK606" s="435">
        <f t="shared" si="278"/>
        <v>2138.789999999979</v>
      </c>
      <c r="AL606" s="435"/>
      <c r="AM606" s="435">
        <f t="shared" ref="AM606:AM609" si="281">AN590-AM590</f>
        <v>1313.4364894157625</v>
      </c>
      <c r="AN606" s="435"/>
      <c r="AO606" s="435">
        <f>AP590-AO590</f>
        <v>2138.789999999979</v>
      </c>
      <c r="AP606" s="435"/>
      <c r="AQ606" s="435">
        <f>AR590-AQ590</f>
        <v>1313.4364894157625</v>
      </c>
      <c r="AR606" s="435"/>
    </row>
    <row r="607" spans="33:44" x14ac:dyDescent="0.25">
      <c r="AG607" s="412" t="str">
        <f t="shared" si="275"/>
        <v>Embedded Distributor - Brantford Power, BCP</v>
      </c>
      <c r="AH607" s="435">
        <f t="shared" si="276"/>
        <v>0</v>
      </c>
      <c r="AI607" s="435"/>
      <c r="AJ607" s="410" t="str">
        <f t="shared" si="277"/>
        <v>kW</v>
      </c>
      <c r="AK607" s="435">
        <f t="shared" si="278"/>
        <v>0.78999999999999204</v>
      </c>
      <c r="AL607" s="435"/>
      <c r="AM607" s="435">
        <f>AN591-AM591</f>
        <v>5.7670737863674049E-2</v>
      </c>
      <c r="AN607" s="435"/>
      <c r="AO607" s="435">
        <f t="shared" si="279"/>
        <v>0.78999999999999204</v>
      </c>
      <c r="AP607" s="435"/>
      <c r="AQ607" s="435">
        <f t="shared" si="280"/>
        <v>5.7670737863674049E-2</v>
      </c>
      <c r="AR607" s="435"/>
    </row>
    <row r="608" spans="33:44" x14ac:dyDescent="0.25">
      <c r="AG608" s="412" t="str">
        <f t="shared" si="275"/>
        <v>Embedded Distributor - Hydro One #1, BCP</v>
      </c>
      <c r="AH608" s="435">
        <f t="shared" si="276"/>
        <v>0</v>
      </c>
      <c r="AI608" s="435"/>
      <c r="AJ608" s="410" t="str">
        <f t="shared" si="277"/>
        <v>kW</v>
      </c>
      <c r="AK608" s="435">
        <f t="shared" si="278"/>
        <v>-995.4700000000048</v>
      </c>
      <c r="AL608" s="435"/>
      <c r="AM608" s="435">
        <f>AN592-AM592</f>
        <v>-1242.3726410017698</v>
      </c>
      <c r="AN608" s="435"/>
      <c r="AO608" s="435">
        <f t="shared" si="279"/>
        <v>-995.4700000000048</v>
      </c>
      <c r="AP608" s="435"/>
      <c r="AQ608" s="435">
        <f t="shared" si="280"/>
        <v>-1242.3726410017698</v>
      </c>
      <c r="AR608" s="435"/>
    </row>
    <row r="609" spans="28:44" x14ac:dyDescent="0.25">
      <c r="AG609" s="412" t="str">
        <f t="shared" si="275"/>
        <v>Embedded Distributor - Hydro One #2, BCP</v>
      </c>
      <c r="AH609" s="435">
        <f t="shared" si="276"/>
        <v>0</v>
      </c>
      <c r="AI609" s="435"/>
      <c r="AJ609" s="410" t="str">
        <f t="shared" si="277"/>
        <v>kW</v>
      </c>
      <c r="AK609" s="435">
        <f t="shared" si="278"/>
        <v>12995.263734991269</v>
      </c>
      <c r="AL609" s="435"/>
      <c r="AM609" s="435">
        <f t="shared" si="281"/>
        <v>12027.075939181566</v>
      </c>
      <c r="AN609" s="435"/>
      <c r="AO609" s="435">
        <f t="shared" si="279"/>
        <v>3248.8159337478173</v>
      </c>
      <c r="AP609" s="435"/>
      <c r="AQ609" s="435">
        <f>AR593-AQ593</f>
        <v>3006.7689847953916</v>
      </c>
      <c r="AR609" s="435"/>
    </row>
    <row r="611" spans="28:44" x14ac:dyDescent="0.25">
      <c r="AB611" s="313" t="s">
        <v>377</v>
      </c>
      <c r="AC611" s="313"/>
      <c r="AD611" s="313"/>
      <c r="AE611" s="398"/>
      <c r="AF611" s="398"/>
    </row>
    <row r="612" spans="28:44" ht="30" x14ac:dyDescent="0.25">
      <c r="AB612" s="421"/>
      <c r="AC612" s="417" t="s">
        <v>279</v>
      </c>
      <c r="AD612" s="417" t="s">
        <v>314</v>
      </c>
      <c r="AE612" s="417" t="s">
        <v>375</v>
      </c>
      <c r="AF612" s="417" t="s">
        <v>371</v>
      </c>
    </row>
    <row r="613" spans="28:44" s="308" customFormat="1" ht="18.75" customHeight="1" x14ac:dyDescent="0.25">
      <c r="AB613" s="399" t="s">
        <v>272</v>
      </c>
      <c r="AC613" s="400"/>
      <c r="AD613" s="400"/>
      <c r="AE613" s="400"/>
      <c r="AF613" s="400"/>
    </row>
    <row r="614" spans="28:44" x14ac:dyDescent="0.25">
      <c r="AB614" s="401" t="s">
        <v>1</v>
      </c>
      <c r="AC614" s="402">
        <f>$R$5</f>
        <v>16660342</v>
      </c>
      <c r="AD614" s="402">
        <f>$S$5</f>
        <v>16495527.880882952</v>
      </c>
      <c r="AE614" s="402">
        <f>AD614-AC614</f>
        <v>-164814.11911704764</v>
      </c>
      <c r="AF614" s="403">
        <f>AE614/AD614</f>
        <v>-9.9914425477740862E-3</v>
      </c>
    </row>
    <row r="615" spans="28:44" x14ac:dyDescent="0.25">
      <c r="AB615" s="401" t="s">
        <v>138</v>
      </c>
      <c r="AC615" s="402">
        <f>$R$6</f>
        <v>4171987</v>
      </c>
      <c r="AD615" s="402">
        <f>$S$6</f>
        <v>4059568.5179035389</v>
      </c>
      <c r="AE615" s="402">
        <f t="shared" ref="AE615:AE623" si="282">AD615-AC615</f>
        <v>-112418.48209646111</v>
      </c>
      <c r="AF615" s="403">
        <f t="shared" ref="AF615:AF624" si="283">AE615/AD615</f>
        <v>-2.7692224333860187E-2</v>
      </c>
    </row>
    <row r="616" spans="28:44" x14ac:dyDescent="0.25">
      <c r="AB616" s="401" t="s">
        <v>139</v>
      </c>
      <c r="AC616" s="402">
        <f>$R$7</f>
        <v>7544907</v>
      </c>
      <c r="AD616" s="402">
        <f>$S$7</f>
        <v>8246828.0745449075</v>
      </c>
      <c r="AE616" s="402">
        <f t="shared" si="282"/>
        <v>701921.07454490755</v>
      </c>
      <c r="AF616" s="403">
        <f t="shared" si="283"/>
        <v>8.5114066669037758E-2</v>
      </c>
    </row>
    <row r="617" spans="28:44" x14ac:dyDescent="0.25">
      <c r="AB617" s="401" t="s">
        <v>140</v>
      </c>
      <c r="AC617" s="402">
        <f>$R$8</f>
        <v>1833026</v>
      </c>
      <c r="AD617" s="402">
        <f>$S$8</f>
        <v>1896554.12</v>
      </c>
      <c r="AE617" s="402">
        <f t="shared" si="282"/>
        <v>63528.120000000112</v>
      </c>
      <c r="AF617" s="403">
        <f t="shared" si="283"/>
        <v>3.3496602775564405E-2</v>
      </c>
    </row>
    <row r="618" spans="28:44" x14ac:dyDescent="0.25">
      <c r="AB618" s="401" t="s">
        <v>113</v>
      </c>
      <c r="AC618" s="402">
        <f>$R$9</f>
        <v>1228321</v>
      </c>
      <c r="AD618" s="402">
        <f>$S$9</f>
        <v>1173639.76</v>
      </c>
      <c r="AE618" s="402">
        <f t="shared" si="282"/>
        <v>-54681.239999999991</v>
      </c>
      <c r="AF618" s="403">
        <f t="shared" si="283"/>
        <v>-4.6591161839984012E-2</v>
      </c>
    </row>
    <row r="619" spans="28:44" x14ac:dyDescent="0.25">
      <c r="AB619" s="401" t="s">
        <v>66</v>
      </c>
      <c r="AC619" s="402">
        <f>$R$10</f>
        <v>1069866</v>
      </c>
      <c r="AD619" s="402">
        <f>$S$10</f>
        <v>1042980.7103124999</v>
      </c>
      <c r="AE619" s="402">
        <f t="shared" si="282"/>
        <v>-26885.289687500102</v>
      </c>
      <c r="AF619" s="403">
        <f t="shared" si="283"/>
        <v>-2.5777360426392431E-2</v>
      </c>
    </row>
    <row r="620" spans="28:44" x14ac:dyDescent="0.25">
      <c r="AB620" s="401" t="s">
        <v>195</v>
      </c>
      <c r="AC620" s="402">
        <f>$R$11</f>
        <v>28319</v>
      </c>
      <c r="AD620" s="402">
        <f>$S$11</f>
        <v>16538.458191599999</v>
      </c>
      <c r="AE620" s="402">
        <f t="shared" si="282"/>
        <v>-11780.541808400001</v>
      </c>
      <c r="AF620" s="403">
        <f t="shared" si="283"/>
        <v>-0.71231197442476368</v>
      </c>
    </row>
    <row r="621" spans="28:44" x14ac:dyDescent="0.25">
      <c r="AB621" s="401" t="s">
        <v>2</v>
      </c>
      <c r="AC621" s="402">
        <f>$R$12</f>
        <v>56137</v>
      </c>
      <c r="AD621" s="402">
        <f>$S$12</f>
        <v>64700.05309999999</v>
      </c>
      <c r="AE621" s="402">
        <f t="shared" si="282"/>
        <v>8563.0530999999901</v>
      </c>
      <c r="AF621" s="403">
        <f t="shared" si="283"/>
        <v>0.13235001657208828</v>
      </c>
    </row>
    <row r="622" spans="28:44" x14ac:dyDescent="0.25">
      <c r="AB622" s="401" t="s">
        <v>227</v>
      </c>
      <c r="AC622" s="402">
        <f>$R$13</f>
        <v>260109</v>
      </c>
      <c r="AD622" s="402">
        <f>$S$13</f>
        <v>281674.05</v>
      </c>
      <c r="AE622" s="402">
        <f t="shared" si="282"/>
        <v>21565.049999999988</v>
      </c>
      <c r="AF622" s="403">
        <f t="shared" si="283"/>
        <v>7.6560300815783314E-2</v>
      </c>
    </row>
    <row r="623" spans="28:44" x14ac:dyDescent="0.25">
      <c r="AB623" s="401" t="s">
        <v>340</v>
      </c>
      <c r="AC623" s="402">
        <f>R15</f>
        <v>49728</v>
      </c>
      <c r="AD623" s="402">
        <f>S15</f>
        <v>0</v>
      </c>
      <c r="AE623" s="402">
        <f t="shared" si="282"/>
        <v>-49728</v>
      </c>
      <c r="AF623" s="403" t="s">
        <v>338</v>
      </c>
    </row>
    <row r="624" spans="28:44" x14ac:dyDescent="0.25">
      <c r="AB624" s="404" t="s">
        <v>20</v>
      </c>
      <c r="AC624" s="405">
        <f>SUM(AC614:AC623)</f>
        <v>32902742</v>
      </c>
      <c r="AD624" s="405">
        <f t="shared" ref="AD624:AE624" si="284">SUM(AD614:AD623)</f>
        <v>33278011.624935504</v>
      </c>
      <c r="AE624" s="405">
        <f t="shared" si="284"/>
        <v>375269.62493549875</v>
      </c>
      <c r="AF624" s="406">
        <f t="shared" si="283"/>
        <v>1.1276804310456636E-2</v>
      </c>
    </row>
    <row r="626" spans="33:44" x14ac:dyDescent="0.25">
      <c r="AG626" s="313" t="s">
        <v>378</v>
      </c>
      <c r="AH626" s="313"/>
      <c r="AI626" s="313"/>
      <c r="AJ626" s="398"/>
      <c r="AK626" s="398"/>
    </row>
    <row r="627" spans="33:44" ht="66" customHeight="1" x14ac:dyDescent="0.25">
      <c r="AG627" s="421" t="s">
        <v>245</v>
      </c>
      <c r="AH627" s="437" t="s">
        <v>246</v>
      </c>
      <c r="AI627" s="438"/>
      <c r="AJ627" s="417" t="s">
        <v>247</v>
      </c>
      <c r="AK627" s="437" t="s">
        <v>97</v>
      </c>
      <c r="AL627" s="438"/>
      <c r="AM627" s="437" t="s">
        <v>248</v>
      </c>
      <c r="AN627" s="438"/>
      <c r="AO627" s="437" t="s">
        <v>249</v>
      </c>
      <c r="AP627" s="438"/>
      <c r="AQ627" s="437" t="s">
        <v>250</v>
      </c>
      <c r="AR627" s="438"/>
    </row>
    <row r="628" spans="33:44" x14ac:dyDescent="0.25">
      <c r="AG628" s="439" t="s">
        <v>310</v>
      </c>
      <c r="AH628" s="439"/>
      <c r="AI628" s="439"/>
      <c r="AJ628" s="439"/>
      <c r="AK628" s="439"/>
      <c r="AL628" s="439"/>
      <c r="AM628" s="407">
        <f>$F$254</f>
        <v>1.0005860810991496</v>
      </c>
      <c r="AN628" s="407">
        <f>$F$255</f>
        <v>0.98675365364886913</v>
      </c>
      <c r="AO628" s="440"/>
      <c r="AP628" s="440"/>
      <c r="AQ628" s="440"/>
      <c r="AR628" s="440"/>
    </row>
    <row r="629" spans="33:44" ht="38.25" customHeight="1" x14ac:dyDescent="0.25">
      <c r="AG629" s="404"/>
      <c r="AH629" s="408" t="str">
        <f>AC612</f>
        <v>2015 
Actual</v>
      </c>
      <c r="AI629" s="408" t="str">
        <f>AD612</f>
        <v>2016
Actual</v>
      </c>
      <c r="AJ629" s="409"/>
      <c r="AK629" s="408" t="str">
        <f>AH629</f>
        <v>2015 
Actual</v>
      </c>
      <c r="AL629" s="408" t="str">
        <f>AI629</f>
        <v>2016
Actual</v>
      </c>
      <c r="AM629" s="408" t="str">
        <f>AK629</f>
        <v>2015 
Actual</v>
      </c>
      <c r="AN629" s="408" t="str">
        <f>AL629</f>
        <v>2016
Actual</v>
      </c>
      <c r="AO629" s="408" t="str">
        <f>AM629</f>
        <v>2015 
Actual</v>
      </c>
      <c r="AP629" s="408" t="str">
        <f t="shared" ref="AP629" si="285">AN629</f>
        <v>2016
Actual</v>
      </c>
      <c r="AQ629" s="408" t="str">
        <f t="shared" ref="AQ629" si="286">AO629</f>
        <v>2015 
Actual</v>
      </c>
      <c r="AR629" s="408" t="str">
        <f t="shared" ref="AR629" si="287">AP629</f>
        <v>2016
Actual</v>
      </c>
    </row>
    <row r="630" spans="33:44" x14ac:dyDescent="0.25">
      <c r="AG630" s="401" t="s">
        <v>1</v>
      </c>
      <c r="AH630" s="392">
        <f>Summary!$G$16</f>
        <v>55921.837967914442</v>
      </c>
      <c r="AI630" s="392">
        <f>Summary!$H$16</f>
        <v>56560.571301247772</v>
      </c>
      <c r="AJ630" s="410" t="s">
        <v>89</v>
      </c>
      <c r="AK630" s="392">
        <f>Summary!$G$17</f>
        <v>486541295.97806096</v>
      </c>
      <c r="AL630" s="392">
        <f>Summary!$H$17</f>
        <v>479944151.9611001</v>
      </c>
      <c r="AM630" s="410">
        <f>AK630*AM628</f>
        <v>486826448.63558942</v>
      </c>
      <c r="AN630" s="392">
        <f>AL630*AN628</f>
        <v>473586645.49502361</v>
      </c>
      <c r="AO630" s="410">
        <f>AK630/AH630</f>
        <v>8700.3809899312964</v>
      </c>
      <c r="AP630" s="410">
        <f>AL630/AI630</f>
        <v>8485.4898194868856</v>
      </c>
      <c r="AQ630" s="410">
        <f>AM630/AH630</f>
        <v>8705.4801187848934</v>
      </c>
      <c r="AR630" s="410">
        <f>AN630/AI630</f>
        <v>8373.0880823789685</v>
      </c>
    </row>
    <row r="631" spans="33:44" x14ac:dyDescent="0.25">
      <c r="AG631" s="401" t="s">
        <v>138</v>
      </c>
      <c r="AH631" s="392">
        <f>Summary!$G$20</f>
        <v>6149.0998196068595</v>
      </c>
      <c r="AI631" s="392">
        <f>Summary!$H$20</f>
        <v>6240.7163018433184</v>
      </c>
      <c r="AJ631" s="410" t="s">
        <v>89</v>
      </c>
      <c r="AK631" s="392">
        <f>Summary!$G$21</f>
        <v>203100575.02300143</v>
      </c>
      <c r="AL631" s="392">
        <f>Summary!$H$21</f>
        <v>212807518.98150003</v>
      </c>
      <c r="AM631" s="410">
        <f>AK631*AM628</f>
        <v>203219608.43124881</v>
      </c>
      <c r="AN631" s="392">
        <f>AL631*AN628</f>
        <v>209988596.87894621</v>
      </c>
      <c r="AO631" s="410">
        <f t="shared" ref="AO631:AO643" si="288">AK631/AH631</f>
        <v>33029.318271172022</v>
      </c>
      <c r="AP631" s="410">
        <f t="shared" ref="AP631:AP636" si="289">AL631/AI631</f>
        <v>34099.854678323245</v>
      </c>
      <c r="AQ631" s="410">
        <f t="shared" ref="AQ631:AQ643" si="290">AM631/AH631</f>
        <v>33048.676130328553</v>
      </c>
      <c r="AR631" s="410">
        <f t="shared" ref="AR631:AR638" si="291">AN631/AI631</f>
        <v>33648.156192730945</v>
      </c>
    </row>
    <row r="632" spans="33:44" x14ac:dyDescent="0.25">
      <c r="AG632" s="401" t="s">
        <v>139</v>
      </c>
      <c r="AH632" s="392">
        <f>Summary!$G$24</f>
        <v>807.93707304671102</v>
      </c>
      <c r="AI632" s="392">
        <f>Summary!$H$24</f>
        <v>805.93681241284958</v>
      </c>
      <c r="AJ632" s="410" t="s">
        <v>90</v>
      </c>
      <c r="AK632" s="392">
        <f>Summary!$G$26</f>
        <v>1555819.3298522707</v>
      </c>
      <c r="AL632" s="392">
        <f>Summary!$H$26</f>
        <v>1564560.6600000001</v>
      </c>
      <c r="AM632" s="410">
        <f>AK632*AM628</f>
        <v>1556731.1661551886</v>
      </c>
      <c r="AN632" s="392">
        <f>AL632*AN628</f>
        <v>1543835.9476102863</v>
      </c>
      <c r="AO632" s="410">
        <f t="shared" si="288"/>
        <v>1925.6689434801078</v>
      </c>
      <c r="AP632" s="410">
        <f t="shared" si="289"/>
        <v>1941.2944487744003</v>
      </c>
      <c r="AQ632" s="410">
        <f t="shared" si="290"/>
        <v>1926.7975416511008</v>
      </c>
      <c r="AR632" s="410">
        <f t="shared" si="291"/>
        <v>1915.579390136407</v>
      </c>
    </row>
    <row r="633" spans="33:44" x14ac:dyDescent="0.25">
      <c r="AG633" s="401" t="s">
        <v>140</v>
      </c>
      <c r="AH633" s="392">
        <f>Summary!$G$29</f>
        <v>29</v>
      </c>
      <c r="AI633" s="392">
        <f>Summary!$H$29</f>
        <v>28.5</v>
      </c>
      <c r="AJ633" s="410" t="s">
        <v>90</v>
      </c>
      <c r="AK633" s="392">
        <f>Summary!$G$31</f>
        <v>581152.97</v>
      </c>
      <c r="AL633" s="392">
        <f>Summary!$H$31</f>
        <v>631904.10997964221</v>
      </c>
      <c r="AM633" s="410">
        <f>AK633*AM628</f>
        <v>581493.57277143165</v>
      </c>
      <c r="AN633" s="392">
        <f>AL633*AN628</f>
        <v>623533.68927814881</v>
      </c>
      <c r="AO633" s="410">
        <f t="shared" si="288"/>
        <v>20039.757586206895</v>
      </c>
      <c r="AP633" s="410">
        <f t="shared" si="289"/>
        <v>22172.074034373411</v>
      </c>
      <c r="AQ633" s="410">
        <f t="shared" si="290"/>
        <v>20051.502509359711</v>
      </c>
      <c r="AR633" s="410">
        <f t="shared" si="291"/>
        <v>21878.375062391187</v>
      </c>
    </row>
    <row r="634" spans="33:44" x14ac:dyDescent="0.25">
      <c r="AG634" s="401" t="s">
        <v>113</v>
      </c>
      <c r="AH634" s="392">
        <f>Summary!$G$34</f>
        <v>2</v>
      </c>
      <c r="AI634" s="392">
        <f>Summary!$H$34</f>
        <v>2</v>
      </c>
      <c r="AJ634" s="410" t="s">
        <v>90</v>
      </c>
      <c r="AK634" s="392">
        <f>Summary!$G$36</f>
        <v>430086.51000000007</v>
      </c>
      <c r="AL634" s="392">
        <f>Summary!$H$36</f>
        <v>358566.19</v>
      </c>
      <c r="AM634" s="410">
        <f>AK634*AM628</f>
        <v>430338.57557451027</v>
      </c>
      <c r="AN634" s="392">
        <f>AL634*AN628</f>
        <v>353816.49805745459</v>
      </c>
      <c r="AO634" s="410">
        <f t="shared" si="288"/>
        <v>215043.25500000003</v>
      </c>
      <c r="AP634" s="410">
        <f t="shared" si="289"/>
        <v>179283.095</v>
      </c>
      <c r="AQ634" s="410">
        <f t="shared" si="290"/>
        <v>215169.28778725513</v>
      </c>
      <c r="AR634" s="410">
        <f t="shared" si="291"/>
        <v>176908.2490287273</v>
      </c>
    </row>
    <row r="635" spans="33:44" x14ac:dyDescent="0.25">
      <c r="AG635" s="401" t="s">
        <v>112</v>
      </c>
      <c r="AH635" s="392">
        <f>Summary!$G$39</f>
        <v>4</v>
      </c>
      <c r="AI635" s="392">
        <f>Summary!$H$39</f>
        <v>4</v>
      </c>
      <c r="AJ635" s="410" t="s">
        <v>90</v>
      </c>
      <c r="AK635" s="392">
        <f>Summary!$G$40</f>
        <v>69115.460000000006</v>
      </c>
      <c r="AL635" s="392">
        <f>Summary!$H$40</f>
        <v>70836.33</v>
      </c>
      <c r="AM635" s="410">
        <f>AK635*AM628</f>
        <v>69155.96726476503</v>
      </c>
      <c r="AN635" s="392">
        <f>AL635*AN628</f>
        <v>69898.007438576999</v>
      </c>
      <c r="AO635" s="410">
        <f t="shared" si="288"/>
        <v>17278.865000000002</v>
      </c>
      <c r="AP635" s="410">
        <f t="shared" si="289"/>
        <v>17709.0825</v>
      </c>
      <c r="AQ635" s="410">
        <f t="shared" si="290"/>
        <v>17288.991816191257</v>
      </c>
      <c r="AR635" s="410">
        <f t="shared" si="291"/>
        <v>17474.50185964425</v>
      </c>
    </row>
    <row r="636" spans="33:44" x14ac:dyDescent="0.25">
      <c r="AG636" s="401" t="s">
        <v>66</v>
      </c>
      <c r="AH636" s="392">
        <f>Summary!$G$43</f>
        <v>15538.5</v>
      </c>
      <c r="AI636" s="392">
        <f>Summary!$H$43</f>
        <v>15726</v>
      </c>
      <c r="AJ636" s="410" t="s">
        <v>90</v>
      </c>
      <c r="AK636" s="392">
        <f>Summary!$G$45</f>
        <v>31872.978670269313</v>
      </c>
      <c r="AL636" s="392">
        <f>Summary!$H$45</f>
        <v>31300.14</v>
      </c>
      <c r="AM636" s="410">
        <f>AK636*AM628</f>
        <v>31891.658820641554</v>
      </c>
      <c r="AN636" s="392">
        <f>AL636*AN628</f>
        <v>30885.527504721114</v>
      </c>
      <c r="AO636" s="410">
        <f t="shared" si="288"/>
        <v>2.0512262232692544</v>
      </c>
      <c r="AP636" s="410">
        <f t="shared" si="289"/>
        <v>1.9903433803891644</v>
      </c>
      <c r="AQ636" s="410">
        <f t="shared" si="290"/>
        <v>2.0524284081887925</v>
      </c>
      <c r="AR636" s="410">
        <f t="shared" si="291"/>
        <v>1.9639786026148489</v>
      </c>
    </row>
    <row r="637" spans="33:44" x14ac:dyDescent="0.25">
      <c r="AG637" s="401" t="s">
        <v>195</v>
      </c>
      <c r="AH637" s="392">
        <f>Summary!$G$48</f>
        <v>188.78204217010187</v>
      </c>
      <c r="AI637" s="392">
        <f>Summary!$H$48</f>
        <v>181.02132196162046</v>
      </c>
      <c r="AJ637" s="410" t="s">
        <v>90</v>
      </c>
      <c r="AK637" s="392">
        <f>Summary!$G$50</f>
        <v>288.48305517777777</v>
      </c>
      <c r="AL637" s="392">
        <f>Summary!$H$50</f>
        <v>416.63902725875835</v>
      </c>
      <c r="AM637" s="410">
        <f>AK637*AM628</f>
        <v>288.65212964384239</v>
      </c>
      <c r="AN637" s="392">
        <f>AL637*AN628</f>
        <v>411.12008240029058</v>
      </c>
      <c r="AO637" s="410">
        <f t="shared" si="288"/>
        <v>1.528127632594632</v>
      </c>
      <c r="AP637" s="410">
        <f>AL637/AI637</f>
        <v>2.3016019480130234</v>
      </c>
      <c r="AQ637" s="410">
        <f t="shared" si="290"/>
        <v>1.5290232393171839</v>
      </c>
      <c r="AR637" s="410">
        <f t="shared" si="291"/>
        <v>2.2711141314472054</v>
      </c>
    </row>
    <row r="638" spans="33:44" x14ac:dyDescent="0.25">
      <c r="AG638" s="401" t="s">
        <v>2</v>
      </c>
      <c r="AH638" s="392">
        <f>Summary!$G$53</f>
        <v>534</v>
      </c>
      <c r="AI638" s="392">
        <f>Summary!$H$53</f>
        <v>523</v>
      </c>
      <c r="AJ638" s="410" t="s">
        <v>89</v>
      </c>
      <c r="AK638" s="392">
        <f>Summary!$G$54</f>
        <v>2413613.7725536497</v>
      </c>
      <c r="AL638" s="392">
        <f>Summary!$H$54</f>
        <v>2346837.5999999996</v>
      </c>
      <c r="AM638" s="410">
        <f>AK638*AM628</f>
        <v>2415028.3459663908</v>
      </c>
      <c r="AN638" s="392">
        <f>AL638*AN628</f>
        <v>2315750.576320543</v>
      </c>
      <c r="AO638" s="410">
        <f t="shared" si="288"/>
        <v>4519.8759785648872</v>
      </c>
      <c r="AP638" s="410">
        <f t="shared" ref="AP638:AP643" si="292">AL638/AI638</f>
        <v>4487.2611854684501</v>
      </c>
      <c r="AQ638" s="410">
        <f t="shared" si="290"/>
        <v>4522.5249924464251</v>
      </c>
      <c r="AR638" s="410">
        <f t="shared" si="291"/>
        <v>4427.8213696377497</v>
      </c>
    </row>
    <row r="639" spans="33:44" x14ac:dyDescent="0.25">
      <c r="AG639" s="401" t="s">
        <v>290</v>
      </c>
      <c r="AH639" s="392">
        <f>Summary!$G$57</f>
        <v>2</v>
      </c>
      <c r="AI639" s="392">
        <f>Summary!$H$57</f>
        <v>2</v>
      </c>
      <c r="AJ639" s="410" t="s">
        <v>90</v>
      </c>
      <c r="AK639" s="392">
        <f>Summary!$G$59</f>
        <v>28843.22000000003</v>
      </c>
      <c r="AL639" s="392">
        <f>Summary!$H$59</f>
        <v>27465.539999999994</v>
      </c>
      <c r="AM639" s="410">
        <f>AK639*AM628</f>
        <v>28860.124466080644</v>
      </c>
      <c r="AN639" s="392">
        <f>AL639*AN628</f>
        <v>27101.721944439156</v>
      </c>
      <c r="AO639" s="410">
        <f t="shared" si="288"/>
        <v>14421.610000000015</v>
      </c>
      <c r="AP639" s="410">
        <f t="shared" si="292"/>
        <v>13732.769999999997</v>
      </c>
      <c r="AQ639" s="410">
        <f t="shared" si="290"/>
        <v>14430.062233040322</v>
      </c>
      <c r="AR639" s="410">
        <f>AN639/AI639</f>
        <v>13550.860972219578</v>
      </c>
    </row>
    <row r="640" spans="33:44" x14ac:dyDescent="0.25">
      <c r="AG640" s="401" t="s">
        <v>291</v>
      </c>
      <c r="AH640" s="392">
        <f>Summary!$G$62</f>
        <v>1</v>
      </c>
      <c r="AI640" s="392">
        <f>Summary!$H$62</f>
        <v>1</v>
      </c>
      <c r="AJ640" s="410" t="s">
        <v>90</v>
      </c>
      <c r="AK640" s="392">
        <f>Summary!$G$64</f>
        <v>108928.78999999998</v>
      </c>
      <c r="AL640" s="392">
        <f>Summary!$H$64</f>
        <v>121168.08</v>
      </c>
      <c r="AM640" s="410">
        <f>AK640*AM628</f>
        <v>108992.63110497221</v>
      </c>
      <c r="AN640" s="392">
        <f>AL640*AN628</f>
        <v>119563.04564561846</v>
      </c>
      <c r="AO640" s="410">
        <f t="shared" si="288"/>
        <v>108928.78999999998</v>
      </c>
      <c r="AP640" s="410">
        <f t="shared" si="292"/>
        <v>121168.08</v>
      </c>
      <c r="AQ640" s="410">
        <f t="shared" si="290"/>
        <v>108992.63110497221</v>
      </c>
      <c r="AR640" s="410">
        <f t="shared" ref="AR640:AR643" si="293">AN640/AI640</f>
        <v>119563.04564561846</v>
      </c>
    </row>
    <row r="641" spans="33:44" x14ac:dyDescent="0.25">
      <c r="AG641" s="401" t="s">
        <v>292</v>
      </c>
      <c r="AH641" s="392">
        <f>Summary!$G$67</f>
        <v>1</v>
      </c>
      <c r="AI641" s="392">
        <f>Summary!$H$67</f>
        <v>1</v>
      </c>
      <c r="AJ641" s="410" t="s">
        <v>90</v>
      </c>
      <c r="AK641" s="392">
        <f>Summary!$G$69</f>
        <v>95.46</v>
      </c>
      <c r="AL641" s="392">
        <f>Summary!$H$69</f>
        <v>1313.24</v>
      </c>
      <c r="AM641" s="410">
        <f>AK641*AM628</f>
        <v>95.515947301724808</v>
      </c>
      <c r="AN641" s="392">
        <f>AL641*AN628</f>
        <v>1295.844368117841</v>
      </c>
      <c r="AO641" s="410">
        <f t="shared" si="288"/>
        <v>95.46</v>
      </c>
      <c r="AP641" s="410">
        <f t="shared" si="292"/>
        <v>1313.24</v>
      </c>
      <c r="AQ641" s="410">
        <f t="shared" si="290"/>
        <v>95.515947301724808</v>
      </c>
      <c r="AR641" s="410">
        <f t="shared" si="293"/>
        <v>1295.844368117841</v>
      </c>
    </row>
    <row r="642" spans="33:44" x14ac:dyDescent="0.25">
      <c r="AG642" s="401" t="s">
        <v>293</v>
      </c>
      <c r="AH642" s="392">
        <f>Summary!$G$72</f>
        <v>1</v>
      </c>
      <c r="AI642" s="392">
        <f>Summary!$H$72</f>
        <v>1</v>
      </c>
      <c r="AJ642" s="410" t="s">
        <v>90</v>
      </c>
      <c r="AK642" s="392">
        <f>Summary!$G$74</f>
        <v>30826.699999999997</v>
      </c>
      <c r="AL642" s="392">
        <f>Summary!$H$74</f>
        <v>29427.999999999996</v>
      </c>
      <c r="AM642" s="410">
        <f>AK642*AM628</f>
        <v>30844.766946219152</v>
      </c>
      <c r="AN642" s="392">
        <f>AL642*AN628</f>
        <v>29038.186519578918</v>
      </c>
      <c r="AO642" s="410">
        <f t="shared" si="288"/>
        <v>30826.699999999997</v>
      </c>
      <c r="AP642" s="410">
        <f t="shared" si="292"/>
        <v>29427.999999999996</v>
      </c>
      <c r="AQ642" s="410">
        <f t="shared" si="290"/>
        <v>30844.766946219152</v>
      </c>
      <c r="AR642" s="410">
        <f t="shared" si="293"/>
        <v>29038.186519578918</v>
      </c>
    </row>
    <row r="643" spans="33:44" x14ac:dyDescent="0.25">
      <c r="AG643" s="401" t="s">
        <v>294</v>
      </c>
      <c r="AH643" s="392">
        <f>Summary!$G$77</f>
        <v>4</v>
      </c>
      <c r="AI643" s="392">
        <f>Summary!$H$77</f>
        <v>4</v>
      </c>
      <c r="AJ643" s="410" t="s">
        <v>90</v>
      </c>
      <c r="AK643" s="392">
        <f>Summary!$G$79</f>
        <v>139060.14729191593</v>
      </c>
      <c r="AL643" s="392">
        <f>Summary!$H$79</f>
        <v>99936.488133577368</v>
      </c>
      <c r="AM643" s="410">
        <f>AK643*AM628</f>
        <v>139141.64781588869</v>
      </c>
      <c r="AN643" s="392">
        <f>AL643*AN628</f>
        <v>98612.694798644327</v>
      </c>
      <c r="AO643" s="410">
        <f t="shared" si="288"/>
        <v>34765.036822978982</v>
      </c>
      <c r="AP643" s="410">
        <f t="shared" si="292"/>
        <v>24984.122033394342</v>
      </c>
      <c r="AQ643" s="410">
        <f t="shared" si="290"/>
        <v>34785.411953972172</v>
      </c>
      <c r="AR643" s="410">
        <f t="shared" si="293"/>
        <v>24653.173699661082</v>
      </c>
    </row>
    <row r="644" spans="33:44" x14ac:dyDescent="0.25">
      <c r="AG644" s="401" t="s">
        <v>12</v>
      </c>
      <c r="AH644" s="392">
        <f>SUM(AH630:AH643)</f>
        <v>79184.156902738119</v>
      </c>
      <c r="AI644" s="392">
        <f>SUM(AI630:AI643)</f>
        <v>80080.745737465564</v>
      </c>
      <c r="AJ644" s="410"/>
      <c r="AK644" s="411"/>
      <c r="AL644" s="411"/>
      <c r="AM644" s="411"/>
      <c r="AN644" s="411"/>
      <c r="AO644" s="411"/>
      <c r="AP644" s="411"/>
      <c r="AQ644" s="411"/>
      <c r="AR644" s="411"/>
    </row>
    <row r="645" spans="33:44" x14ac:dyDescent="0.25">
      <c r="AG645" s="389"/>
      <c r="AH645" s="436" t="s">
        <v>251</v>
      </c>
      <c r="AI645" s="436"/>
      <c r="AJ645" s="389"/>
      <c r="AK645" s="436" t="s">
        <v>251</v>
      </c>
      <c r="AL645" s="436"/>
      <c r="AM645" s="436" t="s">
        <v>251</v>
      </c>
      <c r="AN645" s="436"/>
      <c r="AO645" s="436" t="s">
        <v>251</v>
      </c>
      <c r="AP645" s="436"/>
      <c r="AQ645" s="436" t="s">
        <v>251</v>
      </c>
      <c r="AR645" s="436"/>
    </row>
    <row r="646" spans="33:44" x14ac:dyDescent="0.25">
      <c r="AG646" s="412" t="str">
        <f>AG630</f>
        <v xml:space="preserve">Residential </v>
      </c>
      <c r="AH646" s="435">
        <f>AI630-AH630</f>
        <v>638.73333333332994</v>
      </c>
      <c r="AI646" s="435"/>
      <c r="AJ646" s="410" t="str">
        <f>AJ630</f>
        <v>kWh</v>
      </c>
      <c r="AK646" s="435">
        <f>AL630-AK630</f>
        <v>-6597144.0169608593</v>
      </c>
      <c r="AL646" s="435"/>
      <c r="AM646" s="435">
        <f t="shared" ref="AM646:AM655" si="294">AN630-AM630</f>
        <v>-13239803.140565813</v>
      </c>
      <c r="AN646" s="435"/>
      <c r="AO646" s="435">
        <f t="shared" ref="AO646:AO654" si="295">AP630-AO630</f>
        <v>-214.89117044441082</v>
      </c>
      <c r="AP646" s="435"/>
      <c r="AQ646" s="435">
        <f t="shared" ref="AQ646:AQ654" si="296">AR630-AQ630</f>
        <v>-332.39203640592496</v>
      </c>
      <c r="AR646" s="435"/>
    </row>
    <row r="647" spans="33:44" x14ac:dyDescent="0.25">
      <c r="AG647" s="412" t="str">
        <f t="shared" ref="AG647:AG659" si="297">AG631</f>
        <v>General Service &lt; 50 kW</v>
      </c>
      <c r="AH647" s="435">
        <f t="shared" ref="AH647:AH659" si="298">AI631-AH631</f>
        <v>91.616482236458978</v>
      </c>
      <c r="AI647" s="435"/>
      <c r="AJ647" s="410" t="str">
        <f t="shared" ref="AJ647:AJ659" si="299">AJ631</f>
        <v>kWh</v>
      </c>
      <c r="AK647" s="435">
        <f t="shared" ref="AK647:AK659" si="300">AL631-AK631</f>
        <v>9706943.9584985971</v>
      </c>
      <c r="AL647" s="435"/>
      <c r="AM647" s="435">
        <f t="shared" si="294"/>
        <v>6768988.447697401</v>
      </c>
      <c r="AN647" s="435"/>
      <c r="AO647" s="435">
        <f t="shared" si="295"/>
        <v>1070.5364071512231</v>
      </c>
      <c r="AP647" s="435"/>
      <c r="AQ647" s="435">
        <f t="shared" si="296"/>
        <v>599.48006240239192</v>
      </c>
      <c r="AR647" s="435"/>
    </row>
    <row r="648" spans="33:44" x14ac:dyDescent="0.25">
      <c r="AG648" s="412" t="str">
        <f t="shared" si="297"/>
        <v>General Service &gt; 50 to 999 kW</v>
      </c>
      <c r="AH648" s="435">
        <f t="shared" si="298"/>
        <v>-2.0002606338614441</v>
      </c>
      <c r="AI648" s="435"/>
      <c r="AJ648" s="410" t="str">
        <f t="shared" si="299"/>
        <v>kW</v>
      </c>
      <c r="AK648" s="435">
        <f t="shared" si="300"/>
        <v>8741.3301477294881</v>
      </c>
      <c r="AL648" s="435"/>
      <c r="AM648" s="435">
        <f t="shared" si="294"/>
        <v>-12895.21854490228</v>
      </c>
      <c r="AN648" s="435"/>
      <c r="AO648" s="435">
        <f t="shared" si="295"/>
        <v>15.625505294292452</v>
      </c>
      <c r="AP648" s="435"/>
      <c r="AQ648" s="435">
        <f t="shared" si="296"/>
        <v>-11.218151514693773</v>
      </c>
      <c r="AR648" s="435"/>
    </row>
    <row r="649" spans="33:44" x14ac:dyDescent="0.25">
      <c r="AG649" s="412" t="str">
        <f t="shared" si="297"/>
        <v>General Service &gt; 1000 to 4999 kW</v>
      </c>
      <c r="AH649" s="435">
        <f t="shared" si="298"/>
        <v>-0.5</v>
      </c>
      <c r="AI649" s="435"/>
      <c r="AJ649" s="410" t="str">
        <f t="shared" si="299"/>
        <v>kW</v>
      </c>
      <c r="AK649" s="435">
        <f t="shared" si="300"/>
        <v>50751.139979642234</v>
      </c>
      <c r="AL649" s="435"/>
      <c r="AM649" s="435">
        <f t="shared" si="294"/>
        <v>42040.116506717168</v>
      </c>
      <c r="AN649" s="435"/>
      <c r="AO649" s="435">
        <f t="shared" si="295"/>
        <v>2132.3164481665153</v>
      </c>
      <c r="AP649" s="435"/>
      <c r="AQ649" s="435">
        <f t="shared" si="296"/>
        <v>1826.8725530314769</v>
      </c>
      <c r="AR649" s="435"/>
    </row>
    <row r="650" spans="33:44" x14ac:dyDescent="0.25">
      <c r="AG650" s="412" t="str">
        <f t="shared" si="297"/>
        <v>Large User</v>
      </c>
      <c r="AH650" s="435">
        <f t="shared" si="298"/>
        <v>0</v>
      </c>
      <c r="AI650" s="435"/>
      <c r="AJ650" s="410" t="str">
        <f t="shared" si="299"/>
        <v>kW</v>
      </c>
      <c r="AK650" s="435">
        <f t="shared" si="300"/>
        <v>-71520.320000000065</v>
      </c>
      <c r="AL650" s="435"/>
      <c r="AM650" s="435">
        <f t="shared" si="294"/>
        <v>-76522.077517055674</v>
      </c>
      <c r="AN650" s="435"/>
      <c r="AO650" s="435">
        <f t="shared" si="295"/>
        <v>-35760.160000000033</v>
      </c>
      <c r="AP650" s="435"/>
      <c r="AQ650" s="435">
        <f t="shared" si="296"/>
        <v>-38261.038758527837</v>
      </c>
      <c r="AR650" s="435"/>
    </row>
    <row r="651" spans="33:44" x14ac:dyDescent="0.25">
      <c r="AG651" s="412" t="str">
        <f t="shared" si="297"/>
        <v>Direct Market Participant</v>
      </c>
      <c r="AH651" s="435">
        <f t="shared" si="298"/>
        <v>0</v>
      </c>
      <c r="AI651" s="435"/>
      <c r="AJ651" s="410" t="str">
        <f t="shared" si="299"/>
        <v>kW</v>
      </c>
      <c r="AK651" s="435">
        <f t="shared" si="300"/>
        <v>1720.8699999999953</v>
      </c>
      <c r="AL651" s="435"/>
      <c r="AM651" s="435">
        <f t="shared" si="294"/>
        <v>742.040173811969</v>
      </c>
      <c r="AN651" s="435"/>
      <c r="AO651" s="435">
        <f t="shared" si="295"/>
        <v>430.21749999999884</v>
      </c>
      <c r="AP651" s="435"/>
      <c r="AQ651" s="435">
        <f t="shared" si="296"/>
        <v>185.51004345299225</v>
      </c>
      <c r="AR651" s="435"/>
    </row>
    <row r="652" spans="33:44" x14ac:dyDescent="0.25">
      <c r="AG652" s="412" t="str">
        <f t="shared" si="297"/>
        <v>Street Lights</v>
      </c>
      <c r="AH652" s="435">
        <f t="shared" si="298"/>
        <v>187.5</v>
      </c>
      <c r="AI652" s="435"/>
      <c r="AJ652" s="410" t="str">
        <f t="shared" si="299"/>
        <v>kW</v>
      </c>
      <c r="AK652" s="435">
        <f t="shared" si="300"/>
        <v>-572.8386702693133</v>
      </c>
      <c r="AL652" s="435"/>
      <c r="AM652" s="435">
        <f t="shared" si="294"/>
        <v>-1006.1313159204401</v>
      </c>
      <c r="AN652" s="435"/>
      <c r="AO652" s="435">
        <f t="shared" si="295"/>
        <v>-6.0882842880090049E-2</v>
      </c>
      <c r="AP652" s="435"/>
      <c r="AQ652" s="435">
        <f t="shared" si="296"/>
        <v>-8.8449805573943552E-2</v>
      </c>
      <c r="AR652" s="435"/>
    </row>
    <row r="653" spans="33:44" x14ac:dyDescent="0.25">
      <c r="AG653" s="412" t="str">
        <f t="shared" si="297"/>
        <v>Sentinel Lights</v>
      </c>
      <c r="AH653" s="435">
        <f t="shared" si="298"/>
        <v>-7.7607202084814162</v>
      </c>
      <c r="AI653" s="435"/>
      <c r="AJ653" s="410" t="str">
        <f t="shared" si="299"/>
        <v>kW</v>
      </c>
      <c r="AK653" s="435">
        <f t="shared" si="300"/>
        <v>128.15597208098058</v>
      </c>
      <c r="AL653" s="435"/>
      <c r="AM653" s="435">
        <f t="shared" si="294"/>
        <v>122.4679527564482</v>
      </c>
      <c r="AN653" s="435"/>
      <c r="AO653" s="435">
        <f t="shared" si="295"/>
        <v>0.7734743154183914</v>
      </c>
      <c r="AP653" s="435"/>
      <c r="AQ653" s="435">
        <f t="shared" si="296"/>
        <v>0.74209089213002155</v>
      </c>
      <c r="AR653" s="435"/>
    </row>
    <row r="654" spans="33:44" x14ac:dyDescent="0.25">
      <c r="AG654" s="412" t="str">
        <f t="shared" si="297"/>
        <v xml:space="preserve">Unmetered Loads </v>
      </c>
      <c r="AH654" s="435">
        <f t="shared" si="298"/>
        <v>-11</v>
      </c>
      <c r="AI654" s="435"/>
      <c r="AJ654" s="410" t="str">
        <f t="shared" si="299"/>
        <v>kWh</v>
      </c>
      <c r="AK654" s="435">
        <f t="shared" si="300"/>
        <v>-66776.172553650104</v>
      </c>
      <c r="AL654" s="435"/>
      <c r="AM654" s="435">
        <f t="shared" si="294"/>
        <v>-99277.769645847846</v>
      </c>
      <c r="AN654" s="435"/>
      <c r="AO654" s="435">
        <f t="shared" si="295"/>
        <v>-32.614793096437097</v>
      </c>
      <c r="AP654" s="435"/>
      <c r="AQ654" s="435">
        <f t="shared" si="296"/>
        <v>-94.703622808675391</v>
      </c>
      <c r="AR654" s="435"/>
    </row>
    <row r="655" spans="33:44" x14ac:dyDescent="0.25">
      <c r="AG655" s="412" t="str">
        <f t="shared" si="297"/>
        <v>Embedded Distributor - Hydro One, CND</v>
      </c>
      <c r="AH655" s="435">
        <f t="shared" si="298"/>
        <v>0</v>
      </c>
      <c r="AI655" s="435"/>
      <c r="AJ655" s="410" t="str">
        <f t="shared" si="299"/>
        <v>kW</v>
      </c>
      <c r="AK655" s="435">
        <f t="shared" si="300"/>
        <v>-1377.6800000000367</v>
      </c>
      <c r="AL655" s="435"/>
      <c r="AM655" s="435">
        <f t="shared" si="294"/>
        <v>-1758.4025216414884</v>
      </c>
      <c r="AN655" s="435"/>
      <c r="AO655" s="435">
        <f t="shared" ref="AO655:AO659" si="301">AP639-AO639</f>
        <v>-688.84000000001834</v>
      </c>
      <c r="AP655" s="435"/>
      <c r="AQ655" s="435">
        <f t="shared" ref="AQ655:AQ658" si="302">AR639-AQ639</f>
        <v>-879.20126082074421</v>
      </c>
      <c r="AR655" s="435"/>
    </row>
    <row r="656" spans="33:44" x14ac:dyDescent="0.25">
      <c r="AG656" s="412" t="str">
        <f t="shared" si="297"/>
        <v>Embedded Distributor - Waterloo North, CND</v>
      </c>
      <c r="AH656" s="435">
        <f t="shared" si="298"/>
        <v>0</v>
      </c>
      <c r="AI656" s="435"/>
      <c r="AJ656" s="410" t="str">
        <f t="shared" si="299"/>
        <v>kW</v>
      </c>
      <c r="AK656" s="435">
        <f t="shared" si="300"/>
        <v>12239.290000000023</v>
      </c>
      <c r="AL656" s="435"/>
      <c r="AM656" s="435">
        <f t="shared" ref="AM656:AM659" si="303">AN640-AM640</f>
        <v>10570.414540646248</v>
      </c>
      <c r="AN656" s="435"/>
      <c r="AO656" s="435">
        <f>AP640-AO640</f>
        <v>12239.290000000023</v>
      </c>
      <c r="AP656" s="435"/>
      <c r="AQ656" s="435">
        <f>AR640-AQ640</f>
        <v>10570.414540646248</v>
      </c>
      <c r="AR656" s="435"/>
    </row>
    <row r="657" spans="28:44" x14ac:dyDescent="0.25">
      <c r="AG657" s="412" t="str">
        <f t="shared" si="297"/>
        <v>Embedded Distributor - Brantford Power, BCP</v>
      </c>
      <c r="AH657" s="435">
        <f t="shared" si="298"/>
        <v>0</v>
      </c>
      <c r="AI657" s="435"/>
      <c r="AJ657" s="410" t="str">
        <f t="shared" si="299"/>
        <v>kW</v>
      </c>
      <c r="AK657" s="435">
        <f t="shared" si="300"/>
        <v>1217.78</v>
      </c>
      <c r="AL657" s="435"/>
      <c r="AM657" s="435">
        <f>AN641-AM641</f>
        <v>1200.3284208161162</v>
      </c>
      <c r="AN657" s="435"/>
      <c r="AO657" s="435">
        <f t="shared" si="301"/>
        <v>1217.78</v>
      </c>
      <c r="AP657" s="435"/>
      <c r="AQ657" s="435">
        <f t="shared" si="302"/>
        <v>1200.3284208161162</v>
      </c>
      <c r="AR657" s="435"/>
    </row>
    <row r="658" spans="28:44" x14ac:dyDescent="0.25">
      <c r="AG658" s="412" t="str">
        <f t="shared" si="297"/>
        <v>Embedded Distributor - Hydro One #1, BCP</v>
      </c>
      <c r="AH658" s="435">
        <f t="shared" si="298"/>
        <v>0</v>
      </c>
      <c r="AI658" s="435"/>
      <c r="AJ658" s="410" t="str">
        <f t="shared" si="299"/>
        <v>kW</v>
      </c>
      <c r="AK658" s="435">
        <f t="shared" si="300"/>
        <v>-1398.7000000000007</v>
      </c>
      <c r="AL658" s="435"/>
      <c r="AM658" s="435">
        <f>AN642-AM642</f>
        <v>-1806.5804266402338</v>
      </c>
      <c r="AN658" s="435"/>
      <c r="AO658" s="435">
        <f t="shared" si="301"/>
        <v>-1398.7000000000007</v>
      </c>
      <c r="AP658" s="435"/>
      <c r="AQ658" s="435">
        <f t="shared" si="302"/>
        <v>-1806.5804266402338</v>
      </c>
      <c r="AR658" s="435"/>
    </row>
    <row r="659" spans="28:44" x14ac:dyDescent="0.25">
      <c r="AG659" s="412" t="str">
        <f t="shared" si="297"/>
        <v>Embedded Distributor - Hydro One #2, BCP</v>
      </c>
      <c r="AH659" s="435">
        <f t="shared" si="298"/>
        <v>0</v>
      </c>
      <c r="AI659" s="435"/>
      <c r="AJ659" s="410" t="str">
        <f t="shared" si="299"/>
        <v>kW</v>
      </c>
      <c r="AK659" s="435">
        <f t="shared" si="300"/>
        <v>-39123.65915833856</v>
      </c>
      <c r="AL659" s="435"/>
      <c r="AM659" s="435">
        <f t="shared" si="303"/>
        <v>-40528.953017244363</v>
      </c>
      <c r="AN659" s="435"/>
      <c r="AO659" s="435">
        <f t="shared" si="301"/>
        <v>-9780.9147895846399</v>
      </c>
      <c r="AP659" s="435"/>
      <c r="AQ659" s="435">
        <f>AR643-AQ643</f>
        <v>-10132.238254311091</v>
      </c>
      <c r="AR659" s="435"/>
    </row>
    <row r="661" spans="28:44" x14ac:dyDescent="0.25">
      <c r="AB661" s="313" t="s">
        <v>379</v>
      </c>
      <c r="AC661" s="313"/>
      <c r="AD661" s="313"/>
      <c r="AE661" s="398"/>
      <c r="AF661" s="398"/>
    </row>
    <row r="662" spans="28:44" ht="30" x14ac:dyDescent="0.25">
      <c r="AB662" s="421"/>
      <c r="AC662" s="417" t="s">
        <v>280</v>
      </c>
      <c r="AD662" s="417" t="s">
        <v>316</v>
      </c>
      <c r="AE662" s="417" t="s">
        <v>375</v>
      </c>
      <c r="AF662" s="417" t="s">
        <v>371</v>
      </c>
    </row>
    <row r="663" spans="28:44" s="308" customFormat="1" ht="30" x14ac:dyDescent="0.25">
      <c r="AB663" s="399" t="s">
        <v>272</v>
      </c>
      <c r="AC663" s="400"/>
      <c r="AD663" s="400"/>
      <c r="AE663" s="400"/>
      <c r="AF663" s="400"/>
    </row>
    <row r="664" spans="28:44" x14ac:dyDescent="0.25">
      <c r="AB664" s="401" t="s">
        <v>1</v>
      </c>
      <c r="AC664" s="402">
        <f>$S$5</f>
        <v>16495527.880882952</v>
      </c>
      <c r="AD664" s="402">
        <f>$T$5</f>
        <v>16964394.523131743</v>
      </c>
      <c r="AE664" s="402">
        <f>AD664-AC664</f>
        <v>468866.64224879071</v>
      </c>
      <c r="AF664" s="403">
        <f>AE664/AD664</f>
        <v>2.7638277429204394E-2</v>
      </c>
    </row>
    <row r="665" spans="28:44" x14ac:dyDescent="0.25">
      <c r="AB665" s="401" t="s">
        <v>138</v>
      </c>
      <c r="AC665" s="402">
        <f>$S$6</f>
        <v>4059568.5179035389</v>
      </c>
      <c r="AD665" s="402">
        <f>$T$6</f>
        <v>4081599.285853826</v>
      </c>
      <c r="AE665" s="402">
        <f t="shared" ref="AE665:AE672" si="304">AD665-AC665</f>
        <v>22030.767950287089</v>
      </c>
      <c r="AF665" s="403">
        <f t="shared" ref="AF665:AF673" si="305">AE665/AD665</f>
        <v>5.3975822728708879E-3</v>
      </c>
    </row>
    <row r="666" spans="28:44" x14ac:dyDescent="0.25">
      <c r="AB666" s="401" t="s">
        <v>139</v>
      </c>
      <c r="AC666" s="402">
        <f>$S$7</f>
        <v>8246828.0745449075</v>
      </c>
      <c r="AD666" s="402">
        <f>$T$7</f>
        <v>7791032.3367225453</v>
      </c>
      <c r="AE666" s="402">
        <f t="shared" si="304"/>
        <v>-455795.73782236222</v>
      </c>
      <c r="AF666" s="403">
        <f t="shared" si="305"/>
        <v>-5.8502611479867364E-2</v>
      </c>
    </row>
    <row r="667" spans="28:44" x14ac:dyDescent="0.25">
      <c r="AB667" s="401" t="s">
        <v>140</v>
      </c>
      <c r="AC667" s="402">
        <f>$S$8</f>
        <v>1896554.12</v>
      </c>
      <c r="AD667" s="402">
        <f>$T$8</f>
        <v>1792008.1248807504</v>
      </c>
      <c r="AE667" s="402">
        <f t="shared" si="304"/>
        <v>-104545.99511924968</v>
      </c>
      <c r="AF667" s="403">
        <f t="shared" si="305"/>
        <v>-5.8340134549449502E-2</v>
      </c>
    </row>
    <row r="668" spans="28:44" x14ac:dyDescent="0.25">
      <c r="AB668" s="401" t="s">
        <v>113</v>
      </c>
      <c r="AC668" s="402">
        <f>$S$9</f>
        <v>1173639.76</v>
      </c>
      <c r="AD668" s="402">
        <f>$T$9</f>
        <v>1288466.0792596445</v>
      </c>
      <c r="AE668" s="402">
        <f t="shared" si="304"/>
        <v>114826.31925964449</v>
      </c>
      <c r="AF668" s="403">
        <f t="shared" si="305"/>
        <v>8.9118620278792249E-2</v>
      </c>
    </row>
    <row r="669" spans="28:44" x14ac:dyDescent="0.25">
      <c r="AB669" s="401" t="s">
        <v>66</v>
      </c>
      <c r="AC669" s="402">
        <f>$S$10</f>
        <v>1042980.7103124999</v>
      </c>
      <c r="AD669" s="402">
        <f>$T$10</f>
        <v>956388.78674363997</v>
      </c>
      <c r="AE669" s="402">
        <f t="shared" si="304"/>
        <v>-86591.923568859929</v>
      </c>
      <c r="AF669" s="403">
        <f t="shared" si="305"/>
        <v>-9.0540504833491839E-2</v>
      </c>
    </row>
    <row r="670" spans="28:44" x14ac:dyDescent="0.25">
      <c r="AB670" s="401" t="s">
        <v>195</v>
      </c>
      <c r="AC670" s="402">
        <f>$S$11</f>
        <v>16538.458191599999</v>
      </c>
      <c r="AD670" s="402">
        <f>$T$11</f>
        <v>14535.452936</v>
      </c>
      <c r="AE670" s="402">
        <f t="shared" si="304"/>
        <v>-2003.0052555999991</v>
      </c>
      <c r="AF670" s="403">
        <f t="shared" si="305"/>
        <v>-0.13780136500866444</v>
      </c>
    </row>
    <row r="671" spans="28:44" x14ac:dyDescent="0.25">
      <c r="AB671" s="401" t="s">
        <v>2</v>
      </c>
      <c r="AC671" s="402">
        <f>$S$12</f>
        <v>64700.05309999999</v>
      </c>
      <c r="AD671" s="402">
        <f>$T$12</f>
        <v>64855.219800000006</v>
      </c>
      <c r="AE671" s="402">
        <f t="shared" si="304"/>
        <v>155.16670000001614</v>
      </c>
      <c r="AF671" s="403">
        <f t="shared" si="305"/>
        <v>2.3925090452012643E-3</v>
      </c>
    </row>
    <row r="672" spans="28:44" x14ac:dyDescent="0.25">
      <c r="AB672" s="401" t="s">
        <v>227</v>
      </c>
      <c r="AC672" s="402">
        <f>$S$13</f>
        <v>281674.05</v>
      </c>
      <c r="AD672" s="402">
        <f>$T$13</f>
        <v>264331.21999999997</v>
      </c>
      <c r="AE672" s="402">
        <f t="shared" si="304"/>
        <v>-17342.830000000016</v>
      </c>
      <c r="AF672" s="403">
        <f t="shared" si="305"/>
        <v>-6.561022190265689E-2</v>
      </c>
    </row>
    <row r="673" spans="28:44" x14ac:dyDescent="0.25">
      <c r="AB673" s="404" t="s">
        <v>20</v>
      </c>
      <c r="AC673" s="405">
        <f>SUM(AC664:AC672)</f>
        <v>33278011.624935504</v>
      </c>
      <c r="AD673" s="405">
        <f t="shared" ref="AD673" si="306">SUM(AD664:AD672)</f>
        <v>33217611.029328149</v>
      </c>
      <c r="AE673" s="405">
        <f t="shared" ref="AE673" si="307">SUM(AE664:AE672)</f>
        <v>-60400.595607349547</v>
      </c>
      <c r="AF673" s="406">
        <f t="shared" si="305"/>
        <v>-1.8183305101026465E-3</v>
      </c>
    </row>
    <row r="675" spans="28:44" x14ac:dyDescent="0.25">
      <c r="AG675" s="313" t="s">
        <v>380</v>
      </c>
      <c r="AH675" s="313"/>
      <c r="AI675" s="313"/>
      <c r="AJ675" s="398"/>
      <c r="AK675" s="398"/>
    </row>
    <row r="676" spans="28:44" ht="60" customHeight="1" x14ac:dyDescent="0.25">
      <c r="AG676" s="421" t="s">
        <v>245</v>
      </c>
      <c r="AH676" s="437" t="s">
        <v>246</v>
      </c>
      <c r="AI676" s="438"/>
      <c r="AJ676" s="417" t="s">
        <v>247</v>
      </c>
      <c r="AK676" s="437" t="s">
        <v>97</v>
      </c>
      <c r="AL676" s="438"/>
      <c r="AM676" s="437" t="s">
        <v>248</v>
      </c>
      <c r="AN676" s="438"/>
      <c r="AO676" s="437" t="s">
        <v>249</v>
      </c>
      <c r="AP676" s="438"/>
      <c r="AQ676" s="437" t="s">
        <v>250</v>
      </c>
      <c r="AR676" s="438"/>
    </row>
    <row r="677" spans="28:44" x14ac:dyDescent="0.25">
      <c r="AG677" s="439" t="s">
        <v>310</v>
      </c>
      <c r="AH677" s="439"/>
      <c r="AI677" s="439"/>
      <c r="AJ677" s="439"/>
      <c r="AK677" s="439"/>
      <c r="AL677" s="439"/>
      <c r="AM677" s="407">
        <f>$F$255</f>
        <v>0.98675365364886913</v>
      </c>
      <c r="AN677" s="407">
        <f>$F$256</f>
        <v>1.0070154403019813</v>
      </c>
      <c r="AO677" s="440"/>
      <c r="AP677" s="440"/>
      <c r="AQ677" s="440"/>
      <c r="AR677" s="440"/>
    </row>
    <row r="678" spans="28:44" ht="38.25" customHeight="1" x14ac:dyDescent="0.25">
      <c r="AG678" s="404"/>
      <c r="AH678" s="408" t="str">
        <f>AC662</f>
        <v>2016 
Actual</v>
      </c>
      <c r="AI678" s="408" t="str">
        <f>AD662</f>
        <v>2017
Actual</v>
      </c>
      <c r="AJ678" s="409"/>
      <c r="AK678" s="408" t="str">
        <f>AH678</f>
        <v>2016 
Actual</v>
      </c>
      <c r="AL678" s="408" t="str">
        <f>AI678</f>
        <v>2017
Actual</v>
      </c>
      <c r="AM678" s="408" t="str">
        <f>AK678</f>
        <v>2016 
Actual</v>
      </c>
      <c r="AN678" s="408" t="str">
        <f>AL678</f>
        <v>2017
Actual</v>
      </c>
      <c r="AO678" s="408" t="str">
        <f>AM678</f>
        <v>2016 
Actual</v>
      </c>
      <c r="AP678" s="408" t="str">
        <f t="shared" ref="AP678" si="308">AN678</f>
        <v>2017
Actual</v>
      </c>
      <c r="AQ678" s="408" t="str">
        <f t="shared" ref="AQ678" si="309">AO678</f>
        <v>2016 
Actual</v>
      </c>
      <c r="AR678" s="408" t="str">
        <f t="shared" ref="AR678" si="310">AP678</f>
        <v>2017
Actual</v>
      </c>
    </row>
    <row r="679" spans="28:44" x14ac:dyDescent="0.25">
      <c r="AG679" s="401" t="s">
        <v>1</v>
      </c>
      <c r="AH679" s="392">
        <f>Summary!$H$16</f>
        <v>56560.571301247772</v>
      </c>
      <c r="AI679" s="392">
        <f>Summary!$I$16</f>
        <v>57271.5</v>
      </c>
      <c r="AJ679" s="410" t="s">
        <v>89</v>
      </c>
      <c r="AK679" s="392">
        <f>Summary!$H$17</f>
        <v>479944151.9611001</v>
      </c>
      <c r="AL679" s="392">
        <f>Summary!$I$17</f>
        <v>453855074.99999994</v>
      </c>
      <c r="AM679" s="410">
        <f>AK679*AM677</f>
        <v>473586645.49502361</v>
      </c>
      <c r="AN679" s="392">
        <f>AL679*AN677</f>
        <v>457039068.18441367</v>
      </c>
      <c r="AO679" s="410">
        <f>AK679/AH679</f>
        <v>8485.4898194868856</v>
      </c>
      <c r="AP679" s="410">
        <f>AL679/AI679</f>
        <v>7924.6235038369859</v>
      </c>
      <c r="AQ679" s="410">
        <f>AM679/AH679</f>
        <v>8373.0880823789685</v>
      </c>
      <c r="AR679" s="410">
        <f>AN679/AI679</f>
        <v>7980.2182269438317</v>
      </c>
    </row>
    <row r="680" spans="28:44" x14ac:dyDescent="0.25">
      <c r="AG680" s="401" t="s">
        <v>138</v>
      </c>
      <c r="AH680" s="392">
        <f>Summary!$H$20</f>
        <v>6240.7163018433184</v>
      </c>
      <c r="AI680" s="392">
        <f>Summary!$I$20</f>
        <v>6297.5</v>
      </c>
      <c r="AJ680" s="410" t="s">
        <v>89</v>
      </c>
      <c r="AK680" s="392">
        <f>Summary!$H$21</f>
        <v>212807518.98150003</v>
      </c>
      <c r="AL680" s="392">
        <f>Summary!$I$21</f>
        <v>189005847.53</v>
      </c>
      <c r="AM680" s="410">
        <f>AK680*AM677</f>
        <v>209988596.87894621</v>
      </c>
      <c r="AN680" s="392">
        <f>AL680*AN677</f>
        <v>190331806.7700721</v>
      </c>
      <c r="AO680" s="410">
        <f t="shared" ref="AO680:AO692" si="311">AK680/AH680</f>
        <v>34099.854678323245</v>
      </c>
      <c r="AP680" s="410">
        <f t="shared" ref="AP680:AP685" si="312">AL680/AI680</f>
        <v>30012.838035728462</v>
      </c>
      <c r="AQ680" s="410">
        <f t="shared" ref="AQ680:AQ692" si="313">AM680/AH680</f>
        <v>33648.156192730945</v>
      </c>
      <c r="AR680" s="410">
        <f t="shared" ref="AR680:AR687" si="314">AN680/AI680</f>
        <v>30223.391309261151</v>
      </c>
    </row>
    <row r="681" spans="28:44" x14ac:dyDescent="0.25">
      <c r="AG681" s="401" t="s">
        <v>139</v>
      </c>
      <c r="AH681" s="392">
        <f>Summary!$H$24</f>
        <v>805.93681241284958</v>
      </c>
      <c r="AI681" s="392">
        <f>Summary!$I$24</f>
        <v>796</v>
      </c>
      <c r="AJ681" s="410" t="s">
        <v>90</v>
      </c>
      <c r="AK681" s="392">
        <f>Summary!$H$26</f>
        <v>1564560.6600000001</v>
      </c>
      <c r="AL681" s="392">
        <f>Summary!$I$26</f>
        <v>1518753.3299999998</v>
      </c>
      <c r="AM681" s="410">
        <f>AK681*AM677</f>
        <v>1543835.9476102863</v>
      </c>
      <c r="AN681" s="392">
        <f>AL681*AN677</f>
        <v>1529408.0533200502</v>
      </c>
      <c r="AO681" s="410">
        <f t="shared" si="311"/>
        <v>1941.2944487744003</v>
      </c>
      <c r="AP681" s="410">
        <f t="shared" si="312"/>
        <v>1907.9815703517586</v>
      </c>
      <c r="AQ681" s="410">
        <f t="shared" si="313"/>
        <v>1915.579390136407</v>
      </c>
      <c r="AR681" s="410">
        <f t="shared" si="314"/>
        <v>1921.366901155842</v>
      </c>
    </row>
    <row r="682" spans="28:44" x14ac:dyDescent="0.25">
      <c r="AG682" s="401" t="s">
        <v>140</v>
      </c>
      <c r="AH682" s="392">
        <f>Summary!$H$29</f>
        <v>28.5</v>
      </c>
      <c r="AI682" s="392">
        <f>Summary!$I$29</f>
        <v>28</v>
      </c>
      <c r="AJ682" s="410" t="s">
        <v>90</v>
      </c>
      <c r="AK682" s="392">
        <f>Summary!$H$31</f>
        <v>631904.10997964221</v>
      </c>
      <c r="AL682" s="392">
        <f>Summary!$I$31</f>
        <v>574484.46259129199</v>
      </c>
      <c r="AM682" s="410">
        <f>AK682*AM677</f>
        <v>623533.68927814881</v>
      </c>
      <c r="AN682" s="392">
        <f>AL682*AN677</f>
        <v>578514.72404301702</v>
      </c>
      <c r="AO682" s="410">
        <f t="shared" si="311"/>
        <v>22172.074034373411</v>
      </c>
      <c r="AP682" s="410">
        <f t="shared" si="312"/>
        <v>20517.302235403284</v>
      </c>
      <c r="AQ682" s="410">
        <f t="shared" si="313"/>
        <v>21878.375062391187</v>
      </c>
      <c r="AR682" s="410">
        <f t="shared" si="314"/>
        <v>20661.240144393465</v>
      </c>
    </row>
    <row r="683" spans="28:44" x14ac:dyDescent="0.25">
      <c r="AG683" s="401" t="s">
        <v>113</v>
      </c>
      <c r="AH683" s="392">
        <f>Summary!$H$34</f>
        <v>2</v>
      </c>
      <c r="AI683" s="392">
        <f>Summary!$I$34</f>
        <v>2</v>
      </c>
      <c r="AJ683" s="410" t="s">
        <v>90</v>
      </c>
      <c r="AK683" s="392">
        <f>Summary!$H$36</f>
        <v>358566.19</v>
      </c>
      <c r="AL683" s="392">
        <f>Summary!$I$36</f>
        <v>348189.01999999996</v>
      </c>
      <c r="AM683" s="410">
        <f>AK683*AM677</f>
        <v>353816.49805745459</v>
      </c>
      <c r="AN683" s="392">
        <f>AL683*AN677</f>
        <v>350631.71928361536</v>
      </c>
      <c r="AO683" s="410">
        <f t="shared" si="311"/>
        <v>179283.095</v>
      </c>
      <c r="AP683" s="410">
        <f t="shared" si="312"/>
        <v>174094.50999999998</v>
      </c>
      <c r="AQ683" s="410">
        <f t="shared" si="313"/>
        <v>176908.2490287273</v>
      </c>
      <c r="AR683" s="410">
        <f t="shared" si="314"/>
        <v>175315.85964180768</v>
      </c>
    </row>
    <row r="684" spans="28:44" x14ac:dyDescent="0.25">
      <c r="AG684" s="401" t="s">
        <v>112</v>
      </c>
      <c r="AH684" s="392">
        <f>Summary!$H$39</f>
        <v>4</v>
      </c>
      <c r="AI684" s="392">
        <f>Summary!$I$39</f>
        <v>4</v>
      </c>
      <c r="AJ684" s="410" t="s">
        <v>90</v>
      </c>
      <c r="AK684" s="392">
        <f>Summary!$H$40</f>
        <v>70836.33</v>
      </c>
      <c r="AL684" s="392">
        <f>Summary!$I$40</f>
        <v>67941.700000000012</v>
      </c>
      <c r="AM684" s="410">
        <f>AK684*AM677</f>
        <v>69898.007438576999</v>
      </c>
      <c r="AN684" s="392">
        <f>AL684*AN677</f>
        <v>68418.340940365131</v>
      </c>
      <c r="AO684" s="410">
        <f t="shared" si="311"/>
        <v>17709.0825</v>
      </c>
      <c r="AP684" s="410">
        <f t="shared" si="312"/>
        <v>16985.425000000003</v>
      </c>
      <c r="AQ684" s="410">
        <f t="shared" si="313"/>
        <v>17474.50185964425</v>
      </c>
      <c r="AR684" s="410">
        <f t="shared" si="314"/>
        <v>17104.585235091283</v>
      </c>
    </row>
    <row r="685" spans="28:44" x14ac:dyDescent="0.25">
      <c r="AG685" s="401" t="s">
        <v>66</v>
      </c>
      <c r="AH685" s="392">
        <f>Summary!$H$43</f>
        <v>15726</v>
      </c>
      <c r="AI685" s="392">
        <f>Summary!$I$43</f>
        <v>16024</v>
      </c>
      <c r="AJ685" s="410" t="s">
        <v>90</v>
      </c>
      <c r="AK685" s="392">
        <f>Summary!$H$45</f>
        <v>31300.14</v>
      </c>
      <c r="AL685" s="392">
        <f>Summary!$I$45</f>
        <v>24144.04</v>
      </c>
      <c r="AM685" s="410">
        <f>AK685*AM677</f>
        <v>30885.527504721114</v>
      </c>
      <c r="AN685" s="392">
        <f>AL685*AN677</f>
        <v>24313.421071268651</v>
      </c>
      <c r="AO685" s="410">
        <f t="shared" si="311"/>
        <v>1.9903433803891644</v>
      </c>
      <c r="AP685" s="410">
        <f t="shared" si="312"/>
        <v>1.5067423864203695</v>
      </c>
      <c r="AQ685" s="410">
        <f t="shared" si="313"/>
        <v>1.9639786026148489</v>
      </c>
      <c r="AR685" s="410">
        <f t="shared" si="314"/>
        <v>1.5173128476827664</v>
      </c>
    </row>
    <row r="686" spans="28:44" x14ac:dyDescent="0.25">
      <c r="AG686" s="401" t="s">
        <v>195</v>
      </c>
      <c r="AH686" s="392">
        <f>Summary!$H$48</f>
        <v>181.02132196162046</v>
      </c>
      <c r="AI686" s="392">
        <f>Summary!$I$48</f>
        <v>168</v>
      </c>
      <c r="AJ686" s="410" t="s">
        <v>90</v>
      </c>
      <c r="AK686" s="392">
        <f>Summary!$H$50</f>
        <v>416.63902725875835</v>
      </c>
      <c r="AL686" s="392">
        <f>Summary!$I$50</f>
        <v>342.92000000000007</v>
      </c>
      <c r="AM686" s="410">
        <f>AK686*AM677</f>
        <v>411.12008240029058</v>
      </c>
      <c r="AN686" s="392">
        <f>AL686*AN677</f>
        <v>345.32573478835553</v>
      </c>
      <c r="AO686" s="410">
        <f t="shared" si="311"/>
        <v>2.3016019480130234</v>
      </c>
      <c r="AP686" s="410">
        <f>AL686/AI686</f>
        <v>2.0411904761904767</v>
      </c>
      <c r="AQ686" s="410">
        <f t="shared" si="313"/>
        <v>2.2711141314472054</v>
      </c>
      <c r="AR686" s="410">
        <f t="shared" si="314"/>
        <v>2.0555103261211638</v>
      </c>
    </row>
    <row r="687" spans="28:44" x14ac:dyDescent="0.25">
      <c r="AG687" s="401" t="s">
        <v>2</v>
      </c>
      <c r="AH687" s="392">
        <f>Summary!$H$53</f>
        <v>523</v>
      </c>
      <c r="AI687" s="392">
        <f>Summary!$I$53</f>
        <v>499</v>
      </c>
      <c r="AJ687" s="410" t="s">
        <v>89</v>
      </c>
      <c r="AK687" s="392">
        <f>Summary!$H$54</f>
        <v>2346837.5999999996</v>
      </c>
      <c r="AL687" s="392">
        <f>Summary!$I$54</f>
        <v>2273987.9970972422</v>
      </c>
      <c r="AM687" s="410">
        <f>AK687*AM677</f>
        <v>2315750.576320543</v>
      </c>
      <c r="AN687" s="392">
        <f>AL687*AN677</f>
        <v>2289941.0241382997</v>
      </c>
      <c r="AO687" s="410">
        <f t="shared" si="311"/>
        <v>4487.2611854684501</v>
      </c>
      <c r="AP687" s="410">
        <f t="shared" ref="AP687:AP692" si="315">AL687/AI687</f>
        <v>4557.0901745435713</v>
      </c>
      <c r="AQ687" s="410">
        <f t="shared" si="313"/>
        <v>4427.8213696377497</v>
      </c>
      <c r="AR687" s="410">
        <f t="shared" si="314"/>
        <v>4589.060168613827</v>
      </c>
    </row>
    <row r="688" spans="28:44" x14ac:dyDescent="0.25">
      <c r="AG688" s="401" t="s">
        <v>290</v>
      </c>
      <c r="AH688" s="392">
        <f>Summary!$H$57</f>
        <v>2</v>
      </c>
      <c r="AI688" s="392">
        <f>Summary!$I$57</f>
        <v>2</v>
      </c>
      <c r="AJ688" s="410" t="s">
        <v>90</v>
      </c>
      <c r="AK688" s="392">
        <f>Summary!$H$59</f>
        <v>27465.539999999994</v>
      </c>
      <c r="AL688" s="392">
        <f>Summary!$I$59</f>
        <v>24387.435638304029</v>
      </c>
      <c r="AM688" s="410">
        <f>AK688*AM677</f>
        <v>27101.721944439156</v>
      </c>
      <c r="AN688" s="392">
        <f>AL688*AN677</f>
        <v>24558.524237142963</v>
      </c>
      <c r="AO688" s="410">
        <f t="shared" si="311"/>
        <v>13732.769999999997</v>
      </c>
      <c r="AP688" s="410">
        <f t="shared" si="315"/>
        <v>12193.717819152014</v>
      </c>
      <c r="AQ688" s="410">
        <f t="shared" si="313"/>
        <v>13550.860972219578</v>
      </c>
      <c r="AR688" s="410">
        <f>AN688/AI688</f>
        <v>12279.262118571482</v>
      </c>
    </row>
    <row r="689" spans="33:44" x14ac:dyDescent="0.25">
      <c r="AG689" s="401" t="s">
        <v>291</v>
      </c>
      <c r="AH689" s="392">
        <f>Summary!$H$62</f>
        <v>1</v>
      </c>
      <c r="AI689" s="392">
        <f>Summary!$I$62</f>
        <v>1</v>
      </c>
      <c r="AJ689" s="410" t="s">
        <v>90</v>
      </c>
      <c r="AK689" s="392">
        <f>Summary!$H$64</f>
        <v>121168.08</v>
      </c>
      <c r="AL689" s="392">
        <f>Summary!$I$64</f>
        <v>114656.88436169598</v>
      </c>
      <c r="AM689" s="410">
        <f>AK689*AM677</f>
        <v>119563.04564561846</v>
      </c>
      <c r="AN689" s="392">
        <f>AL689*AN677</f>
        <v>115461.25288914664</v>
      </c>
      <c r="AO689" s="410">
        <f t="shared" si="311"/>
        <v>121168.08</v>
      </c>
      <c r="AP689" s="410">
        <f t="shared" si="315"/>
        <v>114656.88436169598</v>
      </c>
      <c r="AQ689" s="410">
        <f t="shared" si="313"/>
        <v>119563.04564561846</v>
      </c>
      <c r="AR689" s="410">
        <f t="shared" ref="AR689:AR692" si="316">AN689/AI689</f>
        <v>115461.25288914664</v>
      </c>
    </row>
    <row r="690" spans="33:44" x14ac:dyDescent="0.25">
      <c r="AG690" s="401" t="s">
        <v>292</v>
      </c>
      <c r="AH690" s="392">
        <f>Summary!$H$67</f>
        <v>1</v>
      </c>
      <c r="AI690" s="392">
        <f>Summary!$I$67</f>
        <v>1</v>
      </c>
      <c r="AJ690" s="410" t="s">
        <v>90</v>
      </c>
      <c r="AK690" s="392">
        <f>Summary!$H$69</f>
        <v>1313.24</v>
      </c>
      <c r="AL690" s="392">
        <f>Summary!$I$69</f>
        <v>1074.96</v>
      </c>
      <c r="AM690" s="410">
        <f>AK690*AM677</f>
        <v>1295.844368117841</v>
      </c>
      <c r="AN690" s="392">
        <f>AL690*AN677</f>
        <v>1082.501317707018</v>
      </c>
      <c r="AO690" s="410">
        <f t="shared" si="311"/>
        <v>1313.24</v>
      </c>
      <c r="AP690" s="410">
        <f t="shared" si="315"/>
        <v>1074.96</v>
      </c>
      <c r="AQ690" s="410">
        <f t="shared" si="313"/>
        <v>1295.844368117841</v>
      </c>
      <c r="AR690" s="410">
        <f t="shared" si="316"/>
        <v>1082.501317707018</v>
      </c>
    </row>
    <row r="691" spans="33:44" x14ac:dyDescent="0.25">
      <c r="AG691" s="401" t="s">
        <v>293</v>
      </c>
      <c r="AH691" s="392">
        <f>Summary!$H$72</f>
        <v>1</v>
      </c>
      <c r="AI691" s="392">
        <f>Summary!$I$72</f>
        <v>1</v>
      </c>
      <c r="AJ691" s="410" t="s">
        <v>90</v>
      </c>
      <c r="AK691" s="392">
        <f>Summary!$H$74</f>
        <v>29427.999999999996</v>
      </c>
      <c r="AL691" s="392">
        <f>Summary!$I$74</f>
        <v>29010.799999999999</v>
      </c>
      <c r="AM691" s="410">
        <f>AK691*AM677</f>
        <v>29038.186519578918</v>
      </c>
      <c r="AN691" s="392">
        <f>AL691*AN677</f>
        <v>29214.323535512718</v>
      </c>
      <c r="AO691" s="410">
        <f t="shared" si="311"/>
        <v>29427.999999999996</v>
      </c>
      <c r="AP691" s="410">
        <f t="shared" si="315"/>
        <v>29010.799999999999</v>
      </c>
      <c r="AQ691" s="410">
        <f t="shared" si="313"/>
        <v>29038.186519578918</v>
      </c>
      <c r="AR691" s="410">
        <f t="shared" si="316"/>
        <v>29214.323535512718</v>
      </c>
    </row>
    <row r="692" spans="33:44" x14ac:dyDescent="0.25">
      <c r="AG692" s="401" t="s">
        <v>294</v>
      </c>
      <c r="AH692" s="392">
        <f>Summary!$H$77</f>
        <v>4</v>
      </c>
      <c r="AI692" s="392">
        <f>Summary!$I$77</f>
        <v>4</v>
      </c>
      <c r="AJ692" s="410" t="s">
        <v>90</v>
      </c>
      <c r="AK692" s="392">
        <f>Summary!$H$79</f>
        <v>99936.488133577368</v>
      </c>
      <c r="AL692" s="392">
        <f>Summary!$I$79</f>
        <v>102972.90667387019</v>
      </c>
      <c r="AM692" s="410">
        <f>AK692*AM677</f>
        <v>98612.694798644327</v>
      </c>
      <c r="AN692" s="392">
        <f>AL692*AN677</f>
        <v>103695.30695336222</v>
      </c>
      <c r="AO692" s="410">
        <f t="shared" si="311"/>
        <v>24984.122033394342</v>
      </c>
      <c r="AP692" s="410">
        <f t="shared" si="315"/>
        <v>25743.226668467549</v>
      </c>
      <c r="AQ692" s="410">
        <f t="shared" si="313"/>
        <v>24653.173699661082</v>
      </c>
      <c r="AR692" s="410">
        <f t="shared" si="316"/>
        <v>25923.826738340555</v>
      </c>
    </row>
    <row r="693" spans="33:44" x14ac:dyDescent="0.25">
      <c r="AG693" s="401" t="s">
        <v>12</v>
      </c>
      <c r="AH693" s="392">
        <f>SUM(AH679:AH692)</f>
        <v>80080.745737465564</v>
      </c>
      <c r="AI693" s="392">
        <f>SUM(AI679:AI692)</f>
        <v>81099</v>
      </c>
      <c r="AJ693" s="410"/>
      <c r="AK693" s="411"/>
      <c r="AL693" s="411"/>
      <c r="AM693" s="411"/>
      <c r="AN693" s="411"/>
      <c r="AO693" s="411"/>
      <c r="AP693" s="411"/>
      <c r="AQ693" s="411"/>
      <c r="AR693" s="411"/>
    </row>
    <row r="694" spans="33:44" x14ac:dyDescent="0.25">
      <c r="AG694" s="389"/>
      <c r="AH694" s="436" t="s">
        <v>251</v>
      </c>
      <c r="AI694" s="436"/>
      <c r="AJ694" s="389"/>
      <c r="AK694" s="436" t="s">
        <v>251</v>
      </c>
      <c r="AL694" s="436"/>
      <c r="AM694" s="436" t="s">
        <v>251</v>
      </c>
      <c r="AN694" s="436"/>
      <c r="AO694" s="436" t="s">
        <v>251</v>
      </c>
      <c r="AP694" s="436"/>
      <c r="AQ694" s="436" t="s">
        <v>251</v>
      </c>
      <c r="AR694" s="436"/>
    </row>
    <row r="695" spans="33:44" x14ac:dyDescent="0.25">
      <c r="AG695" s="412" t="str">
        <f>AG679</f>
        <v xml:space="preserve">Residential </v>
      </c>
      <c r="AH695" s="435">
        <f>AI679-AH679</f>
        <v>710.92869875222823</v>
      </c>
      <c r="AI695" s="435"/>
      <c r="AJ695" s="410" t="str">
        <f>AJ679</f>
        <v>kWh</v>
      </c>
      <c r="AK695" s="435">
        <f>AL679-AK679</f>
        <v>-26089076.961100161</v>
      </c>
      <c r="AL695" s="435"/>
      <c r="AM695" s="435">
        <f t="shared" ref="AM695:AM704" si="317">AN679-AM679</f>
        <v>-16547577.310609937</v>
      </c>
      <c r="AN695" s="435"/>
      <c r="AO695" s="435">
        <f t="shared" ref="AO695:AO703" si="318">AP679-AO679</f>
        <v>-560.86631564989966</v>
      </c>
      <c r="AP695" s="435"/>
      <c r="AQ695" s="435">
        <f t="shared" ref="AQ695:AQ703" si="319">AR679-AQ679</f>
        <v>-392.86985543513674</v>
      </c>
      <c r="AR695" s="435"/>
    </row>
    <row r="696" spans="33:44" x14ac:dyDescent="0.25">
      <c r="AG696" s="412" t="str">
        <f t="shared" ref="AG696:AG708" si="320">AG680</f>
        <v>General Service &lt; 50 kW</v>
      </c>
      <c r="AH696" s="435">
        <f t="shared" ref="AH696:AH708" si="321">AI680-AH680</f>
        <v>56.783698156681567</v>
      </c>
      <c r="AI696" s="435"/>
      <c r="AJ696" s="410" t="str">
        <f t="shared" ref="AJ696:AJ708" si="322">AJ680</f>
        <v>kWh</v>
      </c>
      <c r="AK696" s="435">
        <f t="shared" ref="AK696:AK708" si="323">AL680-AK680</f>
        <v>-23801671.451500028</v>
      </c>
      <c r="AL696" s="435"/>
      <c r="AM696" s="435">
        <f t="shared" si="317"/>
        <v>-19656790.108874112</v>
      </c>
      <c r="AN696" s="435"/>
      <c r="AO696" s="435">
        <f t="shared" si="318"/>
        <v>-4087.0166425947828</v>
      </c>
      <c r="AP696" s="435"/>
      <c r="AQ696" s="435">
        <f t="shared" si="319"/>
        <v>-3424.7648834697939</v>
      </c>
      <c r="AR696" s="435"/>
    </row>
    <row r="697" spans="33:44" x14ac:dyDescent="0.25">
      <c r="AG697" s="412" t="str">
        <f t="shared" si="320"/>
        <v>General Service &gt; 50 to 999 kW</v>
      </c>
      <c r="AH697" s="435">
        <f t="shared" si="321"/>
        <v>-9.9368124128495765</v>
      </c>
      <c r="AI697" s="435"/>
      <c r="AJ697" s="410" t="str">
        <f t="shared" si="322"/>
        <v>kW</v>
      </c>
      <c r="AK697" s="435">
        <f t="shared" si="323"/>
        <v>-45807.330000000307</v>
      </c>
      <c r="AL697" s="435"/>
      <c r="AM697" s="435">
        <f t="shared" si="317"/>
        <v>-14427.894290236058</v>
      </c>
      <c r="AN697" s="435"/>
      <c r="AO697" s="435">
        <f t="shared" si="318"/>
        <v>-33.312878422641688</v>
      </c>
      <c r="AP697" s="435"/>
      <c r="AQ697" s="435">
        <f t="shared" si="319"/>
        <v>5.7875110194349872</v>
      </c>
      <c r="AR697" s="435"/>
    </row>
    <row r="698" spans="33:44" x14ac:dyDescent="0.25">
      <c r="AG698" s="412" t="str">
        <f t="shared" si="320"/>
        <v>General Service &gt; 1000 to 4999 kW</v>
      </c>
      <c r="AH698" s="435">
        <f t="shared" si="321"/>
        <v>-0.5</v>
      </c>
      <c r="AI698" s="435"/>
      <c r="AJ698" s="410" t="str">
        <f t="shared" si="322"/>
        <v>kW</v>
      </c>
      <c r="AK698" s="435">
        <f t="shared" si="323"/>
        <v>-57419.647388350219</v>
      </c>
      <c r="AL698" s="435"/>
      <c r="AM698" s="435">
        <f t="shared" si="317"/>
        <v>-45018.965235131793</v>
      </c>
      <c r="AN698" s="435"/>
      <c r="AO698" s="435">
        <f t="shared" si="318"/>
        <v>-1654.7717989701268</v>
      </c>
      <c r="AP698" s="435"/>
      <c r="AQ698" s="435">
        <f t="shared" si="319"/>
        <v>-1217.1349179977224</v>
      </c>
      <c r="AR698" s="435"/>
    </row>
    <row r="699" spans="33:44" x14ac:dyDescent="0.25">
      <c r="AG699" s="412" t="str">
        <f t="shared" si="320"/>
        <v>Large User</v>
      </c>
      <c r="AH699" s="435">
        <f t="shared" si="321"/>
        <v>0</v>
      </c>
      <c r="AI699" s="435"/>
      <c r="AJ699" s="410" t="str">
        <f t="shared" si="322"/>
        <v>kW</v>
      </c>
      <c r="AK699" s="435">
        <f t="shared" si="323"/>
        <v>-10377.170000000042</v>
      </c>
      <c r="AL699" s="435"/>
      <c r="AM699" s="435">
        <f t="shared" si="317"/>
        <v>-3184.7787738392362</v>
      </c>
      <c r="AN699" s="435"/>
      <c r="AO699" s="435">
        <f t="shared" si="318"/>
        <v>-5188.585000000021</v>
      </c>
      <c r="AP699" s="435"/>
      <c r="AQ699" s="435">
        <f t="shared" si="319"/>
        <v>-1592.3893869196181</v>
      </c>
      <c r="AR699" s="435"/>
    </row>
    <row r="700" spans="33:44" x14ac:dyDescent="0.25">
      <c r="AG700" s="412" t="str">
        <f t="shared" si="320"/>
        <v>Direct Market Participant</v>
      </c>
      <c r="AH700" s="435">
        <f t="shared" si="321"/>
        <v>0</v>
      </c>
      <c r="AI700" s="435"/>
      <c r="AJ700" s="410" t="str">
        <f t="shared" si="322"/>
        <v>kW</v>
      </c>
      <c r="AK700" s="435">
        <f t="shared" si="323"/>
        <v>-2894.6299999999901</v>
      </c>
      <c r="AL700" s="435"/>
      <c r="AM700" s="435">
        <f t="shared" si="317"/>
        <v>-1479.6664982118673</v>
      </c>
      <c r="AN700" s="435"/>
      <c r="AO700" s="435">
        <f t="shared" si="318"/>
        <v>-723.65749999999753</v>
      </c>
      <c r="AP700" s="435"/>
      <c r="AQ700" s="435">
        <f t="shared" si="319"/>
        <v>-369.91662455296682</v>
      </c>
      <c r="AR700" s="435"/>
    </row>
    <row r="701" spans="33:44" x14ac:dyDescent="0.25">
      <c r="AG701" s="412" t="str">
        <f t="shared" si="320"/>
        <v>Street Lights</v>
      </c>
      <c r="AH701" s="435">
        <f t="shared" si="321"/>
        <v>298</v>
      </c>
      <c r="AI701" s="435"/>
      <c r="AJ701" s="410" t="str">
        <f t="shared" si="322"/>
        <v>kW</v>
      </c>
      <c r="AK701" s="435">
        <f t="shared" si="323"/>
        <v>-7156.0999999999985</v>
      </c>
      <c r="AL701" s="435"/>
      <c r="AM701" s="435">
        <f t="shared" si="317"/>
        <v>-6572.1064334524635</v>
      </c>
      <c r="AN701" s="435"/>
      <c r="AO701" s="435">
        <f t="shared" si="318"/>
        <v>-0.48360099396879486</v>
      </c>
      <c r="AP701" s="435"/>
      <c r="AQ701" s="435">
        <f t="shared" si="319"/>
        <v>-0.44666575493208249</v>
      </c>
      <c r="AR701" s="435"/>
    </row>
    <row r="702" spans="33:44" x14ac:dyDescent="0.25">
      <c r="AG702" s="412" t="str">
        <f t="shared" si="320"/>
        <v>Sentinel Lights</v>
      </c>
      <c r="AH702" s="435">
        <f t="shared" si="321"/>
        <v>-13.021321961620458</v>
      </c>
      <c r="AI702" s="435"/>
      <c r="AJ702" s="410" t="str">
        <f t="shared" si="322"/>
        <v>kW</v>
      </c>
      <c r="AK702" s="435">
        <f t="shared" si="323"/>
        <v>-73.719027258758274</v>
      </c>
      <c r="AL702" s="435"/>
      <c r="AM702" s="435">
        <f t="shared" si="317"/>
        <v>-65.794347611935052</v>
      </c>
      <c r="AN702" s="435"/>
      <c r="AO702" s="435">
        <f t="shared" si="318"/>
        <v>-0.26041147182254676</v>
      </c>
      <c r="AP702" s="435"/>
      <c r="AQ702" s="435">
        <f t="shared" si="319"/>
        <v>-0.21560380532604162</v>
      </c>
      <c r="AR702" s="435"/>
    </row>
    <row r="703" spans="33:44" x14ac:dyDescent="0.25">
      <c r="AG703" s="412" t="str">
        <f t="shared" si="320"/>
        <v xml:space="preserve">Unmetered Loads </v>
      </c>
      <c r="AH703" s="435">
        <f t="shared" si="321"/>
        <v>-24</v>
      </c>
      <c r="AI703" s="435"/>
      <c r="AJ703" s="410" t="str">
        <f t="shared" si="322"/>
        <v>kWh</v>
      </c>
      <c r="AK703" s="435">
        <f t="shared" si="323"/>
        <v>-72849.60290275747</v>
      </c>
      <c r="AL703" s="435"/>
      <c r="AM703" s="435">
        <f t="shared" si="317"/>
        <v>-25809.552182243206</v>
      </c>
      <c r="AN703" s="435"/>
      <c r="AO703" s="435">
        <f t="shared" si="318"/>
        <v>69.828989075121171</v>
      </c>
      <c r="AP703" s="435"/>
      <c r="AQ703" s="435">
        <f t="shared" si="319"/>
        <v>161.23879897607731</v>
      </c>
      <c r="AR703" s="435"/>
    </row>
    <row r="704" spans="33:44" x14ac:dyDescent="0.25">
      <c r="AG704" s="412" t="str">
        <f t="shared" si="320"/>
        <v>Embedded Distributor - Hydro One, CND</v>
      </c>
      <c r="AH704" s="435">
        <f t="shared" si="321"/>
        <v>0</v>
      </c>
      <c r="AI704" s="435"/>
      <c r="AJ704" s="410" t="str">
        <f t="shared" si="322"/>
        <v>kW</v>
      </c>
      <c r="AK704" s="435">
        <f t="shared" si="323"/>
        <v>-3078.1043616959651</v>
      </c>
      <c r="AL704" s="435"/>
      <c r="AM704" s="435">
        <f t="shared" si="317"/>
        <v>-2543.1977072961927</v>
      </c>
      <c r="AN704" s="435"/>
      <c r="AO704" s="435">
        <f t="shared" ref="AO704:AO708" si="324">AP688-AO688</f>
        <v>-1539.0521808479825</v>
      </c>
      <c r="AP704" s="435"/>
      <c r="AQ704" s="435">
        <f t="shared" ref="AQ704:AQ707" si="325">AR688-AQ688</f>
        <v>-1271.5988536480963</v>
      </c>
      <c r="AR704" s="435"/>
    </row>
    <row r="705" spans="28:44" x14ac:dyDescent="0.25">
      <c r="AG705" s="412" t="str">
        <f t="shared" si="320"/>
        <v>Embedded Distributor - Waterloo North, CND</v>
      </c>
      <c r="AH705" s="435">
        <f t="shared" si="321"/>
        <v>0</v>
      </c>
      <c r="AI705" s="435"/>
      <c r="AJ705" s="410" t="str">
        <f t="shared" si="322"/>
        <v>kW</v>
      </c>
      <c r="AK705" s="435">
        <f t="shared" si="323"/>
        <v>-6511.1956383040233</v>
      </c>
      <c r="AL705" s="435"/>
      <c r="AM705" s="435">
        <f t="shared" ref="AM705:AM708" si="326">AN689-AM689</f>
        <v>-4101.7927564718266</v>
      </c>
      <c r="AN705" s="435"/>
      <c r="AO705" s="435">
        <f>AP689-AO689</f>
        <v>-6511.1956383040233</v>
      </c>
      <c r="AP705" s="435"/>
      <c r="AQ705" s="435">
        <f>AR689-AQ689</f>
        <v>-4101.7927564718266</v>
      </c>
      <c r="AR705" s="435"/>
    </row>
    <row r="706" spans="28:44" x14ac:dyDescent="0.25">
      <c r="AG706" s="412" t="str">
        <f t="shared" si="320"/>
        <v>Embedded Distributor - Brantford Power, BCP</v>
      </c>
      <c r="AH706" s="435">
        <f t="shared" si="321"/>
        <v>0</v>
      </c>
      <c r="AI706" s="435"/>
      <c r="AJ706" s="410" t="str">
        <f t="shared" si="322"/>
        <v>kW</v>
      </c>
      <c r="AK706" s="435">
        <f t="shared" si="323"/>
        <v>-238.27999999999997</v>
      </c>
      <c r="AL706" s="435"/>
      <c r="AM706" s="435">
        <f>AN690-AM690</f>
        <v>-213.34305041082303</v>
      </c>
      <c r="AN706" s="435"/>
      <c r="AO706" s="435">
        <f t="shared" si="324"/>
        <v>-238.27999999999997</v>
      </c>
      <c r="AP706" s="435"/>
      <c r="AQ706" s="435">
        <f t="shared" si="325"/>
        <v>-213.34305041082303</v>
      </c>
      <c r="AR706" s="435"/>
    </row>
    <row r="707" spans="28:44" x14ac:dyDescent="0.25">
      <c r="AG707" s="412" t="str">
        <f t="shared" si="320"/>
        <v>Embedded Distributor - Hydro One #1, BCP</v>
      </c>
      <c r="AH707" s="435">
        <f t="shared" si="321"/>
        <v>0</v>
      </c>
      <c r="AI707" s="435"/>
      <c r="AJ707" s="410" t="str">
        <f t="shared" si="322"/>
        <v>kW</v>
      </c>
      <c r="AK707" s="435">
        <f t="shared" si="323"/>
        <v>-417.19999999999709</v>
      </c>
      <c r="AL707" s="435"/>
      <c r="AM707" s="435">
        <f>AN691-AM691</f>
        <v>176.13701593380028</v>
      </c>
      <c r="AN707" s="435"/>
      <c r="AO707" s="435">
        <f t="shared" si="324"/>
        <v>-417.19999999999709</v>
      </c>
      <c r="AP707" s="435"/>
      <c r="AQ707" s="435">
        <f t="shared" si="325"/>
        <v>176.13701593380028</v>
      </c>
      <c r="AR707" s="435"/>
    </row>
    <row r="708" spans="28:44" x14ac:dyDescent="0.25">
      <c r="AG708" s="412" t="str">
        <f t="shared" si="320"/>
        <v>Embedded Distributor - Hydro One #2, BCP</v>
      </c>
      <c r="AH708" s="435">
        <f t="shared" si="321"/>
        <v>0</v>
      </c>
      <c r="AI708" s="435"/>
      <c r="AJ708" s="410" t="str">
        <f t="shared" si="322"/>
        <v>kW</v>
      </c>
      <c r="AK708" s="435">
        <f t="shared" si="323"/>
        <v>3036.4185402928269</v>
      </c>
      <c r="AL708" s="435"/>
      <c r="AM708" s="435">
        <f t="shared" si="326"/>
        <v>5082.6121547178918</v>
      </c>
      <c r="AN708" s="435"/>
      <c r="AO708" s="435">
        <f t="shared" si="324"/>
        <v>759.10463507320674</v>
      </c>
      <c r="AP708" s="435"/>
      <c r="AQ708" s="435">
        <f>AR692-AQ692</f>
        <v>1270.653038679473</v>
      </c>
      <c r="AR708" s="435"/>
    </row>
    <row r="710" spans="28:44" x14ac:dyDescent="0.25">
      <c r="AB710" s="313" t="s">
        <v>381</v>
      </c>
      <c r="AC710" s="313"/>
      <c r="AD710" s="313"/>
      <c r="AE710" s="398"/>
      <c r="AF710" s="398"/>
    </row>
    <row r="711" spans="28:44" ht="30" x14ac:dyDescent="0.25">
      <c r="AB711" s="421"/>
      <c r="AC711" s="417" t="s">
        <v>316</v>
      </c>
      <c r="AD711" s="417" t="s">
        <v>318</v>
      </c>
      <c r="AE711" s="417" t="s">
        <v>375</v>
      </c>
      <c r="AF711" s="417" t="s">
        <v>371</v>
      </c>
    </row>
    <row r="712" spans="28:44" s="308" customFormat="1" ht="30" x14ac:dyDescent="0.25">
      <c r="AB712" s="399" t="s">
        <v>272</v>
      </c>
      <c r="AC712" s="400"/>
      <c r="AD712" s="400"/>
      <c r="AE712" s="400"/>
      <c r="AF712" s="400"/>
    </row>
    <row r="713" spans="28:44" x14ac:dyDescent="0.25">
      <c r="AB713" s="401" t="s">
        <v>1</v>
      </c>
      <c r="AC713" s="402">
        <f>$T$5</f>
        <v>16964394.523131743</v>
      </c>
      <c r="AD713" s="402">
        <f>$U$5</f>
        <v>17346538.428553525</v>
      </c>
      <c r="AE713" s="402">
        <f>AD713-AC713</f>
        <v>382143.90542178228</v>
      </c>
      <c r="AF713" s="403">
        <f>AE713/AD713</f>
        <v>2.2029980620960586E-2</v>
      </c>
    </row>
    <row r="714" spans="28:44" x14ac:dyDescent="0.25">
      <c r="AB714" s="401" t="s">
        <v>138</v>
      </c>
      <c r="AC714" s="402">
        <f>$T$6</f>
        <v>4081599.285853826</v>
      </c>
      <c r="AD714" s="402">
        <f>$U$6</f>
        <v>4057006.7882216675</v>
      </c>
      <c r="AE714" s="402">
        <f t="shared" ref="AE714:AE721" si="327">AD714-AC714</f>
        <v>-24592.497632158455</v>
      </c>
      <c r="AF714" s="403">
        <f t="shared" ref="AF714:AF723" si="328">AE714/AD714</f>
        <v>-6.0617344056597532E-3</v>
      </c>
    </row>
    <row r="715" spans="28:44" x14ac:dyDescent="0.25">
      <c r="AB715" s="401" t="s">
        <v>139</v>
      </c>
      <c r="AC715" s="402">
        <f>$T$7</f>
        <v>7791032.3367225453</v>
      </c>
      <c r="AD715" s="402">
        <f>$U$7</f>
        <v>7647110.3712846497</v>
      </c>
      <c r="AE715" s="402">
        <f t="shared" si="327"/>
        <v>-143921.96543789562</v>
      </c>
      <c r="AF715" s="403">
        <f t="shared" si="328"/>
        <v>-1.8820437845167123E-2</v>
      </c>
    </row>
    <row r="716" spans="28:44" x14ac:dyDescent="0.25">
      <c r="AB716" s="401" t="s">
        <v>140</v>
      </c>
      <c r="AC716" s="402">
        <f>$T$8</f>
        <v>1792008.1248807504</v>
      </c>
      <c r="AD716" s="402">
        <f>$U$8</f>
        <v>2547667.513710795</v>
      </c>
      <c r="AE716" s="402">
        <f t="shared" si="327"/>
        <v>755659.38883004454</v>
      </c>
      <c r="AF716" s="403">
        <f t="shared" si="328"/>
        <v>0.29660832301048257</v>
      </c>
    </row>
    <row r="717" spans="28:44" x14ac:dyDescent="0.25">
      <c r="AB717" s="401" t="s">
        <v>113</v>
      </c>
      <c r="AC717" s="402">
        <f>$T$9</f>
        <v>1288466.0792596445</v>
      </c>
      <c r="AD717" s="402">
        <f>$U$9</f>
        <v>1042830.0982967052</v>
      </c>
      <c r="AE717" s="402">
        <f t="shared" si="327"/>
        <v>-245635.98096293933</v>
      </c>
      <c r="AF717" s="403">
        <f t="shared" si="328"/>
        <v>-0.23554746009359157</v>
      </c>
    </row>
    <row r="718" spans="28:44" x14ac:dyDescent="0.25">
      <c r="AB718" s="401" t="s">
        <v>66</v>
      </c>
      <c r="AC718" s="402">
        <f>$T$10</f>
        <v>956388.78674363997</v>
      </c>
      <c r="AD718" s="402">
        <f>$U$10</f>
        <v>742910.75547901273</v>
      </c>
      <c r="AE718" s="402">
        <f t="shared" si="327"/>
        <v>-213478.03126462724</v>
      </c>
      <c r="AF718" s="403">
        <f t="shared" si="328"/>
        <v>-0.28735353431110477</v>
      </c>
    </row>
    <row r="719" spans="28:44" x14ac:dyDescent="0.25">
      <c r="AB719" s="401" t="s">
        <v>195</v>
      </c>
      <c r="AC719" s="402">
        <f>$T$11</f>
        <v>14535.452936</v>
      </c>
      <c r="AD719" s="402">
        <f>$U$11</f>
        <v>14572.660176000001</v>
      </c>
      <c r="AE719" s="402">
        <f t="shared" si="327"/>
        <v>37.207240000001548</v>
      </c>
      <c r="AF719" s="403">
        <f t="shared" si="328"/>
        <v>2.5532222360663344E-3</v>
      </c>
    </row>
    <row r="720" spans="28:44" x14ac:dyDescent="0.25">
      <c r="AB720" s="401" t="s">
        <v>2</v>
      </c>
      <c r="AC720" s="402">
        <f>$T$12</f>
        <v>64855.219800000006</v>
      </c>
      <c r="AD720" s="402">
        <f>$U$12</f>
        <v>64041.929412203215</v>
      </c>
      <c r="AE720" s="402">
        <f t="shared" si="327"/>
        <v>-813.29038779679104</v>
      </c>
      <c r="AF720" s="403">
        <f t="shared" si="328"/>
        <v>-1.2699342372433555E-2</v>
      </c>
    </row>
    <row r="721" spans="28:44" x14ac:dyDescent="0.25">
      <c r="AB721" s="401" t="s">
        <v>227</v>
      </c>
      <c r="AC721" s="402">
        <f>$T$13</f>
        <v>264331.21999999997</v>
      </c>
      <c r="AD721" s="402">
        <f>$U$13</f>
        <v>400890.23606465844</v>
      </c>
      <c r="AE721" s="402">
        <f t="shared" si="327"/>
        <v>136559.01606465847</v>
      </c>
      <c r="AF721" s="403">
        <f t="shared" si="328"/>
        <v>0.34063941642777562</v>
      </c>
    </row>
    <row r="722" spans="28:44" x14ac:dyDescent="0.25">
      <c r="AB722" s="305" t="s">
        <v>304</v>
      </c>
      <c r="AC722" s="402">
        <f>$T$14</f>
        <v>0</v>
      </c>
      <c r="AD722" s="402">
        <f>$U$14</f>
        <v>-511575</v>
      </c>
      <c r="AE722" s="402">
        <f t="shared" ref="AE722" si="329">AD722-AC722</f>
        <v>-511575</v>
      </c>
      <c r="AF722" s="403">
        <f t="shared" ref="AF722" si="330">AE722/AD722</f>
        <v>1</v>
      </c>
    </row>
    <row r="723" spans="28:44" x14ac:dyDescent="0.25">
      <c r="AB723" s="404" t="s">
        <v>20</v>
      </c>
      <c r="AC723" s="405">
        <f>SUM(AC713:AC722)</f>
        <v>33217611.029328149</v>
      </c>
      <c r="AD723" s="405">
        <f t="shared" ref="AD723:AE723" si="331">SUM(AD713:AD722)</f>
        <v>33351993.781199224</v>
      </c>
      <c r="AE723" s="405">
        <f t="shared" si="331"/>
        <v>134382.7518710678</v>
      </c>
      <c r="AF723" s="406">
        <f t="shared" si="328"/>
        <v>4.0292269407540002E-3</v>
      </c>
    </row>
    <row r="725" spans="28:44" x14ac:dyDescent="0.25">
      <c r="AG725" s="313" t="s">
        <v>382</v>
      </c>
      <c r="AH725" s="313"/>
      <c r="AI725" s="313"/>
      <c r="AJ725" s="398"/>
      <c r="AK725" s="398"/>
    </row>
    <row r="726" spans="28:44" ht="63.75" customHeight="1" x14ac:dyDescent="0.25">
      <c r="AG726" s="421" t="s">
        <v>245</v>
      </c>
      <c r="AH726" s="437" t="s">
        <v>246</v>
      </c>
      <c r="AI726" s="438"/>
      <c r="AJ726" s="417" t="s">
        <v>247</v>
      </c>
      <c r="AK726" s="437" t="s">
        <v>97</v>
      </c>
      <c r="AL726" s="438"/>
      <c r="AM726" s="437" t="s">
        <v>248</v>
      </c>
      <c r="AN726" s="438"/>
      <c r="AO726" s="437" t="s">
        <v>249</v>
      </c>
      <c r="AP726" s="438"/>
      <c r="AQ726" s="437" t="s">
        <v>250</v>
      </c>
      <c r="AR726" s="438"/>
    </row>
    <row r="727" spans="28:44" x14ac:dyDescent="0.25">
      <c r="AG727" s="439" t="s">
        <v>310</v>
      </c>
      <c r="AH727" s="439"/>
      <c r="AI727" s="439"/>
      <c r="AJ727" s="439"/>
      <c r="AK727" s="439"/>
      <c r="AL727" s="439"/>
      <c r="AM727" s="407">
        <f>$F$256</f>
        <v>1.0070154403019813</v>
      </c>
      <c r="AN727" s="407">
        <f>$F$257</f>
        <v>1</v>
      </c>
      <c r="AO727" s="440"/>
      <c r="AP727" s="440"/>
      <c r="AQ727" s="440"/>
      <c r="AR727" s="440"/>
    </row>
    <row r="728" spans="28:44" ht="38.25" customHeight="1" x14ac:dyDescent="0.25">
      <c r="AG728" s="404"/>
      <c r="AH728" s="408" t="str">
        <f>AC711</f>
        <v>2017
Actual</v>
      </c>
      <c r="AI728" s="408" t="str">
        <f>AD711</f>
        <v>2018
Bridge</v>
      </c>
      <c r="AJ728" s="409"/>
      <c r="AK728" s="408" t="str">
        <f>AH728</f>
        <v>2017
Actual</v>
      </c>
      <c r="AL728" s="408" t="str">
        <f>AI728</f>
        <v>2018
Bridge</v>
      </c>
      <c r="AM728" s="408" t="str">
        <f>AK728</f>
        <v>2017
Actual</v>
      </c>
      <c r="AN728" s="408" t="str">
        <f>AL728</f>
        <v>2018
Bridge</v>
      </c>
      <c r="AO728" s="408" t="str">
        <f>AM728</f>
        <v>2017
Actual</v>
      </c>
      <c r="AP728" s="408" t="str">
        <f t="shared" ref="AP728" si="332">AN728</f>
        <v>2018
Bridge</v>
      </c>
      <c r="AQ728" s="408" t="str">
        <f t="shared" ref="AQ728" si="333">AO728</f>
        <v>2017
Actual</v>
      </c>
      <c r="AR728" s="408" t="str">
        <f t="shared" ref="AR728" si="334">AP728</f>
        <v>2018
Bridge</v>
      </c>
    </row>
    <row r="729" spans="28:44" x14ac:dyDescent="0.25">
      <c r="AG729" s="401" t="s">
        <v>1</v>
      </c>
      <c r="AH729" s="392">
        <f>Summary!$I$16</f>
        <v>57271.5</v>
      </c>
      <c r="AI729" s="392">
        <f>Summary!$J$16</f>
        <v>57970.103375516119</v>
      </c>
      <c r="AJ729" s="410" t="s">
        <v>89</v>
      </c>
      <c r="AK729" s="392">
        <f>Summary!$I$17</f>
        <v>453855074.99999994</v>
      </c>
      <c r="AL729" s="392">
        <f>Summary!$J$17</f>
        <v>462090269.53014374</v>
      </c>
      <c r="AM729" s="410">
        <f>AK729*AM727</f>
        <v>457039068.18441367</v>
      </c>
      <c r="AN729" s="392">
        <f>AL729*AN727</f>
        <v>462090269.53014374</v>
      </c>
      <c r="AO729" s="410">
        <f t="shared" ref="AO729:AO742" si="335">AK729/AH729</f>
        <v>7924.6235038369859</v>
      </c>
      <c r="AP729" s="410">
        <f t="shared" ref="AP729:AP742" si="336">AL729/AI729</f>
        <v>7971.1824306545777</v>
      </c>
      <c r="AQ729" s="410">
        <f t="shared" ref="AQ729:AQ742" si="337">AM729/AH729</f>
        <v>7980.2182269438317</v>
      </c>
      <c r="AR729" s="410">
        <f t="shared" ref="AR729:AR742" si="338">AN729/AI729</f>
        <v>7971.1824306545777</v>
      </c>
    </row>
    <row r="730" spans="28:44" x14ac:dyDescent="0.25">
      <c r="AG730" s="401" t="s">
        <v>138</v>
      </c>
      <c r="AH730" s="392">
        <f>Summary!$I$20</f>
        <v>6297.5</v>
      </c>
      <c r="AI730" s="392">
        <f>Summary!$J$20</f>
        <v>6373.6893471967605</v>
      </c>
      <c r="AJ730" s="410" t="s">
        <v>89</v>
      </c>
      <c r="AK730" s="392">
        <f>Summary!$I$21</f>
        <v>189005847.53</v>
      </c>
      <c r="AL730" s="392">
        <f>Summary!$J$21</f>
        <v>190021845.86862719</v>
      </c>
      <c r="AM730" s="410">
        <f>AK730*AM727</f>
        <v>190331806.7700721</v>
      </c>
      <c r="AN730" s="392">
        <f>AL730*AN727</f>
        <v>190021845.86862719</v>
      </c>
      <c r="AO730" s="410">
        <f t="shared" si="335"/>
        <v>30012.838035728462</v>
      </c>
      <c r="AP730" s="410">
        <f t="shared" si="336"/>
        <v>29813.477801863926</v>
      </c>
      <c r="AQ730" s="410">
        <f t="shared" si="337"/>
        <v>30223.391309261151</v>
      </c>
      <c r="AR730" s="410">
        <f t="shared" si="338"/>
        <v>29813.477801863926</v>
      </c>
    </row>
    <row r="731" spans="28:44" x14ac:dyDescent="0.25">
      <c r="AG731" s="401" t="s">
        <v>139</v>
      </c>
      <c r="AH731" s="392">
        <f>Summary!$I$24</f>
        <v>796</v>
      </c>
      <c r="AI731" s="392">
        <f>Summary!$J$24</f>
        <v>798.19667260588278</v>
      </c>
      <c r="AJ731" s="410" t="s">
        <v>90</v>
      </c>
      <c r="AK731" s="392">
        <f>Summary!$I$26</f>
        <v>1518753.3299999998</v>
      </c>
      <c r="AL731" s="392">
        <f>Summary!$J$26</f>
        <v>1555494.9738878242</v>
      </c>
      <c r="AM731" s="410">
        <f>AK731*AM727</f>
        <v>1529408.0533200502</v>
      </c>
      <c r="AN731" s="392">
        <f>AL731*AN727</f>
        <v>1555494.9738878242</v>
      </c>
      <c r="AO731" s="410">
        <f t="shared" si="335"/>
        <v>1907.9815703517586</v>
      </c>
      <c r="AP731" s="410">
        <f t="shared" si="336"/>
        <v>1948.7615361882931</v>
      </c>
      <c r="AQ731" s="410">
        <f t="shared" si="337"/>
        <v>1921.366901155842</v>
      </c>
      <c r="AR731" s="410">
        <f t="shared" si="338"/>
        <v>1948.7615361882931</v>
      </c>
    </row>
    <row r="732" spans="28:44" x14ac:dyDescent="0.25">
      <c r="AG732" s="401" t="s">
        <v>140</v>
      </c>
      <c r="AH732" s="392">
        <f>Summary!$I$29</f>
        <v>28</v>
      </c>
      <c r="AI732" s="392">
        <f>Summary!$J$29</f>
        <v>27.493472574956247</v>
      </c>
      <c r="AJ732" s="410" t="s">
        <v>90</v>
      </c>
      <c r="AK732" s="392">
        <f>Summary!$I$31</f>
        <v>574484.46259129199</v>
      </c>
      <c r="AL732" s="392">
        <f>Summary!$J$31</f>
        <v>552800.52702529693</v>
      </c>
      <c r="AM732" s="410">
        <f>AK732*AM727</f>
        <v>578514.72404301702</v>
      </c>
      <c r="AN732" s="392">
        <f>AL732*AN727</f>
        <v>552800.52702529693</v>
      </c>
      <c r="AO732" s="410">
        <f t="shared" si="335"/>
        <v>20517.302235403284</v>
      </c>
      <c r="AP732" s="410">
        <f t="shared" si="336"/>
        <v>20106.60986960381</v>
      </c>
      <c r="AQ732" s="410">
        <f t="shared" si="337"/>
        <v>20661.240144393465</v>
      </c>
      <c r="AR732" s="410">
        <f t="shared" si="338"/>
        <v>20106.60986960381</v>
      </c>
    </row>
    <row r="733" spans="28:44" x14ac:dyDescent="0.25">
      <c r="AG733" s="401" t="s">
        <v>113</v>
      </c>
      <c r="AH733" s="392">
        <f>Summary!$I$34</f>
        <v>2</v>
      </c>
      <c r="AI733" s="392">
        <f>Summary!$J$34</f>
        <v>2</v>
      </c>
      <c r="AJ733" s="410" t="s">
        <v>90</v>
      </c>
      <c r="AK733" s="392">
        <f>Summary!$I$36</f>
        <v>348189.01999999996</v>
      </c>
      <c r="AL733" s="392">
        <f>Summary!$J$36</f>
        <v>331944.32251332153</v>
      </c>
      <c r="AM733" s="410">
        <f>AK733*AM727</f>
        <v>350631.71928361536</v>
      </c>
      <c r="AN733" s="392">
        <f>AL733*AN727</f>
        <v>331944.32251332153</v>
      </c>
      <c r="AO733" s="410">
        <f t="shared" si="335"/>
        <v>174094.50999999998</v>
      </c>
      <c r="AP733" s="410">
        <f t="shared" si="336"/>
        <v>165972.16125666077</v>
      </c>
      <c r="AQ733" s="410">
        <f t="shared" si="337"/>
        <v>175315.85964180768</v>
      </c>
      <c r="AR733" s="410">
        <f t="shared" si="338"/>
        <v>165972.16125666077</v>
      </c>
    </row>
    <row r="734" spans="28:44" x14ac:dyDescent="0.25">
      <c r="AG734" s="401" t="s">
        <v>112</v>
      </c>
      <c r="AH734" s="392">
        <f>Summary!$I$39</f>
        <v>4</v>
      </c>
      <c r="AI734" s="392">
        <f>Summary!$J$39</f>
        <v>4</v>
      </c>
      <c r="AJ734" s="410" t="s">
        <v>90</v>
      </c>
      <c r="AK734" s="392">
        <f>Summary!$I$40</f>
        <v>67941.700000000012</v>
      </c>
      <c r="AL734" s="392">
        <f>Summary!$J$40</f>
        <v>67941.700000000012</v>
      </c>
      <c r="AM734" s="410">
        <f>AK734*AM727</f>
        <v>68418.340940365131</v>
      </c>
      <c r="AN734" s="392">
        <f>AL734*AN727</f>
        <v>67941.700000000012</v>
      </c>
      <c r="AO734" s="410">
        <f t="shared" si="335"/>
        <v>16985.425000000003</v>
      </c>
      <c r="AP734" s="410">
        <f t="shared" si="336"/>
        <v>16985.425000000003</v>
      </c>
      <c r="AQ734" s="410">
        <f t="shared" si="337"/>
        <v>17104.585235091283</v>
      </c>
      <c r="AR734" s="410">
        <f t="shared" si="338"/>
        <v>16985.425000000003</v>
      </c>
    </row>
    <row r="735" spans="28:44" x14ac:dyDescent="0.25">
      <c r="AG735" s="401" t="s">
        <v>66</v>
      </c>
      <c r="AH735" s="392">
        <f>Summary!$I$43</f>
        <v>16024</v>
      </c>
      <c r="AI735" s="392">
        <f>Summary!$J$43</f>
        <v>16141.350826567697</v>
      </c>
      <c r="AJ735" s="410" t="s">
        <v>90</v>
      </c>
      <c r="AK735" s="392">
        <f>Summary!$I$45</f>
        <v>24144.04</v>
      </c>
      <c r="AL735" s="392">
        <f>Summary!$J$45</f>
        <v>14844.081169277064</v>
      </c>
      <c r="AM735" s="410">
        <f>AK735*AM727</f>
        <v>24313.421071268651</v>
      </c>
      <c r="AN735" s="392">
        <f>AL735*AN727</f>
        <v>14844.081169277064</v>
      </c>
      <c r="AO735" s="410">
        <f t="shared" si="335"/>
        <v>1.5067423864203695</v>
      </c>
      <c r="AP735" s="410">
        <f t="shared" si="336"/>
        <v>0.91963066342902322</v>
      </c>
      <c r="AQ735" s="410">
        <f t="shared" si="337"/>
        <v>1.5173128476827664</v>
      </c>
      <c r="AR735" s="410">
        <f t="shared" si="338"/>
        <v>0.91963066342902322</v>
      </c>
    </row>
    <row r="736" spans="28:44" x14ac:dyDescent="0.25">
      <c r="AG736" s="401" t="s">
        <v>195</v>
      </c>
      <c r="AH736" s="392">
        <f>Summary!$I$48</f>
        <v>168</v>
      </c>
      <c r="AI736" s="392">
        <f>Summary!$J$48</f>
        <v>168</v>
      </c>
      <c r="AJ736" s="410" t="s">
        <v>90</v>
      </c>
      <c r="AK736" s="392">
        <f>Summary!$I$50</f>
        <v>342.92000000000007</v>
      </c>
      <c r="AL736" s="392">
        <f>Summary!$J$50</f>
        <v>342.92000000000007</v>
      </c>
      <c r="AM736" s="410">
        <f>AK736*AM727</f>
        <v>345.32573478835553</v>
      </c>
      <c r="AN736" s="392">
        <f>AL736*AN727</f>
        <v>342.92000000000007</v>
      </c>
      <c r="AO736" s="410">
        <f t="shared" si="335"/>
        <v>2.0411904761904767</v>
      </c>
      <c r="AP736" s="410">
        <f t="shared" si="336"/>
        <v>2.0411904761904767</v>
      </c>
      <c r="AQ736" s="410">
        <f t="shared" si="337"/>
        <v>2.0555103261211638</v>
      </c>
      <c r="AR736" s="410">
        <f t="shared" si="338"/>
        <v>2.0411904761904767</v>
      </c>
    </row>
    <row r="737" spans="33:44" x14ac:dyDescent="0.25">
      <c r="AG737" s="401" t="s">
        <v>2</v>
      </c>
      <c r="AH737" s="392">
        <f>Summary!$I$53</f>
        <v>499</v>
      </c>
      <c r="AI737" s="392">
        <f>Summary!$J$53</f>
        <v>499</v>
      </c>
      <c r="AJ737" s="410" t="s">
        <v>89</v>
      </c>
      <c r="AK737" s="392">
        <f>Summary!$I$54</f>
        <v>2273987.9970972422</v>
      </c>
      <c r="AL737" s="392">
        <f>Summary!$J$54</f>
        <v>2273987.9970972422</v>
      </c>
      <c r="AM737" s="410">
        <f>AK737*AM727</f>
        <v>2289941.0241382997</v>
      </c>
      <c r="AN737" s="392">
        <f>AL737*AN727</f>
        <v>2273987.9970972422</v>
      </c>
      <c r="AO737" s="410">
        <f t="shared" si="335"/>
        <v>4557.0901745435713</v>
      </c>
      <c r="AP737" s="410">
        <f t="shared" si="336"/>
        <v>4557.0901745435713</v>
      </c>
      <c r="AQ737" s="410">
        <f t="shared" si="337"/>
        <v>4589.060168613827</v>
      </c>
      <c r="AR737" s="410">
        <f t="shared" si="338"/>
        <v>4557.0901745435713</v>
      </c>
    </row>
    <row r="738" spans="33:44" x14ac:dyDescent="0.25">
      <c r="AG738" s="401" t="s">
        <v>290</v>
      </c>
      <c r="AH738" s="392">
        <f>Summary!$I$57</f>
        <v>2</v>
      </c>
      <c r="AI738" s="392">
        <f>Summary!$J$57</f>
        <v>2</v>
      </c>
      <c r="AJ738" s="410" t="s">
        <v>90</v>
      </c>
      <c r="AK738" s="392">
        <f>Summary!$I$59</f>
        <v>24387.435638304029</v>
      </c>
      <c r="AL738" s="392">
        <f>Summary!$J$59</f>
        <v>24387.435638304029</v>
      </c>
      <c r="AM738" s="410">
        <f>AK738*AM727</f>
        <v>24558.524237142963</v>
      </c>
      <c r="AN738" s="392">
        <f>AL738*AN727</f>
        <v>24387.435638304029</v>
      </c>
      <c r="AO738" s="410">
        <f t="shared" si="335"/>
        <v>12193.717819152014</v>
      </c>
      <c r="AP738" s="410">
        <f t="shared" si="336"/>
        <v>12193.717819152014</v>
      </c>
      <c r="AQ738" s="410">
        <f t="shared" si="337"/>
        <v>12279.262118571482</v>
      </c>
      <c r="AR738" s="410">
        <f t="shared" si="338"/>
        <v>12193.717819152014</v>
      </c>
    </row>
    <row r="739" spans="33:44" x14ac:dyDescent="0.25">
      <c r="AG739" s="401" t="s">
        <v>291</v>
      </c>
      <c r="AH739" s="392">
        <f>Summary!$I$62</f>
        <v>1</v>
      </c>
      <c r="AI739" s="392">
        <f>Summary!$J$62</f>
        <v>1</v>
      </c>
      <c r="AJ739" s="410" t="s">
        <v>90</v>
      </c>
      <c r="AK739" s="392">
        <f>Summary!$I$64</f>
        <v>114656.88436169598</v>
      </c>
      <c r="AL739" s="392">
        <f>Summary!$J$64</f>
        <v>114656.88436169598</v>
      </c>
      <c r="AM739" s="410">
        <f>AK739*AM727</f>
        <v>115461.25288914664</v>
      </c>
      <c r="AN739" s="392">
        <f>AL739*AN727</f>
        <v>114656.88436169598</v>
      </c>
      <c r="AO739" s="410">
        <f t="shared" si="335"/>
        <v>114656.88436169598</v>
      </c>
      <c r="AP739" s="410">
        <f t="shared" si="336"/>
        <v>114656.88436169598</v>
      </c>
      <c r="AQ739" s="410">
        <f t="shared" si="337"/>
        <v>115461.25288914664</v>
      </c>
      <c r="AR739" s="410">
        <f t="shared" si="338"/>
        <v>114656.88436169598</v>
      </c>
    </row>
    <row r="740" spans="33:44" x14ac:dyDescent="0.25">
      <c r="AG740" s="401" t="s">
        <v>292</v>
      </c>
      <c r="AH740" s="392">
        <f>Summary!$I$67</f>
        <v>1</v>
      </c>
      <c r="AI740" s="392">
        <f>Summary!$J$67</f>
        <v>1</v>
      </c>
      <c r="AJ740" s="410" t="s">
        <v>90</v>
      </c>
      <c r="AK740" s="392">
        <f>Summary!$I$69</f>
        <v>1074.96</v>
      </c>
      <c r="AL740" s="392">
        <f>Summary!$J$69</f>
        <v>1074.96</v>
      </c>
      <c r="AM740" s="410">
        <f>AK740*AM727</f>
        <v>1082.501317707018</v>
      </c>
      <c r="AN740" s="392">
        <f>AL740*AN727</f>
        <v>1074.96</v>
      </c>
      <c r="AO740" s="410">
        <f t="shared" si="335"/>
        <v>1074.96</v>
      </c>
      <c r="AP740" s="410">
        <f t="shared" si="336"/>
        <v>1074.96</v>
      </c>
      <c r="AQ740" s="410">
        <f t="shared" si="337"/>
        <v>1082.501317707018</v>
      </c>
      <c r="AR740" s="410">
        <f t="shared" si="338"/>
        <v>1074.96</v>
      </c>
    </row>
    <row r="741" spans="33:44" x14ac:dyDescent="0.25">
      <c r="AG741" s="401" t="s">
        <v>293</v>
      </c>
      <c r="AH741" s="392">
        <f>Summary!$I$72</f>
        <v>1</v>
      </c>
      <c r="AI741" s="392">
        <f>Summary!$J$72</f>
        <v>1</v>
      </c>
      <c r="AJ741" s="410" t="s">
        <v>90</v>
      </c>
      <c r="AK741" s="392">
        <f>Summary!$I$74</f>
        <v>29010.799999999999</v>
      </c>
      <c r="AL741" s="392">
        <f>Summary!$J$74</f>
        <v>29994.605248481424</v>
      </c>
      <c r="AM741" s="410">
        <f>AK741*AM727</f>
        <v>29214.323535512718</v>
      </c>
      <c r="AN741" s="392">
        <f>AL741*AN727</f>
        <v>29994.605248481424</v>
      </c>
      <c r="AO741" s="410">
        <f t="shared" si="335"/>
        <v>29010.799999999999</v>
      </c>
      <c r="AP741" s="410">
        <f t="shared" si="336"/>
        <v>29994.605248481424</v>
      </c>
      <c r="AQ741" s="410">
        <f t="shared" si="337"/>
        <v>29214.323535512718</v>
      </c>
      <c r="AR741" s="410">
        <f t="shared" si="338"/>
        <v>29994.605248481424</v>
      </c>
    </row>
    <row r="742" spans="33:44" x14ac:dyDescent="0.25">
      <c r="AG742" s="401" t="s">
        <v>294</v>
      </c>
      <c r="AH742" s="392">
        <f>Summary!$I$77</f>
        <v>4</v>
      </c>
      <c r="AI742" s="392">
        <f>Summary!$J$77</f>
        <v>4</v>
      </c>
      <c r="AJ742" s="410" t="s">
        <v>90</v>
      </c>
      <c r="AK742" s="392">
        <f>Summary!$I$79</f>
        <v>102972.90667387019</v>
      </c>
      <c r="AL742" s="392">
        <f>Summary!$J$79</f>
        <v>102972.90667387019</v>
      </c>
      <c r="AM742" s="410">
        <f>AK742*AM727</f>
        <v>103695.30695336222</v>
      </c>
      <c r="AN742" s="392">
        <f>AL742*AN727</f>
        <v>102972.90667387019</v>
      </c>
      <c r="AO742" s="410">
        <f t="shared" si="335"/>
        <v>25743.226668467549</v>
      </c>
      <c r="AP742" s="410">
        <f t="shared" si="336"/>
        <v>25743.226668467549</v>
      </c>
      <c r="AQ742" s="410">
        <f t="shared" si="337"/>
        <v>25923.826738340555</v>
      </c>
      <c r="AR742" s="410">
        <f t="shared" si="338"/>
        <v>25743.226668467549</v>
      </c>
    </row>
    <row r="743" spans="33:44" x14ac:dyDescent="0.25">
      <c r="AG743" s="401" t="s">
        <v>12</v>
      </c>
      <c r="AH743" s="392">
        <f>SUM(AH729:AH742)</f>
        <v>81099</v>
      </c>
      <c r="AI743" s="392">
        <f>SUM(AI729:AI742)</f>
        <v>81992.833694461413</v>
      </c>
      <c r="AJ743" s="410"/>
      <c r="AK743" s="411"/>
      <c r="AL743" s="411"/>
      <c r="AM743" s="411"/>
      <c r="AN743" s="411"/>
      <c r="AO743" s="411"/>
      <c r="AP743" s="411"/>
      <c r="AQ743" s="411"/>
      <c r="AR743" s="411"/>
    </row>
    <row r="744" spans="33:44" x14ac:dyDescent="0.25">
      <c r="AG744" s="389"/>
      <c r="AH744" s="436" t="s">
        <v>251</v>
      </c>
      <c r="AI744" s="436"/>
      <c r="AJ744" s="389"/>
      <c r="AK744" s="436" t="s">
        <v>251</v>
      </c>
      <c r="AL744" s="436"/>
      <c r="AM744" s="436" t="s">
        <v>251</v>
      </c>
      <c r="AN744" s="436"/>
      <c r="AO744" s="436" t="s">
        <v>251</v>
      </c>
      <c r="AP744" s="436"/>
      <c r="AQ744" s="436" t="s">
        <v>251</v>
      </c>
      <c r="AR744" s="436"/>
    </row>
    <row r="745" spans="33:44" x14ac:dyDescent="0.25">
      <c r="AG745" s="412" t="str">
        <f>AG729</f>
        <v xml:space="preserve">Residential </v>
      </c>
      <c r="AH745" s="435">
        <f t="shared" ref="AH745:AH758" si="339">AI729-AH729</f>
        <v>698.60337551611883</v>
      </c>
      <c r="AI745" s="435"/>
      <c r="AJ745" s="410" t="str">
        <f>AJ729</f>
        <v>kWh</v>
      </c>
      <c r="AK745" s="435">
        <f>AL729-AK729</f>
        <v>8235194.5301437974</v>
      </c>
      <c r="AL745" s="435"/>
      <c r="AM745" s="435">
        <f t="shared" ref="AM745:AM754" si="340">AN729-AM729</f>
        <v>5051201.3457300663</v>
      </c>
      <c r="AN745" s="435"/>
      <c r="AO745" s="435">
        <f t="shared" ref="AO745:AO753" si="341">AP729-AO729</f>
        <v>46.558926817591782</v>
      </c>
      <c r="AP745" s="435"/>
      <c r="AQ745" s="435">
        <f t="shared" ref="AQ745:AQ753" si="342">AR729-AQ729</f>
        <v>-9.0357962892539945</v>
      </c>
      <c r="AR745" s="435"/>
    </row>
    <row r="746" spans="33:44" x14ac:dyDescent="0.25">
      <c r="AG746" s="412" t="str">
        <f t="shared" ref="AG746:AG758" si="343">AG730</f>
        <v>General Service &lt; 50 kW</v>
      </c>
      <c r="AH746" s="435">
        <f t="shared" si="339"/>
        <v>76.189347196760536</v>
      </c>
      <c r="AI746" s="435"/>
      <c r="AJ746" s="410" t="str">
        <f t="shared" ref="AJ746:AJ758" si="344">AJ730</f>
        <v>kWh</v>
      </c>
      <c r="AK746" s="435">
        <f t="shared" ref="AK746:AK758" si="345">AL730-AK730</f>
        <v>1015998.3386271894</v>
      </c>
      <c r="AL746" s="435"/>
      <c r="AM746" s="435">
        <f t="shared" si="340"/>
        <v>-309960.90144491196</v>
      </c>
      <c r="AN746" s="435"/>
      <c r="AO746" s="435">
        <f t="shared" si="341"/>
        <v>-199.36023386453599</v>
      </c>
      <c r="AP746" s="435"/>
      <c r="AQ746" s="435">
        <f t="shared" si="342"/>
        <v>-409.91350739722475</v>
      </c>
      <c r="AR746" s="435"/>
    </row>
    <row r="747" spans="33:44" x14ac:dyDescent="0.25">
      <c r="AG747" s="412" t="str">
        <f t="shared" si="343"/>
        <v>General Service &gt; 50 to 999 kW</v>
      </c>
      <c r="AH747" s="435">
        <f t="shared" si="339"/>
        <v>2.1966726058827817</v>
      </c>
      <c r="AI747" s="435"/>
      <c r="AJ747" s="410" t="str">
        <f t="shared" si="344"/>
        <v>kW</v>
      </c>
      <c r="AK747" s="435">
        <f t="shared" si="345"/>
        <v>36741.643887824379</v>
      </c>
      <c r="AL747" s="435"/>
      <c r="AM747" s="435">
        <f t="shared" si="340"/>
        <v>26086.920567773981</v>
      </c>
      <c r="AN747" s="435"/>
      <c r="AO747" s="435">
        <f t="shared" si="341"/>
        <v>40.779965836534529</v>
      </c>
      <c r="AP747" s="435"/>
      <c r="AQ747" s="435">
        <f t="shared" si="342"/>
        <v>27.394635032451106</v>
      </c>
      <c r="AR747" s="435"/>
    </row>
    <row r="748" spans="33:44" x14ac:dyDescent="0.25">
      <c r="AG748" s="412" t="str">
        <f t="shared" si="343"/>
        <v>General Service &gt; 1000 to 4999 kW</v>
      </c>
      <c r="AH748" s="435">
        <f t="shared" si="339"/>
        <v>-0.50652742504375325</v>
      </c>
      <c r="AI748" s="435"/>
      <c r="AJ748" s="410" t="str">
        <f t="shared" si="344"/>
        <v>kW</v>
      </c>
      <c r="AK748" s="435">
        <f t="shared" si="345"/>
        <v>-21683.935565995052</v>
      </c>
      <c r="AL748" s="435"/>
      <c r="AM748" s="435">
        <f t="shared" si="340"/>
        <v>-25714.197017720086</v>
      </c>
      <c r="AN748" s="435"/>
      <c r="AO748" s="435">
        <f t="shared" si="341"/>
        <v>-410.69236579947392</v>
      </c>
      <c r="AP748" s="435"/>
      <c r="AQ748" s="435">
        <f t="shared" si="342"/>
        <v>-554.63027478965523</v>
      </c>
      <c r="AR748" s="435"/>
    </row>
    <row r="749" spans="33:44" x14ac:dyDescent="0.25">
      <c r="AG749" s="412" t="str">
        <f t="shared" si="343"/>
        <v>Large User</v>
      </c>
      <c r="AH749" s="435">
        <f t="shared" si="339"/>
        <v>0</v>
      </c>
      <c r="AI749" s="435"/>
      <c r="AJ749" s="410" t="str">
        <f t="shared" si="344"/>
        <v>kW</v>
      </c>
      <c r="AK749" s="435">
        <f t="shared" si="345"/>
        <v>-16244.697486678429</v>
      </c>
      <c r="AL749" s="435"/>
      <c r="AM749" s="435">
        <f t="shared" si="340"/>
        <v>-18687.396770293824</v>
      </c>
      <c r="AN749" s="435"/>
      <c r="AO749" s="435">
        <f t="shared" si="341"/>
        <v>-8122.3487433392147</v>
      </c>
      <c r="AP749" s="435"/>
      <c r="AQ749" s="435">
        <f t="shared" si="342"/>
        <v>-9343.6983851469122</v>
      </c>
      <c r="AR749" s="435"/>
    </row>
    <row r="750" spans="33:44" x14ac:dyDescent="0.25">
      <c r="AG750" s="412" t="str">
        <f t="shared" si="343"/>
        <v>Direct Market Participant</v>
      </c>
      <c r="AH750" s="435">
        <f t="shared" si="339"/>
        <v>0</v>
      </c>
      <c r="AI750" s="435"/>
      <c r="AJ750" s="410" t="str">
        <f t="shared" si="344"/>
        <v>kW</v>
      </c>
      <c r="AK750" s="435">
        <f t="shared" si="345"/>
        <v>0</v>
      </c>
      <c r="AL750" s="435"/>
      <c r="AM750" s="435">
        <f t="shared" si="340"/>
        <v>-476.6409403651196</v>
      </c>
      <c r="AN750" s="435"/>
      <c r="AO750" s="435">
        <f t="shared" si="341"/>
        <v>0</v>
      </c>
      <c r="AP750" s="435"/>
      <c r="AQ750" s="435">
        <f t="shared" si="342"/>
        <v>-119.1602350912799</v>
      </c>
      <c r="AR750" s="435"/>
    </row>
    <row r="751" spans="33:44" x14ac:dyDescent="0.25">
      <c r="AG751" s="412" t="str">
        <f t="shared" si="343"/>
        <v>Street Lights</v>
      </c>
      <c r="AH751" s="435">
        <f t="shared" si="339"/>
        <v>117.35082656769737</v>
      </c>
      <c r="AI751" s="435"/>
      <c r="AJ751" s="410" t="str">
        <f t="shared" si="344"/>
        <v>kW</v>
      </c>
      <c r="AK751" s="435">
        <f t="shared" si="345"/>
        <v>-9299.9588307229369</v>
      </c>
      <c r="AL751" s="435"/>
      <c r="AM751" s="435">
        <f t="shared" si="340"/>
        <v>-9469.3399019915869</v>
      </c>
      <c r="AN751" s="435"/>
      <c r="AO751" s="435">
        <f t="shared" si="341"/>
        <v>-0.58711172299134629</v>
      </c>
      <c r="AP751" s="435"/>
      <c r="AQ751" s="435">
        <f t="shared" si="342"/>
        <v>-0.5976821842537432</v>
      </c>
      <c r="AR751" s="435"/>
    </row>
    <row r="752" spans="33:44" x14ac:dyDescent="0.25">
      <c r="AG752" s="412" t="str">
        <f t="shared" si="343"/>
        <v>Sentinel Lights</v>
      </c>
      <c r="AH752" s="435">
        <f t="shared" si="339"/>
        <v>0</v>
      </c>
      <c r="AI752" s="435"/>
      <c r="AJ752" s="410" t="str">
        <f t="shared" si="344"/>
        <v>kW</v>
      </c>
      <c r="AK752" s="435">
        <f t="shared" si="345"/>
        <v>0</v>
      </c>
      <c r="AL752" s="435"/>
      <c r="AM752" s="435">
        <f t="shared" si="340"/>
        <v>-2.4057347883554598</v>
      </c>
      <c r="AN752" s="435"/>
      <c r="AO752" s="435">
        <f t="shared" si="341"/>
        <v>0</v>
      </c>
      <c r="AP752" s="435"/>
      <c r="AQ752" s="435">
        <f t="shared" si="342"/>
        <v>-1.4319849930687134E-2</v>
      </c>
      <c r="AR752" s="435"/>
    </row>
    <row r="753" spans="26:44" x14ac:dyDescent="0.25">
      <c r="AG753" s="412" t="str">
        <f t="shared" si="343"/>
        <v xml:space="preserve">Unmetered Loads </v>
      </c>
      <c r="AH753" s="435">
        <f t="shared" si="339"/>
        <v>0</v>
      </c>
      <c r="AI753" s="435"/>
      <c r="AJ753" s="410" t="str">
        <f t="shared" si="344"/>
        <v>kWh</v>
      </c>
      <c r="AK753" s="435">
        <f t="shared" si="345"/>
        <v>0</v>
      </c>
      <c r="AL753" s="435"/>
      <c r="AM753" s="435">
        <f t="shared" si="340"/>
        <v>-15953.02704105759</v>
      </c>
      <c r="AN753" s="435"/>
      <c r="AO753" s="435">
        <f t="shared" si="341"/>
        <v>0</v>
      </c>
      <c r="AP753" s="435"/>
      <c r="AQ753" s="435">
        <f t="shared" si="342"/>
        <v>-31.96999407025578</v>
      </c>
      <c r="AR753" s="435"/>
    </row>
    <row r="754" spans="26:44" x14ac:dyDescent="0.25">
      <c r="AG754" s="412" t="str">
        <f t="shared" si="343"/>
        <v>Embedded Distributor - Hydro One, CND</v>
      </c>
      <c r="AH754" s="435">
        <f t="shared" si="339"/>
        <v>0</v>
      </c>
      <c r="AI754" s="435"/>
      <c r="AJ754" s="410" t="str">
        <f t="shared" si="344"/>
        <v>kW</v>
      </c>
      <c r="AK754" s="435">
        <f t="shared" si="345"/>
        <v>0</v>
      </c>
      <c r="AL754" s="435"/>
      <c r="AM754" s="435">
        <f t="shared" si="340"/>
        <v>-171.08859883893456</v>
      </c>
      <c r="AN754" s="435"/>
      <c r="AO754" s="435">
        <f t="shared" ref="AO754:AO758" si="346">AP738-AO738</f>
        <v>0</v>
      </c>
      <c r="AP754" s="435"/>
      <c r="AQ754" s="435">
        <f t="shared" ref="AQ754:AQ757" si="347">AR738-AQ738</f>
        <v>-85.544299419467279</v>
      </c>
      <c r="AR754" s="435"/>
    </row>
    <row r="755" spans="26:44" x14ac:dyDescent="0.25">
      <c r="AG755" s="412" t="str">
        <f t="shared" si="343"/>
        <v>Embedded Distributor - Waterloo North, CND</v>
      </c>
      <c r="AH755" s="435">
        <f t="shared" si="339"/>
        <v>0</v>
      </c>
      <c r="AI755" s="435"/>
      <c r="AJ755" s="410" t="str">
        <f t="shared" si="344"/>
        <v>kW</v>
      </c>
      <c r="AK755" s="435">
        <f t="shared" si="345"/>
        <v>0</v>
      </c>
      <c r="AL755" s="435"/>
      <c r="AM755" s="435">
        <f t="shared" ref="AM755:AM758" si="348">AN739-AM739</f>
        <v>-804.36852745065698</v>
      </c>
      <c r="AN755" s="435"/>
      <c r="AO755" s="435">
        <f>AP739-AO739</f>
        <v>0</v>
      </c>
      <c r="AP755" s="435"/>
      <c r="AQ755" s="435">
        <f>AR739-AQ739</f>
        <v>-804.36852745065698</v>
      </c>
      <c r="AR755" s="435"/>
    </row>
    <row r="756" spans="26:44" x14ac:dyDescent="0.25">
      <c r="AG756" s="412" t="str">
        <f t="shared" si="343"/>
        <v>Embedded Distributor - Brantford Power, BCP</v>
      </c>
      <c r="AH756" s="435">
        <f t="shared" si="339"/>
        <v>0</v>
      </c>
      <c r="AI756" s="435"/>
      <c r="AJ756" s="410" t="str">
        <f t="shared" si="344"/>
        <v>kW</v>
      </c>
      <c r="AK756" s="435">
        <f t="shared" si="345"/>
        <v>0</v>
      </c>
      <c r="AL756" s="435"/>
      <c r="AM756" s="435">
        <f>AN740-AM740</f>
        <v>-7.5413177070179245</v>
      </c>
      <c r="AN756" s="435"/>
      <c r="AO756" s="435">
        <f t="shared" si="346"/>
        <v>0</v>
      </c>
      <c r="AP756" s="435"/>
      <c r="AQ756" s="435">
        <f t="shared" si="347"/>
        <v>-7.5413177070179245</v>
      </c>
      <c r="AR756" s="435"/>
    </row>
    <row r="757" spans="26:44" x14ac:dyDescent="0.25">
      <c r="AG757" s="412" t="str">
        <f t="shared" si="343"/>
        <v>Embedded Distributor - Hydro One #1, BCP</v>
      </c>
      <c r="AH757" s="435">
        <f t="shared" si="339"/>
        <v>0</v>
      </c>
      <c r="AI757" s="435"/>
      <c r="AJ757" s="410" t="str">
        <f t="shared" si="344"/>
        <v>kW</v>
      </c>
      <c r="AK757" s="435">
        <f t="shared" si="345"/>
        <v>983.80524848142522</v>
      </c>
      <c r="AL757" s="435"/>
      <c r="AM757" s="435">
        <f>AN741-AM741</f>
        <v>780.28171296870642</v>
      </c>
      <c r="AN757" s="435"/>
      <c r="AO757" s="435">
        <f t="shared" si="346"/>
        <v>983.80524848142522</v>
      </c>
      <c r="AP757" s="435"/>
      <c r="AQ757" s="435">
        <f t="shared" si="347"/>
        <v>780.28171296870642</v>
      </c>
      <c r="AR757" s="435"/>
    </row>
    <row r="758" spans="26:44" x14ac:dyDescent="0.25">
      <c r="AG758" s="412" t="str">
        <f t="shared" si="343"/>
        <v>Embedded Distributor - Hydro One #2, BCP</v>
      </c>
      <c r="AH758" s="435">
        <f t="shared" si="339"/>
        <v>0</v>
      </c>
      <c r="AI758" s="435"/>
      <c r="AJ758" s="410" t="str">
        <f t="shared" si="344"/>
        <v>kW</v>
      </c>
      <c r="AK758" s="435">
        <f t="shared" si="345"/>
        <v>0</v>
      </c>
      <c r="AL758" s="435"/>
      <c r="AM758" s="435">
        <f t="shared" si="348"/>
        <v>-722.4002794920234</v>
      </c>
      <c r="AN758" s="435"/>
      <c r="AO758" s="435">
        <f t="shared" si="346"/>
        <v>0</v>
      </c>
      <c r="AP758" s="435"/>
      <c r="AQ758" s="435">
        <f>AR742-AQ742</f>
        <v>-180.60006987300585</v>
      </c>
      <c r="AR758" s="435"/>
    </row>
    <row r="760" spans="26:44" x14ac:dyDescent="0.25">
      <c r="AB760" s="313" t="s">
        <v>391</v>
      </c>
      <c r="AC760" s="313"/>
      <c r="AD760" s="313"/>
      <c r="AE760" s="398"/>
      <c r="AF760" s="398"/>
    </row>
    <row r="761" spans="26:44" ht="60" x14ac:dyDescent="0.25">
      <c r="AB761" s="421"/>
      <c r="AC761" s="417" t="s">
        <v>318</v>
      </c>
      <c r="AD761" s="417" t="s">
        <v>394</v>
      </c>
      <c r="AE761" s="417" t="s">
        <v>375</v>
      </c>
      <c r="AF761" s="417" t="s">
        <v>371</v>
      </c>
    </row>
    <row r="762" spans="26:44" s="308" customFormat="1" ht="21.75" customHeight="1" x14ac:dyDescent="0.25">
      <c r="AB762" s="399" t="s">
        <v>272</v>
      </c>
      <c r="AC762" s="400"/>
      <c r="AD762" s="400"/>
      <c r="AE762" s="400"/>
      <c r="AF762" s="400"/>
    </row>
    <row r="763" spans="26:44" x14ac:dyDescent="0.25">
      <c r="Z763" s="314"/>
      <c r="AB763" s="401" t="s">
        <v>1</v>
      </c>
      <c r="AC763" s="402">
        <f>U5</f>
        <v>17346538.428553525</v>
      </c>
      <c r="AD763" s="402">
        <f>V5</f>
        <v>17528594.544314642</v>
      </c>
      <c r="AE763" s="402">
        <f>AD763-AC763</f>
        <v>182056.11576111615</v>
      </c>
      <c r="AF763" s="403">
        <f>AE763/AD763</f>
        <v>1.0386235776111646E-2</v>
      </c>
    </row>
    <row r="764" spans="26:44" x14ac:dyDescent="0.25">
      <c r="Z764" s="314"/>
      <c r="AB764" s="401" t="s">
        <v>138</v>
      </c>
      <c r="AC764" s="402">
        <f t="shared" ref="AC764:AD764" si="349">U6</f>
        <v>4057006.7882216675</v>
      </c>
      <c r="AD764" s="402">
        <f t="shared" si="349"/>
        <v>4131617.4822672913</v>
      </c>
      <c r="AE764" s="402">
        <f t="shared" ref="AE764:AE772" si="350">AD764-AC764</f>
        <v>74610.694045623764</v>
      </c>
      <c r="AF764" s="403">
        <f t="shared" ref="AF764:AF773" si="351">AE764/AD764</f>
        <v>1.8058470893263803E-2</v>
      </c>
    </row>
    <row r="765" spans="26:44" x14ac:dyDescent="0.25">
      <c r="Z765" s="314"/>
      <c r="AB765" s="401" t="s">
        <v>139</v>
      </c>
      <c r="AC765" s="402">
        <f t="shared" ref="AC765:AD765" si="352">U7</f>
        <v>7647110.3712846497</v>
      </c>
      <c r="AD765" s="402">
        <f t="shared" si="352"/>
        <v>7629214.5216107639</v>
      </c>
      <c r="AE765" s="402">
        <f t="shared" si="350"/>
        <v>-17895.849673885852</v>
      </c>
      <c r="AF765" s="403">
        <f t="shared" si="351"/>
        <v>-2.3457001534290954E-3</v>
      </c>
    </row>
    <row r="766" spans="26:44" x14ac:dyDescent="0.25">
      <c r="Z766" s="314"/>
      <c r="AB766" s="401" t="s">
        <v>140</v>
      </c>
      <c r="AC766" s="402">
        <f t="shared" ref="AC766:AD766" si="353">U8</f>
        <v>2547667.513710795</v>
      </c>
      <c r="AD766" s="402">
        <f t="shared" si="353"/>
        <v>2488991.9726209231</v>
      </c>
      <c r="AE766" s="402">
        <f t="shared" si="350"/>
        <v>-58675.541089871898</v>
      </c>
      <c r="AF766" s="403">
        <f t="shared" si="351"/>
        <v>-2.3574017809340788E-2</v>
      </c>
    </row>
    <row r="767" spans="26:44" x14ac:dyDescent="0.25">
      <c r="Z767" s="314"/>
      <c r="AB767" s="401" t="s">
        <v>113</v>
      </c>
      <c r="AC767" s="402">
        <f t="shared" ref="AC767:AD767" si="354">U9</f>
        <v>1042830.0982967052</v>
      </c>
      <c r="AD767" s="402">
        <f t="shared" si="354"/>
        <v>1040060.5908347343</v>
      </c>
      <c r="AE767" s="402">
        <f t="shared" si="350"/>
        <v>-2769.5074619709048</v>
      </c>
      <c r="AF767" s="403">
        <f t="shared" si="351"/>
        <v>-2.6628328064503886E-3</v>
      </c>
    </row>
    <row r="768" spans="26:44" x14ac:dyDescent="0.25">
      <c r="Z768" s="314"/>
      <c r="AB768" s="401" t="s">
        <v>66</v>
      </c>
      <c r="AC768" s="402">
        <f t="shared" ref="AC768:AD768" si="355">U10</f>
        <v>742910.75547901273</v>
      </c>
      <c r="AD768" s="402">
        <f t="shared" si="355"/>
        <v>671811.38031171809</v>
      </c>
      <c r="AE768" s="402">
        <f t="shared" si="350"/>
        <v>-71099.375167294638</v>
      </c>
      <c r="AF768" s="403">
        <f t="shared" si="351"/>
        <v>-0.10583234707084715</v>
      </c>
    </row>
    <row r="769" spans="26:44" x14ac:dyDescent="0.25">
      <c r="Z769" s="314"/>
      <c r="AB769" s="401" t="s">
        <v>195</v>
      </c>
      <c r="AC769" s="402">
        <f t="shared" ref="AC769:AD769" si="356">U11</f>
        <v>14572.660176000001</v>
      </c>
      <c r="AD769" s="402">
        <f t="shared" si="356"/>
        <v>14572.660176000001</v>
      </c>
      <c r="AE769" s="402">
        <f t="shared" si="350"/>
        <v>0</v>
      </c>
      <c r="AF769" s="403">
        <f t="shared" si="351"/>
        <v>0</v>
      </c>
    </row>
    <row r="770" spans="26:44" x14ac:dyDescent="0.25">
      <c r="Z770" s="314"/>
      <c r="AB770" s="401" t="s">
        <v>2</v>
      </c>
      <c r="AC770" s="402">
        <f t="shared" ref="AC770:AD770" si="357">U12</f>
        <v>64041.929412203215</v>
      </c>
      <c r="AD770" s="402">
        <f t="shared" si="357"/>
        <v>64041.929412203215</v>
      </c>
      <c r="AE770" s="402">
        <f t="shared" si="350"/>
        <v>0</v>
      </c>
      <c r="AF770" s="403">
        <f t="shared" si="351"/>
        <v>0</v>
      </c>
    </row>
    <row r="771" spans="26:44" x14ac:dyDescent="0.25">
      <c r="Z771" s="314"/>
      <c r="AB771" s="401" t="s">
        <v>227</v>
      </c>
      <c r="AC771" s="402">
        <f t="shared" ref="AC771:AD771" si="358">U13</f>
        <v>400890.23606465844</v>
      </c>
      <c r="AD771" s="402">
        <f t="shared" si="358"/>
        <v>400890.23606465844</v>
      </c>
      <c r="AE771" s="402">
        <f t="shared" si="350"/>
        <v>0</v>
      </c>
      <c r="AF771" s="403">
        <f t="shared" si="351"/>
        <v>0</v>
      </c>
    </row>
    <row r="772" spans="26:44" x14ac:dyDescent="0.25">
      <c r="Z772" s="314"/>
      <c r="AB772" s="305" t="s">
        <v>304</v>
      </c>
      <c r="AC772" s="402">
        <f t="shared" ref="AC772:AD772" si="359">U14</f>
        <v>-511575</v>
      </c>
      <c r="AD772" s="402">
        <f t="shared" si="359"/>
        <v>-511575</v>
      </c>
      <c r="AE772" s="402">
        <f t="shared" si="350"/>
        <v>0</v>
      </c>
      <c r="AF772" s="403">
        <f t="shared" si="351"/>
        <v>0</v>
      </c>
    </row>
    <row r="773" spans="26:44" x14ac:dyDescent="0.25">
      <c r="AB773" s="404" t="s">
        <v>20</v>
      </c>
      <c r="AC773" s="405">
        <f>SUM(AC763:AC772)</f>
        <v>33351993.781199224</v>
      </c>
      <c r="AD773" s="405">
        <f t="shared" ref="AD773:AE773" si="360">SUM(AD763:AD772)</f>
        <v>33458220.317612931</v>
      </c>
      <c r="AE773" s="405">
        <f t="shared" si="360"/>
        <v>106226.53641371662</v>
      </c>
      <c r="AF773" s="406">
        <f t="shared" si="351"/>
        <v>3.1749009781550548E-3</v>
      </c>
    </row>
    <row r="775" spans="26:44" x14ac:dyDescent="0.25">
      <c r="AG775" s="313" t="s">
        <v>383</v>
      </c>
      <c r="AH775" s="313"/>
      <c r="AI775" s="313"/>
      <c r="AJ775" s="398"/>
      <c r="AK775" s="398"/>
    </row>
    <row r="776" spans="26:44" ht="62.25" customHeight="1" x14ac:dyDescent="0.25">
      <c r="AG776" s="421" t="s">
        <v>245</v>
      </c>
      <c r="AH776" s="437" t="s">
        <v>246</v>
      </c>
      <c r="AI776" s="438"/>
      <c r="AJ776" s="417" t="s">
        <v>247</v>
      </c>
      <c r="AK776" s="437" t="s">
        <v>97</v>
      </c>
      <c r="AL776" s="438"/>
      <c r="AM776" s="437" t="s">
        <v>248</v>
      </c>
      <c r="AN776" s="438"/>
      <c r="AO776" s="437" t="s">
        <v>249</v>
      </c>
      <c r="AP776" s="438"/>
      <c r="AQ776" s="437" t="s">
        <v>250</v>
      </c>
      <c r="AR776" s="438"/>
    </row>
    <row r="777" spans="26:44" x14ac:dyDescent="0.25">
      <c r="AB777" s="413" t="s">
        <v>392</v>
      </c>
      <c r="AC777" s="413"/>
      <c r="AD777" s="413"/>
      <c r="AE777" s="398"/>
      <c r="AF777" s="398"/>
      <c r="AG777" s="439" t="s">
        <v>310</v>
      </c>
      <c r="AH777" s="439"/>
      <c r="AI777" s="439"/>
      <c r="AJ777" s="439"/>
      <c r="AK777" s="439"/>
      <c r="AL777" s="439"/>
      <c r="AM777" s="407">
        <f>$F$257</f>
        <v>1</v>
      </c>
      <c r="AN777" s="407">
        <f>$F$258</f>
        <v>1</v>
      </c>
      <c r="AO777" s="440"/>
      <c r="AP777" s="440"/>
      <c r="AQ777" s="440"/>
      <c r="AR777" s="440"/>
    </row>
    <row r="778" spans="26:44" ht="59.25" customHeight="1" x14ac:dyDescent="0.25">
      <c r="AB778" s="421"/>
      <c r="AC778" s="417" t="s">
        <v>318</v>
      </c>
      <c r="AD778" s="417" t="s">
        <v>393</v>
      </c>
      <c r="AE778" s="417" t="s">
        <v>375</v>
      </c>
      <c r="AF778" s="417" t="s">
        <v>371</v>
      </c>
      <c r="AG778" s="404"/>
      <c r="AH778" s="408" t="str">
        <f>AC761</f>
        <v>2018
Bridge</v>
      </c>
      <c r="AI778" s="408" t="str">
        <f>AD761</f>
        <v>2019
Test @ Existing Rates</v>
      </c>
      <c r="AJ778" s="409"/>
      <c r="AK778" s="408" t="str">
        <f>AH778</f>
        <v>2018
Bridge</v>
      </c>
      <c r="AL778" s="408" t="str">
        <f>AI778</f>
        <v>2019
Test @ Existing Rates</v>
      </c>
      <c r="AM778" s="408" t="str">
        <f>AK778</f>
        <v>2018
Bridge</v>
      </c>
      <c r="AN778" s="408" t="str">
        <f>AL778</f>
        <v>2019
Test @ Existing Rates</v>
      </c>
      <c r="AO778" s="408" t="str">
        <f>AM778</f>
        <v>2018
Bridge</v>
      </c>
      <c r="AP778" s="408" t="str">
        <f t="shared" ref="AP778" si="361">AN778</f>
        <v>2019
Test @ Existing Rates</v>
      </c>
      <c r="AQ778" s="408" t="str">
        <f t="shared" ref="AQ778" si="362">AO778</f>
        <v>2018
Bridge</v>
      </c>
      <c r="AR778" s="408" t="str">
        <f t="shared" ref="AR778" si="363">AP778</f>
        <v>2019
Test @ Existing Rates</v>
      </c>
    </row>
    <row r="779" spans="26:44" ht="30" x14ac:dyDescent="0.25">
      <c r="AB779" s="399" t="s">
        <v>272</v>
      </c>
      <c r="AC779" s="400"/>
      <c r="AD779" s="400"/>
      <c r="AE779" s="400"/>
      <c r="AF779" s="400"/>
      <c r="AG779" s="401" t="s">
        <v>1</v>
      </c>
      <c r="AH779" s="392">
        <f>Summary!$J$16</f>
        <v>57970.103375516119</v>
      </c>
      <c r="AI779" s="392">
        <f>Summary!$K$16</f>
        <v>58677.228383541995</v>
      </c>
      <c r="AJ779" s="410" t="s">
        <v>89</v>
      </c>
      <c r="AK779" s="392">
        <f>Summary!$J$17</f>
        <v>462090269.53014374</v>
      </c>
      <c r="AL779" s="392">
        <f>Summary!$K$17</f>
        <v>461453715.88431841</v>
      </c>
      <c r="AM779" s="410">
        <f>AK779*AM777</f>
        <v>462090269.53014374</v>
      </c>
      <c r="AN779" s="392">
        <f>AL779*AN777</f>
        <v>461453715.88431841</v>
      </c>
      <c r="AO779" s="410">
        <f t="shared" ref="AO779:AO792" si="364">AK779/AH779</f>
        <v>7971.1824306545777</v>
      </c>
      <c r="AP779" s="410">
        <f t="shared" ref="AP779:AP792" si="365">AL779/AI779</f>
        <v>7864.272539732784</v>
      </c>
      <c r="AQ779" s="410">
        <f t="shared" ref="AQ779:AQ792" si="366">AM779/AH779</f>
        <v>7971.1824306545777</v>
      </c>
      <c r="AR779" s="410">
        <f t="shared" ref="AR779:AR792" si="367">AN779/AI779</f>
        <v>7864.272539732784</v>
      </c>
    </row>
    <row r="780" spans="26:44" x14ac:dyDescent="0.25">
      <c r="AB780" s="401" t="s">
        <v>1</v>
      </c>
      <c r="AC780" s="402">
        <v>17364575.559131838</v>
      </c>
      <c r="AD780" s="402">
        <v>19242381.117298339</v>
      </c>
      <c r="AE780" s="402">
        <f>AD780-AC780</f>
        <v>1877805.5581665002</v>
      </c>
      <c r="AF780" s="403">
        <f>AE780/AC780</f>
        <v>0.1081400205707293</v>
      </c>
      <c r="AG780" s="401" t="s">
        <v>138</v>
      </c>
      <c r="AH780" s="392">
        <f>Summary!$J$20</f>
        <v>6373.6893471967605</v>
      </c>
      <c r="AI780" s="392">
        <f>Summary!$K$20</f>
        <v>6450.8004596378669</v>
      </c>
      <c r="AJ780" s="410" t="s">
        <v>89</v>
      </c>
      <c r="AK780" s="392">
        <f>Summary!$J$21</f>
        <v>190021845.86862719</v>
      </c>
      <c r="AL780" s="392">
        <f>Summary!$K$21</f>
        <v>193967011.30428866</v>
      </c>
      <c r="AM780" s="410">
        <f>AK780*AM777</f>
        <v>190021845.86862719</v>
      </c>
      <c r="AN780" s="392">
        <f>AL780*AN777</f>
        <v>193967011.30428866</v>
      </c>
      <c r="AO780" s="410">
        <f t="shared" si="364"/>
        <v>29813.477801863926</v>
      </c>
      <c r="AP780" s="410">
        <f t="shared" si="365"/>
        <v>30068.673262787222</v>
      </c>
      <c r="AQ780" s="410">
        <f t="shared" si="366"/>
        <v>29813.477801863926</v>
      </c>
      <c r="AR780" s="410">
        <f t="shared" si="367"/>
        <v>30068.673262787222</v>
      </c>
    </row>
    <row r="781" spans="26:44" x14ac:dyDescent="0.25">
      <c r="AB781" s="401" t="s">
        <v>138</v>
      </c>
      <c r="AC781" s="402">
        <v>4098914.2263227799</v>
      </c>
      <c r="AD781" s="402">
        <v>4342482.2762128767</v>
      </c>
      <c r="AE781" s="402">
        <f t="shared" ref="AE781:AE789" si="368">AD781-AC781</f>
        <v>243568.04989009677</v>
      </c>
      <c r="AF781" s="403">
        <f t="shared" ref="AF781:AF790" si="369">AE781/AC781</f>
        <v>5.9422577892928166E-2</v>
      </c>
      <c r="AG781" s="401" t="s">
        <v>139</v>
      </c>
      <c r="AH781" s="392">
        <f>Summary!$J$24</f>
        <v>798.19667260588278</v>
      </c>
      <c r="AI781" s="392">
        <f>Summary!$K$24</f>
        <v>800.39940723505379</v>
      </c>
      <c r="AJ781" s="410" t="s">
        <v>90</v>
      </c>
      <c r="AK781" s="392">
        <f>Summary!$J$26</f>
        <v>1555494.9738878242</v>
      </c>
      <c r="AL781" s="392">
        <f>Summary!$K$26</f>
        <v>1550486.6606992225</v>
      </c>
      <c r="AM781" s="410">
        <f>AK781*AM777</f>
        <v>1555494.9738878242</v>
      </c>
      <c r="AN781" s="392">
        <f>AL781*AN777</f>
        <v>1550486.6606992225</v>
      </c>
      <c r="AO781" s="410">
        <f t="shared" si="364"/>
        <v>1948.7615361882931</v>
      </c>
      <c r="AP781" s="410">
        <f t="shared" si="365"/>
        <v>1937.1411906154624</v>
      </c>
      <c r="AQ781" s="410">
        <f t="shared" si="366"/>
        <v>1948.7615361882931</v>
      </c>
      <c r="AR781" s="410">
        <f t="shared" si="367"/>
        <v>1937.1411906154624</v>
      </c>
    </row>
    <row r="782" spans="26:44" x14ac:dyDescent="0.25">
      <c r="AB782" s="401" t="s">
        <v>139</v>
      </c>
      <c r="AC782" s="402">
        <v>7665821.9845223334</v>
      </c>
      <c r="AD782" s="402">
        <v>7526897.2900427887</v>
      </c>
      <c r="AE782" s="402">
        <f t="shared" si="368"/>
        <v>-138924.69447954465</v>
      </c>
      <c r="AF782" s="403">
        <f t="shared" si="369"/>
        <v>-1.8122608998753214E-2</v>
      </c>
      <c r="AG782" s="401" t="s">
        <v>140</v>
      </c>
      <c r="AH782" s="392">
        <f>Summary!$J$29</f>
        <v>27.493472574956247</v>
      </c>
      <c r="AI782" s="392">
        <f>Summary!$K$29</f>
        <v>26.996108365352548</v>
      </c>
      <c r="AJ782" s="410" t="s">
        <v>90</v>
      </c>
      <c r="AK782" s="392">
        <f>Summary!$J$31</f>
        <v>552800.52702529693</v>
      </c>
      <c r="AL782" s="392">
        <f>Summary!$K$31</f>
        <v>538333.692709091</v>
      </c>
      <c r="AM782" s="410">
        <f>AK782*AM777</f>
        <v>552800.52702529693</v>
      </c>
      <c r="AN782" s="392">
        <f>AL782*AN777</f>
        <v>538333.692709091</v>
      </c>
      <c r="AO782" s="410">
        <f t="shared" si="364"/>
        <v>20106.60986960381</v>
      </c>
      <c r="AP782" s="410">
        <f t="shared" si="365"/>
        <v>19941.159126476221</v>
      </c>
      <c r="AQ782" s="410">
        <f t="shared" si="366"/>
        <v>20106.60986960381</v>
      </c>
      <c r="AR782" s="410">
        <f t="shared" si="367"/>
        <v>19941.159126476221</v>
      </c>
    </row>
    <row r="783" spans="26:44" x14ac:dyDescent="0.25">
      <c r="AB783" s="401" t="s">
        <v>140</v>
      </c>
      <c r="AC783" s="402">
        <v>2560514.8385597887</v>
      </c>
      <c r="AD783" s="402">
        <v>2602121.6613505594</v>
      </c>
      <c r="AE783" s="402">
        <f t="shared" si="368"/>
        <v>41606.822790770791</v>
      </c>
      <c r="AF783" s="403">
        <f t="shared" si="369"/>
        <v>1.6249397255660256E-2</v>
      </c>
      <c r="AG783" s="401" t="s">
        <v>113</v>
      </c>
      <c r="AH783" s="392">
        <f>Summary!$J$34</f>
        <v>2</v>
      </c>
      <c r="AI783" s="392">
        <f>Summary!$K$34</f>
        <v>2</v>
      </c>
      <c r="AJ783" s="410" t="s">
        <v>90</v>
      </c>
      <c r="AK783" s="392">
        <f>Summary!$J$36</f>
        <v>331944.32251332153</v>
      </c>
      <c r="AL783" s="392">
        <f>Summary!$K$36</f>
        <v>361276.31069675618</v>
      </c>
      <c r="AM783" s="410">
        <f>AK783*AM777</f>
        <v>331944.32251332153</v>
      </c>
      <c r="AN783" s="392">
        <f>AL783*AN777</f>
        <v>361276.31069675618</v>
      </c>
      <c r="AO783" s="410">
        <f t="shared" si="364"/>
        <v>165972.16125666077</v>
      </c>
      <c r="AP783" s="410">
        <f t="shared" si="365"/>
        <v>180638.15534837809</v>
      </c>
      <c r="AQ783" s="410">
        <f t="shared" si="366"/>
        <v>165972.16125666077</v>
      </c>
      <c r="AR783" s="410">
        <f t="shared" si="367"/>
        <v>180638.15534837809</v>
      </c>
    </row>
    <row r="784" spans="26:44" x14ac:dyDescent="0.25">
      <c r="AB784" s="401" t="s">
        <v>113</v>
      </c>
      <c r="AC784" s="402">
        <v>1044401.2579742188</v>
      </c>
      <c r="AD784" s="402">
        <v>1089948.570510922</v>
      </c>
      <c r="AE784" s="402">
        <f t="shared" si="368"/>
        <v>45547.31253670319</v>
      </c>
      <c r="AF784" s="403">
        <f t="shared" si="369"/>
        <v>4.361093228195588E-2</v>
      </c>
      <c r="AG784" s="401" t="s">
        <v>112</v>
      </c>
      <c r="AH784" s="392">
        <f>Summary!$J$39</f>
        <v>4</v>
      </c>
      <c r="AI784" s="392">
        <f>Summary!$K$39</f>
        <v>4</v>
      </c>
      <c r="AJ784" s="410" t="s">
        <v>90</v>
      </c>
      <c r="AK784" s="392">
        <f>Summary!$J$40</f>
        <v>67941.700000000012</v>
      </c>
      <c r="AL784" s="392">
        <f>Summary!$K$40</f>
        <v>67941.700000000012</v>
      </c>
      <c r="AM784" s="410">
        <f>AK784*AM777</f>
        <v>67941.700000000012</v>
      </c>
      <c r="AN784" s="392">
        <f>AL784*AN777</f>
        <v>67941.700000000012</v>
      </c>
      <c r="AO784" s="410">
        <f t="shared" si="364"/>
        <v>16985.425000000003</v>
      </c>
      <c r="AP784" s="410">
        <f t="shared" si="365"/>
        <v>16985.425000000003</v>
      </c>
      <c r="AQ784" s="410">
        <f t="shared" si="366"/>
        <v>16985.425000000003</v>
      </c>
      <c r="AR784" s="410">
        <f t="shared" si="367"/>
        <v>16985.425000000003</v>
      </c>
    </row>
    <row r="785" spans="28:44" x14ac:dyDescent="0.25">
      <c r="AB785" s="401" t="s">
        <v>66</v>
      </c>
      <c r="AC785" s="402">
        <v>826623.64476121718</v>
      </c>
      <c r="AD785" s="402">
        <v>528827.47496028803</v>
      </c>
      <c r="AE785" s="402">
        <f t="shared" si="368"/>
        <v>-297796.16980092914</v>
      </c>
      <c r="AF785" s="403">
        <f t="shared" si="369"/>
        <v>-0.36025605085002388</v>
      </c>
      <c r="AG785" s="401" t="s">
        <v>66</v>
      </c>
      <c r="AH785" s="392">
        <f>Summary!$J$43</f>
        <v>16141.350826567697</v>
      </c>
      <c r="AI785" s="392">
        <f>Summary!$K$43</f>
        <v>16259.561065048532</v>
      </c>
      <c r="AJ785" s="410" t="s">
        <v>90</v>
      </c>
      <c r="AK785" s="392">
        <f>Summary!$J$45</f>
        <v>14844.081169277064</v>
      </c>
      <c r="AL785" s="392">
        <f>Summary!$K$45</f>
        <v>10945.463296866632</v>
      </c>
      <c r="AM785" s="410">
        <f>AK785*AM777</f>
        <v>14844.081169277064</v>
      </c>
      <c r="AN785" s="392">
        <f>AL785*AN777</f>
        <v>10945.463296866632</v>
      </c>
      <c r="AO785" s="410">
        <f t="shared" si="364"/>
        <v>0.91963066342902322</v>
      </c>
      <c r="AP785" s="410">
        <f t="shared" si="365"/>
        <v>0.67317089637769756</v>
      </c>
      <c r="AQ785" s="410">
        <f t="shared" si="366"/>
        <v>0.91963066342902322</v>
      </c>
      <c r="AR785" s="410">
        <f t="shared" si="367"/>
        <v>0.67317089637769756</v>
      </c>
    </row>
    <row r="786" spans="28:44" x14ac:dyDescent="0.25">
      <c r="AB786" s="401" t="s">
        <v>195</v>
      </c>
      <c r="AC786" s="402">
        <v>14572.660176000001</v>
      </c>
      <c r="AD786" s="402">
        <v>20346.445594376317</v>
      </c>
      <c r="AE786" s="402">
        <f t="shared" si="368"/>
        <v>5773.7854183763156</v>
      </c>
      <c r="AF786" s="403">
        <f t="shared" si="369"/>
        <v>0.39620668763588379</v>
      </c>
      <c r="AG786" s="401" t="s">
        <v>195</v>
      </c>
      <c r="AH786" s="392">
        <f>Summary!$J$48</f>
        <v>168</v>
      </c>
      <c r="AI786" s="392">
        <f>Summary!$K$48</f>
        <v>168</v>
      </c>
      <c r="AJ786" s="410" t="s">
        <v>90</v>
      </c>
      <c r="AK786" s="392">
        <f>Summary!$J$50</f>
        <v>342.92000000000007</v>
      </c>
      <c r="AL786" s="392">
        <f>Summary!$K$50</f>
        <v>342.92000000000007</v>
      </c>
      <c r="AM786" s="410">
        <f>AK786*AM777</f>
        <v>342.92000000000007</v>
      </c>
      <c r="AN786" s="392">
        <f>AL786*AN777</f>
        <v>342.92000000000007</v>
      </c>
      <c r="AO786" s="410">
        <f t="shared" si="364"/>
        <v>2.0411904761904767</v>
      </c>
      <c r="AP786" s="410">
        <f t="shared" si="365"/>
        <v>2.0411904761904767</v>
      </c>
      <c r="AQ786" s="410">
        <f t="shared" si="366"/>
        <v>2.0411904761904767</v>
      </c>
      <c r="AR786" s="410">
        <f t="shared" si="367"/>
        <v>2.0411904761904767</v>
      </c>
    </row>
    <row r="787" spans="28:44" x14ac:dyDescent="0.25">
      <c r="AB787" s="401" t="s">
        <v>2</v>
      </c>
      <c r="AC787" s="402">
        <v>64041.929412203215</v>
      </c>
      <c r="AD787" s="402">
        <v>67090.168425473195</v>
      </c>
      <c r="AE787" s="402">
        <f t="shared" si="368"/>
        <v>3048.2390132699802</v>
      </c>
      <c r="AF787" s="403">
        <f t="shared" si="369"/>
        <v>4.7597551186350374E-2</v>
      </c>
      <c r="AG787" s="401" t="s">
        <v>2</v>
      </c>
      <c r="AH787" s="392">
        <f>Summary!$J$53</f>
        <v>499</v>
      </c>
      <c r="AI787" s="392">
        <f>Summary!$K$53</f>
        <v>499</v>
      </c>
      <c r="AJ787" s="410" t="s">
        <v>89</v>
      </c>
      <c r="AK787" s="392">
        <f>Summary!$J$54</f>
        <v>2273987.9970972422</v>
      </c>
      <c r="AL787" s="392">
        <f>Summary!$K$54</f>
        <v>2273987.9970972422</v>
      </c>
      <c r="AM787" s="410">
        <f>AK787*AM777</f>
        <v>2273987.9970972422</v>
      </c>
      <c r="AN787" s="392">
        <f>AL787*AN777</f>
        <v>2273987.9970972422</v>
      </c>
      <c r="AO787" s="410">
        <f t="shared" si="364"/>
        <v>4557.0901745435713</v>
      </c>
      <c r="AP787" s="410">
        <f t="shared" si="365"/>
        <v>4557.0901745435713</v>
      </c>
      <c r="AQ787" s="410">
        <f t="shared" si="366"/>
        <v>4557.0901745435713</v>
      </c>
      <c r="AR787" s="410">
        <f t="shared" si="367"/>
        <v>4557.0901745435713</v>
      </c>
    </row>
    <row r="788" spans="28:44" x14ac:dyDescent="0.25">
      <c r="AB788" s="401" t="s">
        <v>227</v>
      </c>
      <c r="AC788" s="402">
        <v>400890.23606465844</v>
      </c>
      <c r="AD788" s="402">
        <v>261791.29651418186</v>
      </c>
      <c r="AE788" s="402">
        <f t="shared" si="368"/>
        <v>-139098.93955047659</v>
      </c>
      <c r="AF788" s="403">
        <f t="shared" si="369"/>
        <v>-0.34697512445287321</v>
      </c>
      <c r="AG788" s="401" t="s">
        <v>290</v>
      </c>
      <c r="AH788" s="392">
        <f>Summary!$J$57</f>
        <v>2</v>
      </c>
      <c r="AI788" s="392">
        <f>Summary!$K$57</f>
        <v>2</v>
      </c>
      <c r="AJ788" s="410" t="s">
        <v>90</v>
      </c>
      <c r="AK788" s="392">
        <f>Summary!$J$59</f>
        <v>24387.435638304029</v>
      </c>
      <c r="AL788" s="392">
        <f>Summary!$K$59</f>
        <v>24387.435638304029</v>
      </c>
      <c r="AM788" s="410">
        <f>AK788*AM777</f>
        <v>24387.435638304029</v>
      </c>
      <c r="AN788" s="392">
        <f>AL788*AN777</f>
        <v>24387.435638304029</v>
      </c>
      <c r="AO788" s="410">
        <f t="shared" si="364"/>
        <v>12193.717819152014</v>
      </c>
      <c r="AP788" s="410">
        <f t="shared" si="365"/>
        <v>12193.717819152014</v>
      </c>
      <c r="AQ788" s="410">
        <f t="shared" si="366"/>
        <v>12193.717819152014</v>
      </c>
      <c r="AR788" s="410">
        <f t="shared" si="367"/>
        <v>12193.717819152014</v>
      </c>
    </row>
    <row r="789" spans="28:44" x14ac:dyDescent="0.25">
      <c r="AB789" s="305" t="s">
        <v>304</v>
      </c>
      <c r="AC789" s="402">
        <v>-511575</v>
      </c>
      <c r="AD789" s="402">
        <v>-511575</v>
      </c>
      <c r="AE789" s="402">
        <f t="shared" si="368"/>
        <v>0</v>
      </c>
      <c r="AF789" s="403">
        <f t="shared" si="369"/>
        <v>0</v>
      </c>
      <c r="AG789" s="401" t="s">
        <v>291</v>
      </c>
      <c r="AH789" s="392">
        <f>Summary!$J$62</f>
        <v>1</v>
      </c>
      <c r="AI789" s="392">
        <f>Summary!$K$62</f>
        <v>1</v>
      </c>
      <c r="AJ789" s="410" t="s">
        <v>90</v>
      </c>
      <c r="AK789" s="392">
        <f>Summary!$J$64</f>
        <v>114656.88436169598</v>
      </c>
      <c r="AL789" s="392">
        <f>Summary!$K$64</f>
        <v>114656.88436169598</v>
      </c>
      <c r="AM789" s="410">
        <f>AK789*AM777</f>
        <v>114656.88436169598</v>
      </c>
      <c r="AN789" s="392">
        <f>AL789*AN777</f>
        <v>114656.88436169598</v>
      </c>
      <c r="AO789" s="410">
        <f t="shared" si="364"/>
        <v>114656.88436169598</v>
      </c>
      <c r="AP789" s="410">
        <f t="shared" si="365"/>
        <v>114656.88436169598</v>
      </c>
      <c r="AQ789" s="410">
        <f t="shared" si="366"/>
        <v>114656.88436169598</v>
      </c>
      <c r="AR789" s="410">
        <f t="shared" si="367"/>
        <v>114656.88436169598</v>
      </c>
    </row>
    <row r="790" spans="28:44" x14ac:dyDescent="0.25">
      <c r="AB790" s="404" t="s">
        <v>20</v>
      </c>
      <c r="AC790" s="405">
        <f>SUM(AC780:AC789)</f>
        <v>33528781.336925037</v>
      </c>
      <c r="AD790" s="405">
        <f>SUM(AD780:AD789)</f>
        <v>35170311.300909802</v>
      </c>
      <c r="AE790" s="405">
        <f>SUM(AE780:AE789)</f>
        <v>1641529.963984767</v>
      </c>
      <c r="AF790" s="406">
        <f t="shared" si="369"/>
        <v>4.8958831741879039E-2</v>
      </c>
      <c r="AG790" s="401" t="s">
        <v>292</v>
      </c>
      <c r="AH790" s="392">
        <f>Summary!$J$67</f>
        <v>1</v>
      </c>
      <c r="AI790" s="392">
        <f>Summary!$K$67</f>
        <v>1</v>
      </c>
      <c r="AJ790" s="410" t="s">
        <v>90</v>
      </c>
      <c r="AK790" s="392">
        <f>Summary!$J$69</f>
        <v>1074.96</v>
      </c>
      <c r="AL790" s="392">
        <f>Summary!$K$69</f>
        <v>1074.96</v>
      </c>
      <c r="AM790" s="410">
        <f>AK790*AM777</f>
        <v>1074.96</v>
      </c>
      <c r="AN790" s="392">
        <f>AL790*AN777</f>
        <v>1074.96</v>
      </c>
      <c r="AO790" s="410">
        <f t="shared" si="364"/>
        <v>1074.96</v>
      </c>
      <c r="AP790" s="410">
        <f t="shared" si="365"/>
        <v>1074.96</v>
      </c>
      <c r="AQ790" s="410">
        <f t="shared" si="366"/>
        <v>1074.96</v>
      </c>
      <c r="AR790" s="410">
        <f t="shared" si="367"/>
        <v>1074.96</v>
      </c>
    </row>
    <row r="791" spans="28:44" x14ac:dyDescent="0.25">
      <c r="AG791" s="401" t="s">
        <v>293</v>
      </c>
      <c r="AH791" s="392">
        <f>Summary!$J$72</f>
        <v>1</v>
      </c>
      <c r="AI791" s="392">
        <f>Summary!$K$72</f>
        <v>1</v>
      </c>
      <c r="AJ791" s="410" t="s">
        <v>90</v>
      </c>
      <c r="AK791" s="392">
        <f>Summary!$J$74</f>
        <v>29994.605248481424</v>
      </c>
      <c r="AL791" s="392">
        <f>Summary!$K$74</f>
        <v>29994.605248481424</v>
      </c>
      <c r="AM791" s="410">
        <f>AK791*AM777</f>
        <v>29994.605248481424</v>
      </c>
      <c r="AN791" s="392">
        <f>AL791*AN777</f>
        <v>29994.605248481424</v>
      </c>
      <c r="AO791" s="410">
        <f t="shared" si="364"/>
        <v>29994.605248481424</v>
      </c>
      <c r="AP791" s="410">
        <f t="shared" si="365"/>
        <v>29994.605248481424</v>
      </c>
      <c r="AQ791" s="410">
        <f t="shared" si="366"/>
        <v>29994.605248481424</v>
      </c>
      <c r="AR791" s="410">
        <f t="shared" si="367"/>
        <v>29994.605248481424</v>
      </c>
    </row>
    <row r="792" spans="28:44" x14ac:dyDescent="0.25">
      <c r="AG792" s="401" t="s">
        <v>294</v>
      </c>
      <c r="AH792" s="392">
        <f>Summary!$J$77</f>
        <v>4</v>
      </c>
      <c r="AI792" s="392">
        <f>Summary!$K$77</f>
        <v>4</v>
      </c>
      <c r="AJ792" s="410" t="s">
        <v>90</v>
      </c>
      <c r="AK792" s="392">
        <f>Summary!$J$79</f>
        <v>102972.90667387019</v>
      </c>
      <c r="AL792" s="392">
        <f>Summary!$K$79</f>
        <v>102972.90667387019</v>
      </c>
      <c r="AM792" s="410">
        <f>AK792*AM777</f>
        <v>102972.90667387019</v>
      </c>
      <c r="AN792" s="392">
        <f>AL792*AN777</f>
        <v>102972.90667387019</v>
      </c>
      <c r="AO792" s="410">
        <f t="shared" si="364"/>
        <v>25743.226668467549</v>
      </c>
      <c r="AP792" s="410">
        <f t="shared" si="365"/>
        <v>25743.226668467549</v>
      </c>
      <c r="AQ792" s="410">
        <f t="shared" si="366"/>
        <v>25743.226668467549</v>
      </c>
      <c r="AR792" s="410">
        <f t="shared" si="367"/>
        <v>25743.226668467549</v>
      </c>
    </row>
    <row r="793" spans="28:44" x14ac:dyDescent="0.25">
      <c r="AG793" s="401" t="s">
        <v>12</v>
      </c>
      <c r="AH793" s="392">
        <f>SUM(AH779:AH792)</f>
        <v>81992.833694461413</v>
      </c>
      <c r="AI793" s="392">
        <f>SUM(AI779:AI792)</f>
        <v>82896.985423828795</v>
      </c>
      <c r="AJ793" s="410"/>
      <c r="AK793" s="411"/>
      <c r="AL793" s="411"/>
      <c r="AM793" s="411"/>
      <c r="AN793" s="411"/>
      <c r="AO793" s="411"/>
      <c r="AP793" s="411"/>
      <c r="AQ793" s="411"/>
      <c r="AR793" s="411"/>
    </row>
    <row r="794" spans="28:44" x14ac:dyDescent="0.25">
      <c r="AG794" s="389"/>
      <c r="AH794" s="436" t="s">
        <v>251</v>
      </c>
      <c r="AI794" s="436"/>
      <c r="AJ794" s="389"/>
      <c r="AK794" s="436" t="s">
        <v>251</v>
      </c>
      <c r="AL794" s="436"/>
      <c r="AM794" s="436" t="s">
        <v>251</v>
      </c>
      <c r="AN794" s="436"/>
      <c r="AO794" s="436" t="s">
        <v>251</v>
      </c>
      <c r="AP794" s="436"/>
      <c r="AQ794" s="436" t="s">
        <v>251</v>
      </c>
      <c r="AR794" s="436"/>
    </row>
    <row r="795" spans="28:44" x14ac:dyDescent="0.25">
      <c r="AG795" s="412" t="str">
        <f>AG779</f>
        <v xml:space="preserve">Residential </v>
      </c>
      <c r="AH795" s="435">
        <f t="shared" ref="AH795:AH808" si="370">AI779-AH779</f>
        <v>707.12500802587601</v>
      </c>
      <c r="AI795" s="435"/>
      <c r="AJ795" s="410" t="str">
        <f>AJ779</f>
        <v>kWh</v>
      </c>
      <c r="AK795" s="435">
        <f>AL779-AK779</f>
        <v>-636553.64582532644</v>
      </c>
      <c r="AL795" s="435"/>
      <c r="AM795" s="435">
        <f t="shared" ref="AM795:AM804" si="371">AN779-AM779</f>
        <v>-636553.64582532644</v>
      </c>
      <c r="AN795" s="435"/>
      <c r="AO795" s="435">
        <f t="shared" ref="AO795:AO803" si="372">AP779-AO779</f>
        <v>-106.9098909217937</v>
      </c>
      <c r="AP795" s="435"/>
      <c r="AQ795" s="435">
        <f t="shared" ref="AQ795:AQ803" si="373">AR779-AQ779</f>
        <v>-106.9098909217937</v>
      </c>
      <c r="AR795" s="435"/>
    </row>
    <row r="796" spans="28:44" x14ac:dyDescent="0.25">
      <c r="AG796" s="412" t="str">
        <f t="shared" ref="AG796:AG808" si="374">AG780</f>
        <v>General Service &lt; 50 kW</v>
      </c>
      <c r="AH796" s="435">
        <f t="shared" si="370"/>
        <v>77.111112441106343</v>
      </c>
      <c r="AI796" s="435"/>
      <c r="AJ796" s="410" t="str">
        <f t="shared" ref="AJ796:AJ808" si="375">AJ780</f>
        <v>kWh</v>
      </c>
      <c r="AK796" s="435">
        <f t="shared" ref="AK796:AK808" si="376">AL780-AK780</f>
        <v>3945165.4356614649</v>
      </c>
      <c r="AL796" s="435"/>
      <c r="AM796" s="435">
        <f t="shared" si="371"/>
        <v>3945165.4356614649</v>
      </c>
      <c r="AN796" s="435"/>
      <c r="AO796" s="435">
        <f t="shared" si="372"/>
        <v>255.1954609232962</v>
      </c>
      <c r="AP796" s="435"/>
      <c r="AQ796" s="435">
        <f t="shared" si="373"/>
        <v>255.1954609232962</v>
      </c>
      <c r="AR796" s="435"/>
    </row>
    <row r="797" spans="28:44" x14ac:dyDescent="0.25">
      <c r="AG797" s="412" t="str">
        <f t="shared" si="374"/>
        <v>General Service &gt; 50 to 999 kW</v>
      </c>
      <c r="AH797" s="435">
        <f t="shared" si="370"/>
        <v>2.2027346291710046</v>
      </c>
      <c r="AI797" s="435"/>
      <c r="AJ797" s="410" t="str">
        <f t="shared" si="375"/>
        <v>kW</v>
      </c>
      <c r="AK797" s="435">
        <f t="shared" si="376"/>
        <v>-5008.3131886017509</v>
      </c>
      <c r="AL797" s="435"/>
      <c r="AM797" s="435">
        <f t="shared" si="371"/>
        <v>-5008.3131886017509</v>
      </c>
      <c r="AN797" s="435"/>
      <c r="AO797" s="435">
        <f t="shared" si="372"/>
        <v>-11.620345572830729</v>
      </c>
      <c r="AP797" s="435"/>
      <c r="AQ797" s="435">
        <f t="shared" si="373"/>
        <v>-11.620345572830729</v>
      </c>
      <c r="AR797" s="435"/>
    </row>
    <row r="798" spans="28:44" x14ac:dyDescent="0.25">
      <c r="AG798" s="412" t="str">
        <f t="shared" si="374"/>
        <v>General Service &gt; 1000 to 4999 kW</v>
      </c>
      <c r="AH798" s="435">
        <f t="shared" si="370"/>
        <v>-0.49736420960369898</v>
      </c>
      <c r="AI798" s="435"/>
      <c r="AJ798" s="410" t="str">
        <f t="shared" si="375"/>
        <v>kW</v>
      </c>
      <c r="AK798" s="435">
        <f t="shared" si="376"/>
        <v>-14466.834316205932</v>
      </c>
      <c r="AL798" s="435"/>
      <c r="AM798" s="435">
        <f t="shared" si="371"/>
        <v>-14466.834316205932</v>
      </c>
      <c r="AN798" s="435"/>
      <c r="AO798" s="435">
        <f t="shared" si="372"/>
        <v>-165.45074312758879</v>
      </c>
      <c r="AP798" s="435"/>
      <c r="AQ798" s="435">
        <f t="shared" si="373"/>
        <v>-165.45074312758879</v>
      </c>
      <c r="AR798" s="435"/>
    </row>
    <row r="799" spans="28:44" x14ac:dyDescent="0.25">
      <c r="AG799" s="412" t="str">
        <f t="shared" si="374"/>
        <v>Large User</v>
      </c>
      <c r="AH799" s="435">
        <f t="shared" si="370"/>
        <v>0</v>
      </c>
      <c r="AI799" s="435"/>
      <c r="AJ799" s="410" t="str">
        <f t="shared" si="375"/>
        <v>kW</v>
      </c>
      <c r="AK799" s="435">
        <f t="shared" si="376"/>
        <v>29331.988183434645</v>
      </c>
      <c r="AL799" s="435"/>
      <c r="AM799" s="435">
        <f t="shared" si="371"/>
        <v>29331.988183434645</v>
      </c>
      <c r="AN799" s="435"/>
      <c r="AO799" s="435">
        <f t="shared" si="372"/>
        <v>14665.994091717323</v>
      </c>
      <c r="AP799" s="435"/>
      <c r="AQ799" s="435">
        <f t="shared" si="373"/>
        <v>14665.994091717323</v>
      </c>
      <c r="AR799" s="435"/>
    </row>
    <row r="800" spans="28:44" x14ac:dyDescent="0.25">
      <c r="AG800" s="412" t="str">
        <f t="shared" si="374"/>
        <v>Direct Market Participant</v>
      </c>
      <c r="AH800" s="435">
        <f t="shared" si="370"/>
        <v>0</v>
      </c>
      <c r="AI800" s="435"/>
      <c r="AJ800" s="410" t="str">
        <f t="shared" si="375"/>
        <v>kW</v>
      </c>
      <c r="AK800" s="435">
        <f t="shared" si="376"/>
        <v>0</v>
      </c>
      <c r="AL800" s="435"/>
      <c r="AM800" s="435">
        <f t="shared" si="371"/>
        <v>0</v>
      </c>
      <c r="AN800" s="435"/>
      <c r="AO800" s="435">
        <f t="shared" si="372"/>
        <v>0</v>
      </c>
      <c r="AP800" s="435"/>
      <c r="AQ800" s="435">
        <f t="shared" si="373"/>
        <v>0</v>
      </c>
      <c r="AR800" s="435"/>
    </row>
    <row r="801" spans="33:44" x14ac:dyDescent="0.25">
      <c r="AG801" s="412" t="str">
        <f t="shared" si="374"/>
        <v>Street Lights</v>
      </c>
      <c r="AH801" s="435">
        <f t="shared" si="370"/>
        <v>118.21023848083496</v>
      </c>
      <c r="AI801" s="435"/>
      <c r="AJ801" s="410" t="str">
        <f t="shared" si="375"/>
        <v>kW</v>
      </c>
      <c r="AK801" s="435">
        <f t="shared" si="376"/>
        <v>-3898.617872410432</v>
      </c>
      <c r="AL801" s="435"/>
      <c r="AM801" s="435">
        <f t="shared" si="371"/>
        <v>-3898.617872410432</v>
      </c>
      <c r="AN801" s="435"/>
      <c r="AO801" s="435">
        <f t="shared" si="372"/>
        <v>-0.24645976705132566</v>
      </c>
      <c r="AP801" s="435"/>
      <c r="AQ801" s="435">
        <f t="shared" si="373"/>
        <v>-0.24645976705132566</v>
      </c>
      <c r="AR801" s="435"/>
    </row>
    <row r="802" spans="33:44" x14ac:dyDescent="0.25">
      <c r="AG802" s="412" t="str">
        <f t="shared" si="374"/>
        <v>Sentinel Lights</v>
      </c>
      <c r="AH802" s="435">
        <f t="shared" si="370"/>
        <v>0</v>
      </c>
      <c r="AI802" s="435"/>
      <c r="AJ802" s="410" t="str">
        <f t="shared" si="375"/>
        <v>kW</v>
      </c>
      <c r="AK802" s="435">
        <f t="shared" si="376"/>
        <v>0</v>
      </c>
      <c r="AL802" s="435"/>
      <c r="AM802" s="435">
        <f t="shared" si="371"/>
        <v>0</v>
      </c>
      <c r="AN802" s="435"/>
      <c r="AO802" s="435">
        <f t="shared" si="372"/>
        <v>0</v>
      </c>
      <c r="AP802" s="435"/>
      <c r="AQ802" s="435">
        <f t="shared" si="373"/>
        <v>0</v>
      </c>
      <c r="AR802" s="435"/>
    </row>
    <row r="803" spans="33:44" x14ac:dyDescent="0.25">
      <c r="AG803" s="412" t="str">
        <f t="shared" si="374"/>
        <v xml:space="preserve">Unmetered Loads </v>
      </c>
      <c r="AH803" s="435">
        <f t="shared" si="370"/>
        <v>0</v>
      </c>
      <c r="AI803" s="435"/>
      <c r="AJ803" s="410" t="str">
        <f t="shared" si="375"/>
        <v>kWh</v>
      </c>
      <c r="AK803" s="435">
        <f t="shared" si="376"/>
        <v>0</v>
      </c>
      <c r="AL803" s="435"/>
      <c r="AM803" s="435">
        <f t="shared" si="371"/>
        <v>0</v>
      </c>
      <c r="AN803" s="435"/>
      <c r="AO803" s="435">
        <f t="shared" si="372"/>
        <v>0</v>
      </c>
      <c r="AP803" s="435"/>
      <c r="AQ803" s="435">
        <f t="shared" si="373"/>
        <v>0</v>
      </c>
      <c r="AR803" s="435"/>
    </row>
    <row r="804" spans="33:44" x14ac:dyDescent="0.25">
      <c r="AG804" s="412" t="str">
        <f t="shared" si="374"/>
        <v>Embedded Distributor - Hydro One, CND</v>
      </c>
      <c r="AH804" s="435">
        <f t="shared" si="370"/>
        <v>0</v>
      </c>
      <c r="AI804" s="435"/>
      <c r="AJ804" s="410" t="str">
        <f t="shared" si="375"/>
        <v>kW</v>
      </c>
      <c r="AK804" s="435">
        <f t="shared" si="376"/>
        <v>0</v>
      </c>
      <c r="AL804" s="435"/>
      <c r="AM804" s="435">
        <f t="shared" si="371"/>
        <v>0</v>
      </c>
      <c r="AN804" s="435"/>
      <c r="AO804" s="435">
        <f t="shared" ref="AO804:AO808" si="377">AP788-AO788</f>
        <v>0</v>
      </c>
      <c r="AP804" s="435"/>
      <c r="AQ804" s="435">
        <f t="shared" ref="AQ804:AQ807" si="378">AR788-AQ788</f>
        <v>0</v>
      </c>
      <c r="AR804" s="435"/>
    </row>
    <row r="805" spans="33:44" x14ac:dyDescent="0.25">
      <c r="AG805" s="412" t="str">
        <f t="shared" si="374"/>
        <v>Embedded Distributor - Waterloo North, CND</v>
      </c>
      <c r="AH805" s="435">
        <f t="shared" si="370"/>
        <v>0</v>
      </c>
      <c r="AI805" s="435"/>
      <c r="AJ805" s="410" t="str">
        <f t="shared" si="375"/>
        <v>kW</v>
      </c>
      <c r="AK805" s="435">
        <f t="shared" si="376"/>
        <v>0</v>
      </c>
      <c r="AL805" s="435"/>
      <c r="AM805" s="435">
        <f t="shared" ref="AM805:AM808" si="379">AN789-AM789</f>
        <v>0</v>
      </c>
      <c r="AN805" s="435"/>
      <c r="AO805" s="435">
        <f>AP789-AO789</f>
        <v>0</v>
      </c>
      <c r="AP805" s="435"/>
      <c r="AQ805" s="435">
        <f>AR789-AQ789</f>
        <v>0</v>
      </c>
      <c r="AR805" s="435"/>
    </row>
    <row r="806" spans="33:44" x14ac:dyDescent="0.25">
      <c r="AG806" s="412" t="str">
        <f t="shared" si="374"/>
        <v>Embedded Distributor - Brantford Power, BCP</v>
      </c>
      <c r="AH806" s="435">
        <f t="shared" si="370"/>
        <v>0</v>
      </c>
      <c r="AI806" s="435"/>
      <c r="AJ806" s="410" t="str">
        <f t="shared" si="375"/>
        <v>kW</v>
      </c>
      <c r="AK806" s="435">
        <f t="shared" si="376"/>
        <v>0</v>
      </c>
      <c r="AL806" s="435"/>
      <c r="AM806" s="435">
        <f>AN790-AM790</f>
        <v>0</v>
      </c>
      <c r="AN806" s="435"/>
      <c r="AO806" s="435">
        <f t="shared" si="377"/>
        <v>0</v>
      </c>
      <c r="AP806" s="435"/>
      <c r="AQ806" s="435">
        <f t="shared" si="378"/>
        <v>0</v>
      </c>
      <c r="AR806" s="435"/>
    </row>
    <row r="807" spans="33:44" x14ac:dyDescent="0.25">
      <c r="AG807" s="412" t="str">
        <f t="shared" si="374"/>
        <v>Embedded Distributor - Hydro One #1, BCP</v>
      </c>
      <c r="AH807" s="435">
        <f t="shared" si="370"/>
        <v>0</v>
      </c>
      <c r="AI807" s="435"/>
      <c r="AJ807" s="410" t="str">
        <f t="shared" si="375"/>
        <v>kW</v>
      </c>
      <c r="AK807" s="435">
        <f t="shared" si="376"/>
        <v>0</v>
      </c>
      <c r="AL807" s="435"/>
      <c r="AM807" s="435">
        <f>AN791-AM791</f>
        <v>0</v>
      </c>
      <c r="AN807" s="435"/>
      <c r="AO807" s="435">
        <f t="shared" si="377"/>
        <v>0</v>
      </c>
      <c r="AP807" s="435"/>
      <c r="AQ807" s="435">
        <f t="shared" si="378"/>
        <v>0</v>
      </c>
      <c r="AR807" s="435"/>
    </row>
    <row r="808" spans="33:44" x14ac:dyDescent="0.25">
      <c r="AG808" s="412" t="str">
        <f t="shared" si="374"/>
        <v>Embedded Distributor - Hydro One #2, BCP</v>
      </c>
      <c r="AH808" s="435">
        <f t="shared" si="370"/>
        <v>0</v>
      </c>
      <c r="AI808" s="435"/>
      <c r="AJ808" s="410" t="str">
        <f t="shared" si="375"/>
        <v>kW</v>
      </c>
      <c r="AK808" s="435">
        <f t="shared" si="376"/>
        <v>0</v>
      </c>
      <c r="AL808" s="435"/>
      <c r="AM808" s="435">
        <f t="shared" si="379"/>
        <v>0</v>
      </c>
      <c r="AN808" s="435"/>
      <c r="AO808" s="435">
        <f t="shared" si="377"/>
        <v>0</v>
      </c>
      <c r="AP808" s="435"/>
      <c r="AQ808" s="435">
        <f>AR792-AQ792</f>
        <v>0</v>
      </c>
      <c r="AR808" s="435"/>
    </row>
  </sheetData>
  <mergeCells count="589">
    <mergeCell ref="O210:P210"/>
    <mergeCell ref="O2:W2"/>
    <mergeCell ref="O427:Y427"/>
    <mergeCell ref="O431:Y431"/>
    <mergeCell ref="O436:Y436"/>
    <mergeCell ref="O437:Y437"/>
    <mergeCell ref="O438:Y438"/>
    <mergeCell ref="O441:Y441"/>
    <mergeCell ref="O442:Y442"/>
    <mergeCell ref="O445:Y445"/>
    <mergeCell ref="O446:Y446"/>
    <mergeCell ref="O489:Y489"/>
    <mergeCell ref="O490:Y490"/>
    <mergeCell ref="O499:Y499"/>
    <mergeCell ref="O500:Y500"/>
    <mergeCell ref="O504:Y504"/>
    <mergeCell ref="O494:Y494"/>
    <mergeCell ref="O480:Y480"/>
    <mergeCell ref="O484:Y484"/>
    <mergeCell ref="O495:Y495"/>
    <mergeCell ref="O460:Y460"/>
    <mergeCell ref="O461:Y461"/>
    <mergeCell ref="O466:Y466"/>
    <mergeCell ref="O470:Y470"/>
    <mergeCell ref="O471:Y471"/>
    <mergeCell ref="O475:Y475"/>
    <mergeCell ref="O476:Y476"/>
    <mergeCell ref="O479:Y479"/>
    <mergeCell ref="O485:Y485"/>
    <mergeCell ref="AH651:AI651"/>
    <mergeCell ref="AK651:AL651"/>
    <mergeCell ref="AM651:AN651"/>
    <mergeCell ref="AO651:AP651"/>
    <mergeCell ref="AQ651:AR651"/>
    <mergeCell ref="AG677:AL677"/>
    <mergeCell ref="AO677:AP677"/>
    <mergeCell ref="AQ677:AR677"/>
    <mergeCell ref="O505:Y505"/>
    <mergeCell ref="AH603:AI603"/>
    <mergeCell ref="AK603:AL603"/>
    <mergeCell ref="AM603:AN603"/>
    <mergeCell ref="AO603:AP603"/>
    <mergeCell ref="AQ603:AR603"/>
    <mergeCell ref="AH604:AI604"/>
    <mergeCell ref="AK604:AL604"/>
    <mergeCell ref="AM604:AN604"/>
    <mergeCell ref="AO604:AP604"/>
    <mergeCell ref="AH601:AI601"/>
    <mergeCell ref="AK601:AL601"/>
    <mergeCell ref="AM601:AN601"/>
    <mergeCell ref="AO601:AP601"/>
    <mergeCell ref="AQ601:AR601"/>
    <mergeCell ref="AH602:AI602"/>
    <mergeCell ref="AK602:AL602"/>
    <mergeCell ref="AM602:AN602"/>
    <mergeCell ref="AO602:AP602"/>
    <mergeCell ref="AQ602:AR602"/>
    <mergeCell ref="AH599:AI599"/>
    <mergeCell ref="AK599:AL599"/>
    <mergeCell ref="AM599:AN599"/>
    <mergeCell ref="AO599:AP599"/>
    <mergeCell ref="AQ599:AR599"/>
    <mergeCell ref="AH600:AI600"/>
    <mergeCell ref="AK600:AL600"/>
    <mergeCell ref="AM600:AN600"/>
    <mergeCell ref="AO600:AP600"/>
    <mergeCell ref="AQ600:AR600"/>
    <mergeCell ref="AM552:AN552"/>
    <mergeCell ref="AO552:AP552"/>
    <mergeCell ref="AQ552:AR552"/>
    <mergeCell ref="AH553:AI553"/>
    <mergeCell ref="AH554:AI554"/>
    <mergeCell ref="AK553:AL553"/>
    <mergeCell ref="AK554:AL554"/>
    <mergeCell ref="AM553:AN553"/>
    <mergeCell ref="AM554:AN554"/>
    <mergeCell ref="AO553:AP553"/>
    <mergeCell ref="AQ553:AR553"/>
    <mergeCell ref="AO554:AP554"/>
    <mergeCell ref="AQ554:AR554"/>
    <mergeCell ref="AH577:AI577"/>
    <mergeCell ref="AK577:AL577"/>
    <mergeCell ref="AM577:AN577"/>
    <mergeCell ref="AO577:AP577"/>
    <mergeCell ref="AQ577:AR577"/>
    <mergeCell ref="AM547:AN547"/>
    <mergeCell ref="AO547:AP547"/>
    <mergeCell ref="AQ547:AR547"/>
    <mergeCell ref="AM548:AN548"/>
    <mergeCell ref="AO548:AP548"/>
    <mergeCell ref="AQ548:AR548"/>
    <mergeCell ref="AM549:AN549"/>
    <mergeCell ref="AO549:AP549"/>
    <mergeCell ref="AQ549:AR549"/>
    <mergeCell ref="AM550:AN550"/>
    <mergeCell ref="AO550:AP550"/>
    <mergeCell ref="AQ550:AR550"/>
    <mergeCell ref="AH551:AI551"/>
    <mergeCell ref="AK551:AL551"/>
    <mergeCell ref="AM551:AN551"/>
    <mergeCell ref="AO551:AP551"/>
    <mergeCell ref="AQ551:AR551"/>
    <mergeCell ref="AH552:AI552"/>
    <mergeCell ref="AK552:AL552"/>
    <mergeCell ref="AO555:AP555"/>
    <mergeCell ref="AO556:AP556"/>
    <mergeCell ref="AO557:AP557"/>
    <mergeCell ref="AO558:AP558"/>
    <mergeCell ref="AO559:AP559"/>
    <mergeCell ref="AQ555:AR555"/>
    <mergeCell ref="AQ556:AR556"/>
    <mergeCell ref="AQ557:AR557"/>
    <mergeCell ref="AQ558:AR558"/>
    <mergeCell ref="AQ559:AR559"/>
    <mergeCell ref="AM527:AN527"/>
    <mergeCell ref="AO527:AP527"/>
    <mergeCell ref="AQ527:AR527"/>
    <mergeCell ref="AH550:AI550"/>
    <mergeCell ref="AK550:AL550"/>
    <mergeCell ref="AH546:AI546"/>
    <mergeCell ref="AK546:AL546"/>
    <mergeCell ref="AM546:AN546"/>
    <mergeCell ref="AO546:AP546"/>
    <mergeCell ref="AQ546:AR546"/>
    <mergeCell ref="AO528:AP528"/>
    <mergeCell ref="AQ528:AR528"/>
    <mergeCell ref="AH545:AI545"/>
    <mergeCell ref="AK545:AL545"/>
    <mergeCell ref="AM545:AN545"/>
    <mergeCell ref="AO545:AP545"/>
    <mergeCell ref="AQ545:AR545"/>
    <mergeCell ref="AH549:AI549"/>
    <mergeCell ref="AK549:AL549"/>
    <mergeCell ref="AH527:AI527"/>
    <mergeCell ref="AK527:AL527"/>
    <mergeCell ref="A276:F276"/>
    <mergeCell ref="J131:J149"/>
    <mergeCell ref="A153:N153"/>
    <mergeCell ref="A162:N162"/>
    <mergeCell ref="A163:N163"/>
    <mergeCell ref="A175:N175"/>
    <mergeCell ref="A188:M188"/>
    <mergeCell ref="A197:M197"/>
    <mergeCell ref="A278:M278"/>
    <mergeCell ref="A263:N263"/>
    <mergeCell ref="C226:H226"/>
    <mergeCell ref="A305:M305"/>
    <mergeCell ref="A311:N311"/>
    <mergeCell ref="B317:M317"/>
    <mergeCell ref="A330:K330"/>
    <mergeCell ref="A27:G27"/>
    <mergeCell ref="A29:G29"/>
    <mergeCell ref="L76:L94"/>
    <mergeCell ref="A41:L41"/>
    <mergeCell ref="A43:L43"/>
    <mergeCell ref="A53:L53"/>
    <mergeCell ref="A52:L52"/>
    <mergeCell ref="A66:L66"/>
    <mergeCell ref="A64:L64"/>
    <mergeCell ref="A76:K76"/>
    <mergeCell ref="A85:J85"/>
    <mergeCell ref="A98:J98"/>
    <mergeCell ref="A107:J107"/>
    <mergeCell ref="A108:J108"/>
    <mergeCell ref="A119:J119"/>
    <mergeCell ref="A121:J121"/>
    <mergeCell ref="A140:I140"/>
    <mergeCell ref="A291:I291"/>
    <mergeCell ref="A244:G244"/>
    <mergeCell ref="A246:G246"/>
    <mergeCell ref="A406:J406"/>
    <mergeCell ref="A418:K418"/>
    <mergeCell ref="A420:K420"/>
    <mergeCell ref="O450:Y450"/>
    <mergeCell ref="O451:Y451"/>
    <mergeCell ref="O455:Y455"/>
    <mergeCell ref="O456:Y456"/>
    <mergeCell ref="A326:C326"/>
    <mergeCell ref="A131:I131"/>
    <mergeCell ref="O209:P209"/>
    <mergeCell ref="B315:E315"/>
    <mergeCell ref="A320:C320"/>
    <mergeCell ref="A151:L151"/>
    <mergeCell ref="A297:K297"/>
    <mergeCell ref="A299:K299"/>
    <mergeCell ref="A404:H404"/>
    <mergeCell ref="A335:L335"/>
    <mergeCell ref="A346:L346"/>
    <mergeCell ref="B363:D363"/>
    <mergeCell ref="A340:L340"/>
    <mergeCell ref="A392:I392"/>
    <mergeCell ref="B376:D376"/>
    <mergeCell ref="A394:K394"/>
    <mergeCell ref="A293:N293"/>
    <mergeCell ref="AH645:AI645"/>
    <mergeCell ref="AK645:AL645"/>
    <mergeCell ref="AM645:AN645"/>
    <mergeCell ref="AO645:AP645"/>
    <mergeCell ref="AQ645:AR645"/>
    <mergeCell ref="AH646:AI646"/>
    <mergeCell ref="AK646:AL646"/>
    <mergeCell ref="AM646:AN646"/>
    <mergeCell ref="AO646:AP646"/>
    <mergeCell ref="AQ646:AR646"/>
    <mergeCell ref="AK647:AL647"/>
    <mergeCell ref="AM647:AN647"/>
    <mergeCell ref="AO647:AP647"/>
    <mergeCell ref="AQ647:AR647"/>
    <mergeCell ref="AH648:AI648"/>
    <mergeCell ref="AK648:AL648"/>
    <mergeCell ref="AM648:AN648"/>
    <mergeCell ref="AO648:AP648"/>
    <mergeCell ref="AQ648:AR648"/>
    <mergeCell ref="AG727:AL727"/>
    <mergeCell ref="AO727:AP727"/>
    <mergeCell ref="AQ727:AR727"/>
    <mergeCell ref="AK694:AL694"/>
    <mergeCell ref="AM694:AN694"/>
    <mergeCell ref="AO694:AP694"/>
    <mergeCell ref="AQ694:AR694"/>
    <mergeCell ref="AH695:AI695"/>
    <mergeCell ref="AK695:AL695"/>
    <mergeCell ref="AM695:AN695"/>
    <mergeCell ref="AO695:AP695"/>
    <mergeCell ref="AQ695:AR695"/>
    <mergeCell ref="AH694:AI694"/>
    <mergeCell ref="AH696:AI696"/>
    <mergeCell ref="AK696:AL696"/>
    <mergeCell ref="AM696:AN696"/>
    <mergeCell ref="AO696:AP696"/>
    <mergeCell ref="AQ696:AR696"/>
    <mergeCell ref="AH697:AI697"/>
    <mergeCell ref="AK697:AL697"/>
    <mergeCell ref="AM697:AN697"/>
    <mergeCell ref="AO697:AP697"/>
    <mergeCell ref="AQ697:AR697"/>
    <mergeCell ref="AH698:AI698"/>
    <mergeCell ref="AH744:AI744"/>
    <mergeCell ref="AK744:AL744"/>
    <mergeCell ref="AM744:AN744"/>
    <mergeCell ref="AO744:AP744"/>
    <mergeCell ref="AQ744:AR744"/>
    <mergeCell ref="AH745:AI745"/>
    <mergeCell ref="AK745:AL745"/>
    <mergeCell ref="AM745:AN745"/>
    <mergeCell ref="AO745:AP745"/>
    <mergeCell ref="AQ745:AR745"/>
    <mergeCell ref="AO758:AP758"/>
    <mergeCell ref="AQ758:AR758"/>
    <mergeCell ref="AH758:AI758"/>
    <mergeCell ref="AK758:AL758"/>
    <mergeCell ref="AM758:AN758"/>
    <mergeCell ref="AH757:AI757"/>
    <mergeCell ref="AK757:AL757"/>
    <mergeCell ref="AM757:AN757"/>
    <mergeCell ref="AO757:AP757"/>
    <mergeCell ref="AQ757:AR757"/>
    <mergeCell ref="AH804:AI804"/>
    <mergeCell ref="AK804:AL804"/>
    <mergeCell ref="AM804:AN804"/>
    <mergeCell ref="AO804:AP804"/>
    <mergeCell ref="AQ804:AR804"/>
    <mergeCell ref="AH805:AI805"/>
    <mergeCell ref="AK805:AL805"/>
    <mergeCell ref="AM805:AN805"/>
    <mergeCell ref="AH776:AI776"/>
    <mergeCell ref="AK776:AL776"/>
    <mergeCell ref="AM776:AN776"/>
    <mergeCell ref="AO776:AP776"/>
    <mergeCell ref="AQ776:AR776"/>
    <mergeCell ref="AO777:AP777"/>
    <mergeCell ref="AQ777:AR777"/>
    <mergeCell ref="AG777:AL777"/>
    <mergeCell ref="AH802:AI802"/>
    <mergeCell ref="AK802:AL802"/>
    <mergeCell ref="AM802:AN802"/>
    <mergeCell ref="AO802:AP802"/>
    <mergeCell ref="AQ802:AR802"/>
    <mergeCell ref="AO803:AP803"/>
    <mergeCell ref="AQ803:AR803"/>
    <mergeCell ref="AH803:AI803"/>
    <mergeCell ref="AK803:AL803"/>
    <mergeCell ref="AM803:AN803"/>
    <mergeCell ref="O4:W4"/>
    <mergeCell ref="O18:W18"/>
    <mergeCell ref="AM555:AN555"/>
    <mergeCell ref="AM556:AN556"/>
    <mergeCell ref="AM557:AN557"/>
    <mergeCell ref="AM558:AN558"/>
    <mergeCell ref="AM559:AN559"/>
    <mergeCell ref="AK555:AL555"/>
    <mergeCell ref="AK556:AL556"/>
    <mergeCell ref="AK557:AL557"/>
    <mergeCell ref="AK558:AL558"/>
    <mergeCell ref="AK559:AL559"/>
    <mergeCell ref="AH555:AI555"/>
    <mergeCell ref="AH556:AI556"/>
    <mergeCell ref="AH557:AI557"/>
    <mergeCell ref="AH558:AI558"/>
    <mergeCell ref="AH559:AI559"/>
    <mergeCell ref="AH547:AI547"/>
    <mergeCell ref="AK547:AL547"/>
    <mergeCell ref="AH548:AI548"/>
    <mergeCell ref="AK548:AL548"/>
    <mergeCell ref="AG528:AL528"/>
    <mergeCell ref="AG578:AL578"/>
    <mergeCell ref="AO578:AP578"/>
    <mergeCell ref="AQ578:AR578"/>
    <mergeCell ref="AH595:AI595"/>
    <mergeCell ref="AK595:AL595"/>
    <mergeCell ref="AM595:AN595"/>
    <mergeCell ref="AO595:AP595"/>
    <mergeCell ref="AQ595:AR595"/>
    <mergeCell ref="AQ604:AR604"/>
    <mergeCell ref="AH596:AI596"/>
    <mergeCell ref="AK596:AL596"/>
    <mergeCell ref="AM596:AN596"/>
    <mergeCell ref="AO596:AP596"/>
    <mergeCell ref="AQ596:AR596"/>
    <mergeCell ref="AH597:AI597"/>
    <mergeCell ref="AK597:AL597"/>
    <mergeCell ref="AM597:AN597"/>
    <mergeCell ref="AO597:AP597"/>
    <mergeCell ref="AQ597:AR597"/>
    <mergeCell ref="AH598:AI598"/>
    <mergeCell ref="AK598:AL598"/>
    <mergeCell ref="AM598:AN598"/>
    <mergeCell ref="AO598:AP598"/>
    <mergeCell ref="AQ598:AR598"/>
    <mergeCell ref="AH605:AI605"/>
    <mergeCell ref="AK605:AL605"/>
    <mergeCell ref="AM605:AN605"/>
    <mergeCell ref="AO605:AP605"/>
    <mergeCell ref="AQ605:AR605"/>
    <mergeCell ref="AH607:AI607"/>
    <mergeCell ref="AK607:AL607"/>
    <mergeCell ref="AM607:AN607"/>
    <mergeCell ref="AO607:AP607"/>
    <mergeCell ref="AQ607:AR607"/>
    <mergeCell ref="AH606:AI606"/>
    <mergeCell ref="AK606:AL606"/>
    <mergeCell ref="AM606:AN606"/>
    <mergeCell ref="AO606:AP606"/>
    <mergeCell ref="AQ606:AR606"/>
    <mergeCell ref="AH608:AI608"/>
    <mergeCell ref="AK608:AL608"/>
    <mergeCell ref="AM608:AN608"/>
    <mergeCell ref="AO608:AP608"/>
    <mergeCell ref="AQ608:AR608"/>
    <mergeCell ref="AH609:AI609"/>
    <mergeCell ref="AK609:AL609"/>
    <mergeCell ref="AM609:AN609"/>
    <mergeCell ref="AO609:AP609"/>
    <mergeCell ref="AQ609:AR609"/>
    <mergeCell ref="AH627:AI627"/>
    <mergeCell ref="AK627:AL627"/>
    <mergeCell ref="AM627:AN627"/>
    <mergeCell ref="AO627:AP627"/>
    <mergeCell ref="AQ627:AR627"/>
    <mergeCell ref="AG628:AL628"/>
    <mergeCell ref="AO628:AP628"/>
    <mergeCell ref="AQ628:AR628"/>
    <mergeCell ref="AH652:AI652"/>
    <mergeCell ref="AK652:AL652"/>
    <mergeCell ref="AM652:AN652"/>
    <mergeCell ref="AO652:AP652"/>
    <mergeCell ref="AQ652:AR652"/>
    <mergeCell ref="AH649:AI649"/>
    <mergeCell ref="AK649:AL649"/>
    <mergeCell ref="AM649:AN649"/>
    <mergeCell ref="AO649:AP649"/>
    <mergeCell ref="AQ649:AR649"/>
    <mergeCell ref="AH650:AI650"/>
    <mergeCell ref="AK650:AL650"/>
    <mergeCell ref="AM650:AN650"/>
    <mergeCell ref="AO650:AP650"/>
    <mergeCell ref="AQ650:AR650"/>
    <mergeCell ref="AH647:AI647"/>
    <mergeCell ref="AH653:AI653"/>
    <mergeCell ref="AK653:AL653"/>
    <mergeCell ref="AM653:AN653"/>
    <mergeCell ref="AO653:AP653"/>
    <mergeCell ref="AQ653:AR653"/>
    <mergeCell ref="AH654:AI654"/>
    <mergeCell ref="AK654:AL654"/>
    <mergeCell ref="AM654:AN654"/>
    <mergeCell ref="AO654:AP654"/>
    <mergeCell ref="AQ654:AR654"/>
    <mergeCell ref="AH655:AI655"/>
    <mergeCell ref="AK655:AL655"/>
    <mergeCell ref="AM655:AN655"/>
    <mergeCell ref="AO655:AP655"/>
    <mergeCell ref="AQ655:AR655"/>
    <mergeCell ref="AH656:AI656"/>
    <mergeCell ref="AK656:AL656"/>
    <mergeCell ref="AM656:AN656"/>
    <mergeCell ref="AO656:AP656"/>
    <mergeCell ref="AQ656:AR656"/>
    <mergeCell ref="AH657:AI657"/>
    <mergeCell ref="AK657:AL657"/>
    <mergeCell ref="AM657:AN657"/>
    <mergeCell ref="AO657:AP657"/>
    <mergeCell ref="AQ657:AR657"/>
    <mergeCell ref="AH658:AI658"/>
    <mergeCell ref="AK658:AL658"/>
    <mergeCell ref="AM658:AN658"/>
    <mergeCell ref="AO658:AP658"/>
    <mergeCell ref="AQ658:AR658"/>
    <mergeCell ref="AH659:AI659"/>
    <mergeCell ref="AK659:AL659"/>
    <mergeCell ref="AM659:AN659"/>
    <mergeCell ref="AO659:AP659"/>
    <mergeCell ref="AQ659:AR659"/>
    <mergeCell ref="AH676:AI676"/>
    <mergeCell ref="AK676:AL676"/>
    <mergeCell ref="AM676:AN676"/>
    <mergeCell ref="AO676:AP676"/>
    <mergeCell ref="AQ676:AR676"/>
    <mergeCell ref="AK698:AL698"/>
    <mergeCell ref="AM698:AN698"/>
    <mergeCell ref="AO698:AP698"/>
    <mergeCell ref="AQ698:AR698"/>
    <mergeCell ref="AH699:AI699"/>
    <mergeCell ref="AK699:AL699"/>
    <mergeCell ref="AM699:AN699"/>
    <mergeCell ref="AO699:AP699"/>
    <mergeCell ref="AQ699:AR699"/>
    <mergeCell ref="AH700:AI700"/>
    <mergeCell ref="AK700:AL700"/>
    <mergeCell ref="AM700:AN700"/>
    <mergeCell ref="AO700:AP700"/>
    <mergeCell ref="AQ700:AR700"/>
    <mergeCell ref="AH701:AI701"/>
    <mergeCell ref="AK701:AL701"/>
    <mergeCell ref="AM701:AN701"/>
    <mergeCell ref="AO701:AP701"/>
    <mergeCell ref="AQ701:AR701"/>
    <mergeCell ref="AH702:AI702"/>
    <mergeCell ref="AK702:AL702"/>
    <mergeCell ref="AM702:AN702"/>
    <mergeCell ref="AO702:AP702"/>
    <mergeCell ref="AQ702:AR702"/>
    <mergeCell ref="AH703:AI703"/>
    <mergeCell ref="AK703:AL703"/>
    <mergeCell ref="AM703:AN703"/>
    <mergeCell ref="AO703:AP703"/>
    <mergeCell ref="AQ703:AR703"/>
    <mergeCell ref="AH704:AI704"/>
    <mergeCell ref="AK704:AL704"/>
    <mergeCell ref="AM704:AN704"/>
    <mergeCell ref="AO704:AP704"/>
    <mergeCell ref="AQ704:AR704"/>
    <mergeCell ref="AH705:AI705"/>
    <mergeCell ref="AK705:AL705"/>
    <mergeCell ref="AM705:AN705"/>
    <mergeCell ref="AO705:AP705"/>
    <mergeCell ref="AQ705:AR705"/>
    <mergeCell ref="AH706:AI706"/>
    <mergeCell ref="AK706:AL706"/>
    <mergeCell ref="AM706:AN706"/>
    <mergeCell ref="AO706:AP706"/>
    <mergeCell ref="AQ706:AR706"/>
    <mergeCell ref="AH707:AI707"/>
    <mergeCell ref="AK707:AL707"/>
    <mergeCell ref="AM707:AN707"/>
    <mergeCell ref="AO707:AP707"/>
    <mergeCell ref="AQ707:AR707"/>
    <mergeCell ref="AH708:AI708"/>
    <mergeCell ref="AK708:AL708"/>
    <mergeCell ref="AM708:AN708"/>
    <mergeCell ref="AO708:AP708"/>
    <mergeCell ref="AQ708:AR708"/>
    <mergeCell ref="AH726:AI726"/>
    <mergeCell ref="AK726:AL726"/>
    <mergeCell ref="AM726:AN726"/>
    <mergeCell ref="AO726:AP726"/>
    <mergeCell ref="AQ726:AR726"/>
    <mergeCell ref="AQ746:AR746"/>
    <mergeCell ref="AH747:AI747"/>
    <mergeCell ref="AK747:AL747"/>
    <mergeCell ref="AM747:AN747"/>
    <mergeCell ref="AO747:AP747"/>
    <mergeCell ref="AQ747:AR747"/>
    <mergeCell ref="AH748:AI748"/>
    <mergeCell ref="AK748:AL748"/>
    <mergeCell ref="AM748:AN748"/>
    <mergeCell ref="AO748:AP748"/>
    <mergeCell ref="AQ748:AR748"/>
    <mergeCell ref="AH746:AI746"/>
    <mergeCell ref="AK746:AL746"/>
    <mergeCell ref="AM746:AN746"/>
    <mergeCell ref="AO746:AP746"/>
    <mergeCell ref="AH749:AI749"/>
    <mergeCell ref="AK749:AL749"/>
    <mergeCell ref="AM749:AN749"/>
    <mergeCell ref="AO749:AP749"/>
    <mergeCell ref="AQ749:AR749"/>
    <mergeCell ref="AH750:AI750"/>
    <mergeCell ref="AK750:AL750"/>
    <mergeCell ref="AM750:AN750"/>
    <mergeCell ref="AO750:AP750"/>
    <mergeCell ref="AQ750:AR750"/>
    <mergeCell ref="AH751:AI751"/>
    <mergeCell ref="AK751:AL751"/>
    <mergeCell ref="AM751:AN751"/>
    <mergeCell ref="AO751:AP751"/>
    <mergeCell ref="AQ751:AR751"/>
    <mergeCell ref="AH752:AI752"/>
    <mergeCell ref="AK752:AL752"/>
    <mergeCell ref="AM752:AN752"/>
    <mergeCell ref="AO752:AP752"/>
    <mergeCell ref="AQ752:AR752"/>
    <mergeCell ref="AH753:AI753"/>
    <mergeCell ref="AK753:AL753"/>
    <mergeCell ref="AM753:AN753"/>
    <mergeCell ref="AO753:AP753"/>
    <mergeCell ref="AQ753:AR753"/>
    <mergeCell ref="AH754:AI754"/>
    <mergeCell ref="AK754:AL754"/>
    <mergeCell ref="AM754:AN754"/>
    <mergeCell ref="AO754:AP754"/>
    <mergeCell ref="AQ754:AR754"/>
    <mergeCell ref="AH755:AI755"/>
    <mergeCell ref="AK755:AL755"/>
    <mergeCell ref="AM755:AN755"/>
    <mergeCell ref="AO755:AP755"/>
    <mergeCell ref="AQ755:AR755"/>
    <mergeCell ref="AH756:AI756"/>
    <mergeCell ref="AK756:AL756"/>
    <mergeCell ref="AM756:AN756"/>
    <mergeCell ref="AO756:AP756"/>
    <mergeCell ref="AQ756:AR756"/>
    <mergeCell ref="AH794:AI794"/>
    <mergeCell ref="AK794:AL794"/>
    <mergeCell ref="AM794:AN794"/>
    <mergeCell ref="AO794:AP794"/>
    <mergeCell ref="AQ794:AR794"/>
    <mergeCell ref="AH795:AI795"/>
    <mergeCell ref="AK795:AL795"/>
    <mergeCell ref="AM795:AN795"/>
    <mergeCell ref="AO795:AP795"/>
    <mergeCell ref="AQ795:AR795"/>
    <mergeCell ref="AH796:AI796"/>
    <mergeCell ref="AK796:AL796"/>
    <mergeCell ref="AM796:AN796"/>
    <mergeCell ref="AO796:AP796"/>
    <mergeCell ref="AQ796:AR796"/>
    <mergeCell ref="AH797:AI797"/>
    <mergeCell ref="AK797:AL797"/>
    <mergeCell ref="AM797:AN797"/>
    <mergeCell ref="AO797:AP797"/>
    <mergeCell ref="AQ797:AR797"/>
    <mergeCell ref="AH798:AI798"/>
    <mergeCell ref="AK798:AL798"/>
    <mergeCell ref="AM798:AN798"/>
    <mergeCell ref="AO798:AP798"/>
    <mergeCell ref="AQ798:AR798"/>
    <mergeCell ref="AH799:AI799"/>
    <mergeCell ref="AK799:AL799"/>
    <mergeCell ref="AM799:AN799"/>
    <mergeCell ref="AO799:AP799"/>
    <mergeCell ref="AQ799:AR799"/>
    <mergeCell ref="AH800:AI800"/>
    <mergeCell ref="AK800:AL800"/>
    <mergeCell ref="AM800:AN800"/>
    <mergeCell ref="AO800:AP800"/>
    <mergeCell ref="AQ800:AR800"/>
    <mergeCell ref="AH801:AI801"/>
    <mergeCell ref="AK801:AL801"/>
    <mergeCell ref="AM801:AN801"/>
    <mergeCell ref="AO801:AP801"/>
    <mergeCell ref="AQ801:AR801"/>
    <mergeCell ref="AH808:AI808"/>
    <mergeCell ref="AK808:AL808"/>
    <mergeCell ref="AM808:AN808"/>
    <mergeCell ref="AO808:AP808"/>
    <mergeCell ref="AQ808:AR808"/>
    <mergeCell ref="AO805:AP805"/>
    <mergeCell ref="AQ805:AR805"/>
    <mergeCell ref="AH806:AI806"/>
    <mergeCell ref="AK806:AL806"/>
    <mergeCell ref="AM806:AN806"/>
    <mergeCell ref="AO806:AP806"/>
    <mergeCell ref="AQ806:AR806"/>
    <mergeCell ref="AH807:AI807"/>
    <mergeCell ref="AK807:AL807"/>
    <mergeCell ref="AM807:AN807"/>
    <mergeCell ref="AO807:AP807"/>
    <mergeCell ref="AQ807:AR807"/>
  </mergeCells>
  <pageMargins left="0.7" right="0.7" top="0.75" bottom="0.75" header="0.3" footer="0.3"/>
  <pageSetup orientation="landscape" horizontalDpi="200" verticalDpi="200" r:id="rId1"/>
  <headerFooter alignWithMargins="0"/>
  <ignoredErrors>
    <ignoredError sqref="H294:H295 D31:D39 F31:F39 J289" formula="1"/>
    <ignoredError sqref="B139:I139 B149:I149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0" tint="-0.14999847407452621"/>
  </sheetPr>
  <dimension ref="A1:N17"/>
  <sheetViews>
    <sheetView workbookViewId="0"/>
  </sheetViews>
  <sheetFormatPr defaultRowHeight="15" x14ac:dyDescent="0.25"/>
  <cols>
    <col min="1" max="1" width="10.7109375" style="164" customWidth="1"/>
    <col min="2" max="2" width="16.7109375" style="164" bestFit="1" customWidth="1"/>
    <col min="3" max="4" width="16.85546875" style="164" bestFit="1" customWidth="1"/>
    <col min="5" max="5" width="21" style="164" bestFit="1" customWidth="1"/>
    <col min="6" max="7" width="8.85546875" style="164"/>
    <col min="8" max="8" width="11.28515625" style="164" bestFit="1" customWidth="1"/>
    <col min="9" max="10" width="10.140625" style="164" bestFit="1" customWidth="1"/>
    <col min="11" max="12" width="9.7109375" style="164" bestFit="1" customWidth="1"/>
    <col min="13" max="13" width="9.42578125" style="164" bestFit="1" customWidth="1"/>
    <col min="14" max="256" width="8.85546875" style="164"/>
    <col min="257" max="257" width="10.7109375" style="164" customWidth="1"/>
    <col min="258" max="258" width="16.7109375" style="164" bestFit="1" customWidth="1"/>
    <col min="259" max="260" width="16.85546875" style="164" bestFit="1" customWidth="1"/>
    <col min="261" max="261" width="11.5703125" style="164" bestFit="1" customWidth="1"/>
    <col min="262" max="512" width="8.85546875" style="164"/>
    <col min="513" max="513" width="10.7109375" style="164" customWidth="1"/>
    <col min="514" max="514" width="16.7109375" style="164" bestFit="1" customWidth="1"/>
    <col min="515" max="516" width="16.85546875" style="164" bestFit="1" customWidth="1"/>
    <col min="517" max="517" width="11.5703125" style="164" bestFit="1" customWidth="1"/>
    <col min="518" max="768" width="8.85546875" style="164"/>
    <col min="769" max="769" width="10.7109375" style="164" customWidth="1"/>
    <col min="770" max="770" width="16.7109375" style="164" bestFit="1" customWidth="1"/>
    <col min="771" max="772" width="16.85546875" style="164" bestFit="1" customWidth="1"/>
    <col min="773" max="773" width="11.5703125" style="164" bestFit="1" customWidth="1"/>
    <col min="774" max="1024" width="8.85546875" style="164"/>
    <col min="1025" max="1025" width="10.7109375" style="164" customWidth="1"/>
    <col min="1026" max="1026" width="16.7109375" style="164" bestFit="1" customWidth="1"/>
    <col min="1027" max="1028" width="16.85546875" style="164" bestFit="1" customWidth="1"/>
    <col min="1029" max="1029" width="11.5703125" style="164" bestFit="1" customWidth="1"/>
    <col min="1030" max="1280" width="8.85546875" style="164"/>
    <col min="1281" max="1281" width="10.7109375" style="164" customWidth="1"/>
    <col min="1282" max="1282" width="16.7109375" style="164" bestFit="1" customWidth="1"/>
    <col min="1283" max="1284" width="16.85546875" style="164" bestFit="1" customWidth="1"/>
    <col min="1285" max="1285" width="11.5703125" style="164" bestFit="1" customWidth="1"/>
    <col min="1286" max="1536" width="8.85546875" style="164"/>
    <col min="1537" max="1537" width="10.7109375" style="164" customWidth="1"/>
    <col min="1538" max="1538" width="16.7109375" style="164" bestFit="1" customWidth="1"/>
    <col min="1539" max="1540" width="16.85546875" style="164" bestFit="1" customWidth="1"/>
    <col min="1541" max="1541" width="11.5703125" style="164" bestFit="1" customWidth="1"/>
    <col min="1542" max="1792" width="8.85546875" style="164"/>
    <col min="1793" max="1793" width="10.7109375" style="164" customWidth="1"/>
    <col min="1794" max="1794" width="16.7109375" style="164" bestFit="1" customWidth="1"/>
    <col min="1795" max="1796" width="16.85546875" style="164" bestFit="1" customWidth="1"/>
    <col min="1797" max="1797" width="11.5703125" style="164" bestFit="1" customWidth="1"/>
    <col min="1798" max="2048" width="8.85546875" style="164"/>
    <col min="2049" max="2049" width="10.7109375" style="164" customWidth="1"/>
    <col min="2050" max="2050" width="16.7109375" style="164" bestFit="1" customWidth="1"/>
    <col min="2051" max="2052" width="16.85546875" style="164" bestFit="1" customWidth="1"/>
    <col min="2053" max="2053" width="11.5703125" style="164" bestFit="1" customWidth="1"/>
    <col min="2054" max="2304" width="8.85546875" style="164"/>
    <col min="2305" max="2305" width="10.7109375" style="164" customWidth="1"/>
    <col min="2306" max="2306" width="16.7109375" style="164" bestFit="1" customWidth="1"/>
    <col min="2307" max="2308" width="16.85546875" style="164" bestFit="1" customWidth="1"/>
    <col min="2309" max="2309" width="11.5703125" style="164" bestFit="1" customWidth="1"/>
    <col min="2310" max="2560" width="8.85546875" style="164"/>
    <col min="2561" max="2561" width="10.7109375" style="164" customWidth="1"/>
    <col min="2562" max="2562" width="16.7109375" style="164" bestFit="1" customWidth="1"/>
    <col min="2563" max="2564" width="16.85546875" style="164" bestFit="1" customWidth="1"/>
    <col min="2565" max="2565" width="11.5703125" style="164" bestFit="1" customWidth="1"/>
    <col min="2566" max="2816" width="8.85546875" style="164"/>
    <col min="2817" max="2817" width="10.7109375" style="164" customWidth="1"/>
    <col min="2818" max="2818" width="16.7109375" style="164" bestFit="1" customWidth="1"/>
    <col min="2819" max="2820" width="16.85546875" style="164" bestFit="1" customWidth="1"/>
    <col min="2821" max="2821" width="11.5703125" style="164" bestFit="1" customWidth="1"/>
    <col min="2822" max="3072" width="8.85546875" style="164"/>
    <col min="3073" max="3073" width="10.7109375" style="164" customWidth="1"/>
    <col min="3074" max="3074" width="16.7109375" style="164" bestFit="1" customWidth="1"/>
    <col min="3075" max="3076" width="16.85546875" style="164" bestFit="1" customWidth="1"/>
    <col min="3077" max="3077" width="11.5703125" style="164" bestFit="1" customWidth="1"/>
    <col min="3078" max="3328" width="8.85546875" style="164"/>
    <col min="3329" max="3329" width="10.7109375" style="164" customWidth="1"/>
    <col min="3330" max="3330" width="16.7109375" style="164" bestFit="1" customWidth="1"/>
    <col min="3331" max="3332" width="16.85546875" style="164" bestFit="1" customWidth="1"/>
    <col min="3333" max="3333" width="11.5703125" style="164" bestFit="1" customWidth="1"/>
    <col min="3334" max="3584" width="8.85546875" style="164"/>
    <col min="3585" max="3585" width="10.7109375" style="164" customWidth="1"/>
    <col min="3586" max="3586" width="16.7109375" style="164" bestFit="1" customWidth="1"/>
    <col min="3587" max="3588" width="16.85546875" style="164" bestFit="1" customWidth="1"/>
    <col min="3589" max="3589" width="11.5703125" style="164" bestFit="1" customWidth="1"/>
    <col min="3590" max="3840" width="8.85546875" style="164"/>
    <col min="3841" max="3841" width="10.7109375" style="164" customWidth="1"/>
    <col min="3842" max="3842" width="16.7109375" style="164" bestFit="1" customWidth="1"/>
    <col min="3843" max="3844" width="16.85546875" style="164" bestFit="1" customWidth="1"/>
    <col min="3845" max="3845" width="11.5703125" style="164" bestFit="1" customWidth="1"/>
    <col min="3846" max="4096" width="8.85546875" style="164"/>
    <col min="4097" max="4097" width="10.7109375" style="164" customWidth="1"/>
    <col min="4098" max="4098" width="16.7109375" style="164" bestFit="1" customWidth="1"/>
    <col min="4099" max="4100" width="16.85546875" style="164" bestFit="1" customWidth="1"/>
    <col min="4101" max="4101" width="11.5703125" style="164" bestFit="1" customWidth="1"/>
    <col min="4102" max="4352" width="8.85546875" style="164"/>
    <col min="4353" max="4353" width="10.7109375" style="164" customWidth="1"/>
    <col min="4354" max="4354" width="16.7109375" style="164" bestFit="1" customWidth="1"/>
    <col min="4355" max="4356" width="16.85546875" style="164" bestFit="1" customWidth="1"/>
    <col min="4357" max="4357" width="11.5703125" style="164" bestFit="1" customWidth="1"/>
    <col min="4358" max="4608" width="8.85546875" style="164"/>
    <col min="4609" max="4609" width="10.7109375" style="164" customWidth="1"/>
    <col min="4610" max="4610" width="16.7109375" style="164" bestFit="1" customWidth="1"/>
    <col min="4611" max="4612" width="16.85546875" style="164" bestFit="1" customWidth="1"/>
    <col min="4613" max="4613" width="11.5703125" style="164" bestFit="1" customWidth="1"/>
    <col min="4614" max="4864" width="8.85546875" style="164"/>
    <col min="4865" max="4865" width="10.7109375" style="164" customWidth="1"/>
    <col min="4866" max="4866" width="16.7109375" style="164" bestFit="1" customWidth="1"/>
    <col min="4867" max="4868" width="16.85546875" style="164" bestFit="1" customWidth="1"/>
    <col min="4869" max="4869" width="11.5703125" style="164" bestFit="1" customWidth="1"/>
    <col min="4870" max="5120" width="8.85546875" style="164"/>
    <col min="5121" max="5121" width="10.7109375" style="164" customWidth="1"/>
    <col min="5122" max="5122" width="16.7109375" style="164" bestFit="1" customWidth="1"/>
    <col min="5123" max="5124" width="16.85546875" style="164" bestFit="1" customWidth="1"/>
    <col min="5125" max="5125" width="11.5703125" style="164" bestFit="1" customWidth="1"/>
    <col min="5126" max="5376" width="8.85546875" style="164"/>
    <col min="5377" max="5377" width="10.7109375" style="164" customWidth="1"/>
    <col min="5378" max="5378" width="16.7109375" style="164" bestFit="1" customWidth="1"/>
    <col min="5379" max="5380" width="16.85546875" style="164" bestFit="1" customWidth="1"/>
    <col min="5381" max="5381" width="11.5703125" style="164" bestFit="1" customWidth="1"/>
    <col min="5382" max="5632" width="8.85546875" style="164"/>
    <col min="5633" max="5633" width="10.7109375" style="164" customWidth="1"/>
    <col min="5634" max="5634" width="16.7109375" style="164" bestFit="1" customWidth="1"/>
    <col min="5635" max="5636" width="16.85546875" style="164" bestFit="1" customWidth="1"/>
    <col min="5637" max="5637" width="11.5703125" style="164" bestFit="1" customWidth="1"/>
    <col min="5638" max="5888" width="8.85546875" style="164"/>
    <col min="5889" max="5889" width="10.7109375" style="164" customWidth="1"/>
    <col min="5890" max="5890" width="16.7109375" style="164" bestFit="1" customWidth="1"/>
    <col min="5891" max="5892" width="16.85546875" style="164" bestFit="1" customWidth="1"/>
    <col min="5893" max="5893" width="11.5703125" style="164" bestFit="1" customWidth="1"/>
    <col min="5894" max="6144" width="8.85546875" style="164"/>
    <col min="6145" max="6145" width="10.7109375" style="164" customWidth="1"/>
    <col min="6146" max="6146" width="16.7109375" style="164" bestFit="1" customWidth="1"/>
    <col min="6147" max="6148" width="16.85546875" style="164" bestFit="1" customWidth="1"/>
    <col min="6149" max="6149" width="11.5703125" style="164" bestFit="1" customWidth="1"/>
    <col min="6150" max="6400" width="8.85546875" style="164"/>
    <col min="6401" max="6401" width="10.7109375" style="164" customWidth="1"/>
    <col min="6402" max="6402" width="16.7109375" style="164" bestFit="1" customWidth="1"/>
    <col min="6403" max="6404" width="16.85546875" style="164" bestFit="1" customWidth="1"/>
    <col min="6405" max="6405" width="11.5703125" style="164" bestFit="1" customWidth="1"/>
    <col min="6406" max="6656" width="8.85546875" style="164"/>
    <col min="6657" max="6657" width="10.7109375" style="164" customWidth="1"/>
    <col min="6658" max="6658" width="16.7109375" style="164" bestFit="1" customWidth="1"/>
    <col min="6659" max="6660" width="16.85546875" style="164" bestFit="1" customWidth="1"/>
    <col min="6661" max="6661" width="11.5703125" style="164" bestFit="1" customWidth="1"/>
    <col min="6662" max="6912" width="8.85546875" style="164"/>
    <col min="6913" max="6913" width="10.7109375" style="164" customWidth="1"/>
    <col min="6914" max="6914" width="16.7109375" style="164" bestFit="1" customWidth="1"/>
    <col min="6915" max="6916" width="16.85546875" style="164" bestFit="1" customWidth="1"/>
    <col min="6917" max="6917" width="11.5703125" style="164" bestFit="1" customWidth="1"/>
    <col min="6918" max="7168" width="8.85546875" style="164"/>
    <col min="7169" max="7169" width="10.7109375" style="164" customWidth="1"/>
    <col min="7170" max="7170" width="16.7109375" style="164" bestFit="1" customWidth="1"/>
    <col min="7171" max="7172" width="16.85546875" style="164" bestFit="1" customWidth="1"/>
    <col min="7173" max="7173" width="11.5703125" style="164" bestFit="1" customWidth="1"/>
    <col min="7174" max="7424" width="8.85546875" style="164"/>
    <col min="7425" max="7425" width="10.7109375" style="164" customWidth="1"/>
    <col min="7426" max="7426" width="16.7109375" style="164" bestFit="1" customWidth="1"/>
    <col min="7427" max="7428" width="16.85546875" style="164" bestFit="1" customWidth="1"/>
    <col min="7429" max="7429" width="11.5703125" style="164" bestFit="1" customWidth="1"/>
    <col min="7430" max="7680" width="8.85546875" style="164"/>
    <col min="7681" max="7681" width="10.7109375" style="164" customWidth="1"/>
    <col min="7682" max="7682" width="16.7109375" style="164" bestFit="1" customWidth="1"/>
    <col min="7683" max="7684" width="16.85546875" style="164" bestFit="1" customWidth="1"/>
    <col min="7685" max="7685" width="11.5703125" style="164" bestFit="1" customWidth="1"/>
    <col min="7686" max="7936" width="8.85546875" style="164"/>
    <col min="7937" max="7937" width="10.7109375" style="164" customWidth="1"/>
    <col min="7938" max="7938" width="16.7109375" style="164" bestFit="1" customWidth="1"/>
    <col min="7939" max="7940" width="16.85546875" style="164" bestFit="1" customWidth="1"/>
    <col min="7941" max="7941" width="11.5703125" style="164" bestFit="1" customWidth="1"/>
    <col min="7942" max="8192" width="8.85546875" style="164"/>
    <col min="8193" max="8193" width="10.7109375" style="164" customWidth="1"/>
    <col min="8194" max="8194" width="16.7109375" style="164" bestFit="1" customWidth="1"/>
    <col min="8195" max="8196" width="16.85546875" style="164" bestFit="1" customWidth="1"/>
    <col min="8197" max="8197" width="11.5703125" style="164" bestFit="1" customWidth="1"/>
    <col min="8198" max="8448" width="8.85546875" style="164"/>
    <col min="8449" max="8449" width="10.7109375" style="164" customWidth="1"/>
    <col min="8450" max="8450" width="16.7109375" style="164" bestFit="1" customWidth="1"/>
    <col min="8451" max="8452" width="16.85546875" style="164" bestFit="1" customWidth="1"/>
    <col min="8453" max="8453" width="11.5703125" style="164" bestFit="1" customWidth="1"/>
    <col min="8454" max="8704" width="8.85546875" style="164"/>
    <col min="8705" max="8705" width="10.7109375" style="164" customWidth="1"/>
    <col min="8706" max="8706" width="16.7109375" style="164" bestFit="1" customWidth="1"/>
    <col min="8707" max="8708" width="16.85546875" style="164" bestFit="1" customWidth="1"/>
    <col min="8709" max="8709" width="11.5703125" style="164" bestFit="1" customWidth="1"/>
    <col min="8710" max="8960" width="8.85546875" style="164"/>
    <col min="8961" max="8961" width="10.7109375" style="164" customWidth="1"/>
    <col min="8962" max="8962" width="16.7109375" style="164" bestFit="1" customWidth="1"/>
    <col min="8963" max="8964" width="16.85546875" style="164" bestFit="1" customWidth="1"/>
    <col min="8965" max="8965" width="11.5703125" style="164" bestFit="1" customWidth="1"/>
    <col min="8966" max="9216" width="8.85546875" style="164"/>
    <col min="9217" max="9217" width="10.7109375" style="164" customWidth="1"/>
    <col min="9218" max="9218" width="16.7109375" style="164" bestFit="1" customWidth="1"/>
    <col min="9219" max="9220" width="16.85546875" style="164" bestFit="1" customWidth="1"/>
    <col min="9221" max="9221" width="11.5703125" style="164" bestFit="1" customWidth="1"/>
    <col min="9222" max="9472" width="8.85546875" style="164"/>
    <col min="9473" max="9473" width="10.7109375" style="164" customWidth="1"/>
    <col min="9474" max="9474" width="16.7109375" style="164" bestFit="1" customWidth="1"/>
    <col min="9475" max="9476" width="16.85546875" style="164" bestFit="1" customWidth="1"/>
    <col min="9477" max="9477" width="11.5703125" style="164" bestFit="1" customWidth="1"/>
    <col min="9478" max="9728" width="8.85546875" style="164"/>
    <col min="9729" max="9729" width="10.7109375" style="164" customWidth="1"/>
    <col min="9730" max="9730" width="16.7109375" style="164" bestFit="1" customWidth="1"/>
    <col min="9731" max="9732" width="16.85546875" style="164" bestFit="1" customWidth="1"/>
    <col min="9733" max="9733" width="11.5703125" style="164" bestFit="1" customWidth="1"/>
    <col min="9734" max="9984" width="8.85546875" style="164"/>
    <col min="9985" max="9985" width="10.7109375" style="164" customWidth="1"/>
    <col min="9986" max="9986" width="16.7109375" style="164" bestFit="1" customWidth="1"/>
    <col min="9987" max="9988" width="16.85546875" style="164" bestFit="1" customWidth="1"/>
    <col min="9989" max="9989" width="11.5703125" style="164" bestFit="1" customWidth="1"/>
    <col min="9990" max="10240" width="8.85546875" style="164"/>
    <col min="10241" max="10241" width="10.7109375" style="164" customWidth="1"/>
    <col min="10242" max="10242" width="16.7109375" style="164" bestFit="1" customWidth="1"/>
    <col min="10243" max="10244" width="16.85546875" style="164" bestFit="1" customWidth="1"/>
    <col min="10245" max="10245" width="11.5703125" style="164" bestFit="1" customWidth="1"/>
    <col min="10246" max="10496" width="8.85546875" style="164"/>
    <col min="10497" max="10497" width="10.7109375" style="164" customWidth="1"/>
    <col min="10498" max="10498" width="16.7109375" style="164" bestFit="1" customWidth="1"/>
    <col min="10499" max="10500" width="16.85546875" style="164" bestFit="1" customWidth="1"/>
    <col min="10501" max="10501" width="11.5703125" style="164" bestFit="1" customWidth="1"/>
    <col min="10502" max="10752" width="8.85546875" style="164"/>
    <col min="10753" max="10753" width="10.7109375" style="164" customWidth="1"/>
    <col min="10754" max="10754" width="16.7109375" style="164" bestFit="1" customWidth="1"/>
    <col min="10755" max="10756" width="16.85546875" style="164" bestFit="1" customWidth="1"/>
    <col min="10757" max="10757" width="11.5703125" style="164" bestFit="1" customWidth="1"/>
    <col min="10758" max="11008" width="8.85546875" style="164"/>
    <col min="11009" max="11009" width="10.7109375" style="164" customWidth="1"/>
    <col min="11010" max="11010" width="16.7109375" style="164" bestFit="1" customWidth="1"/>
    <col min="11011" max="11012" width="16.85546875" style="164" bestFit="1" customWidth="1"/>
    <col min="11013" max="11013" width="11.5703125" style="164" bestFit="1" customWidth="1"/>
    <col min="11014" max="11264" width="8.85546875" style="164"/>
    <col min="11265" max="11265" width="10.7109375" style="164" customWidth="1"/>
    <col min="11266" max="11266" width="16.7109375" style="164" bestFit="1" customWidth="1"/>
    <col min="11267" max="11268" width="16.85546875" style="164" bestFit="1" customWidth="1"/>
    <col min="11269" max="11269" width="11.5703125" style="164" bestFit="1" customWidth="1"/>
    <col min="11270" max="11520" width="8.85546875" style="164"/>
    <col min="11521" max="11521" width="10.7109375" style="164" customWidth="1"/>
    <col min="11522" max="11522" width="16.7109375" style="164" bestFit="1" customWidth="1"/>
    <col min="11523" max="11524" width="16.85546875" style="164" bestFit="1" customWidth="1"/>
    <col min="11525" max="11525" width="11.5703125" style="164" bestFit="1" customWidth="1"/>
    <col min="11526" max="11776" width="8.85546875" style="164"/>
    <col min="11777" max="11777" width="10.7109375" style="164" customWidth="1"/>
    <col min="11778" max="11778" width="16.7109375" style="164" bestFit="1" customWidth="1"/>
    <col min="11779" max="11780" width="16.85546875" style="164" bestFit="1" customWidth="1"/>
    <col min="11781" max="11781" width="11.5703125" style="164" bestFit="1" customWidth="1"/>
    <col min="11782" max="12032" width="8.85546875" style="164"/>
    <col min="12033" max="12033" width="10.7109375" style="164" customWidth="1"/>
    <col min="12034" max="12034" width="16.7109375" style="164" bestFit="1" customWidth="1"/>
    <col min="12035" max="12036" width="16.85546875" style="164" bestFit="1" customWidth="1"/>
    <col min="12037" max="12037" width="11.5703125" style="164" bestFit="1" customWidth="1"/>
    <col min="12038" max="12288" width="8.85546875" style="164"/>
    <col min="12289" max="12289" width="10.7109375" style="164" customWidth="1"/>
    <col min="12290" max="12290" width="16.7109375" style="164" bestFit="1" customWidth="1"/>
    <col min="12291" max="12292" width="16.85546875" style="164" bestFit="1" customWidth="1"/>
    <col min="12293" max="12293" width="11.5703125" style="164" bestFit="1" customWidth="1"/>
    <col min="12294" max="12544" width="8.85546875" style="164"/>
    <col min="12545" max="12545" width="10.7109375" style="164" customWidth="1"/>
    <col min="12546" max="12546" width="16.7109375" style="164" bestFit="1" customWidth="1"/>
    <col min="12547" max="12548" width="16.85546875" style="164" bestFit="1" customWidth="1"/>
    <col min="12549" max="12549" width="11.5703125" style="164" bestFit="1" customWidth="1"/>
    <col min="12550" max="12800" width="8.85546875" style="164"/>
    <col min="12801" max="12801" width="10.7109375" style="164" customWidth="1"/>
    <col min="12802" max="12802" width="16.7109375" style="164" bestFit="1" customWidth="1"/>
    <col min="12803" max="12804" width="16.85546875" style="164" bestFit="1" customWidth="1"/>
    <col min="12805" max="12805" width="11.5703125" style="164" bestFit="1" customWidth="1"/>
    <col min="12806" max="13056" width="8.85546875" style="164"/>
    <col min="13057" max="13057" width="10.7109375" style="164" customWidth="1"/>
    <col min="13058" max="13058" width="16.7109375" style="164" bestFit="1" customWidth="1"/>
    <col min="13059" max="13060" width="16.85546875" style="164" bestFit="1" customWidth="1"/>
    <col min="13061" max="13061" width="11.5703125" style="164" bestFit="1" customWidth="1"/>
    <col min="13062" max="13312" width="8.85546875" style="164"/>
    <col min="13313" max="13313" width="10.7109375" style="164" customWidth="1"/>
    <col min="13314" max="13314" width="16.7109375" style="164" bestFit="1" customWidth="1"/>
    <col min="13315" max="13316" width="16.85546875" style="164" bestFit="1" customWidth="1"/>
    <col min="13317" max="13317" width="11.5703125" style="164" bestFit="1" customWidth="1"/>
    <col min="13318" max="13568" width="8.85546875" style="164"/>
    <col min="13569" max="13569" width="10.7109375" style="164" customWidth="1"/>
    <col min="13570" max="13570" width="16.7109375" style="164" bestFit="1" customWidth="1"/>
    <col min="13571" max="13572" width="16.85546875" style="164" bestFit="1" customWidth="1"/>
    <col min="13573" max="13573" width="11.5703125" style="164" bestFit="1" customWidth="1"/>
    <col min="13574" max="13824" width="8.85546875" style="164"/>
    <col min="13825" max="13825" width="10.7109375" style="164" customWidth="1"/>
    <col min="13826" max="13826" width="16.7109375" style="164" bestFit="1" customWidth="1"/>
    <col min="13827" max="13828" width="16.85546875" style="164" bestFit="1" customWidth="1"/>
    <col min="13829" max="13829" width="11.5703125" style="164" bestFit="1" customWidth="1"/>
    <col min="13830" max="14080" width="8.85546875" style="164"/>
    <col min="14081" max="14081" width="10.7109375" style="164" customWidth="1"/>
    <col min="14082" max="14082" width="16.7109375" style="164" bestFit="1" customWidth="1"/>
    <col min="14083" max="14084" width="16.85546875" style="164" bestFit="1" customWidth="1"/>
    <col min="14085" max="14085" width="11.5703125" style="164" bestFit="1" customWidth="1"/>
    <col min="14086" max="14336" width="8.85546875" style="164"/>
    <col min="14337" max="14337" width="10.7109375" style="164" customWidth="1"/>
    <col min="14338" max="14338" width="16.7109375" style="164" bestFit="1" customWidth="1"/>
    <col min="14339" max="14340" width="16.85546875" style="164" bestFit="1" customWidth="1"/>
    <col min="14341" max="14341" width="11.5703125" style="164" bestFit="1" customWidth="1"/>
    <col min="14342" max="14592" width="8.85546875" style="164"/>
    <col min="14593" max="14593" width="10.7109375" style="164" customWidth="1"/>
    <col min="14594" max="14594" width="16.7109375" style="164" bestFit="1" customWidth="1"/>
    <col min="14595" max="14596" width="16.85546875" style="164" bestFit="1" customWidth="1"/>
    <col min="14597" max="14597" width="11.5703125" style="164" bestFit="1" customWidth="1"/>
    <col min="14598" max="14848" width="8.85546875" style="164"/>
    <col min="14849" max="14849" width="10.7109375" style="164" customWidth="1"/>
    <col min="14850" max="14850" width="16.7109375" style="164" bestFit="1" customWidth="1"/>
    <col min="14851" max="14852" width="16.85546875" style="164" bestFit="1" customWidth="1"/>
    <col min="14853" max="14853" width="11.5703125" style="164" bestFit="1" customWidth="1"/>
    <col min="14854" max="15104" width="8.85546875" style="164"/>
    <col min="15105" max="15105" width="10.7109375" style="164" customWidth="1"/>
    <col min="15106" max="15106" width="16.7109375" style="164" bestFit="1" customWidth="1"/>
    <col min="15107" max="15108" width="16.85546875" style="164" bestFit="1" customWidth="1"/>
    <col min="15109" max="15109" width="11.5703125" style="164" bestFit="1" customWidth="1"/>
    <col min="15110" max="15360" width="8.85546875" style="164"/>
    <col min="15361" max="15361" width="10.7109375" style="164" customWidth="1"/>
    <col min="15362" max="15362" width="16.7109375" style="164" bestFit="1" customWidth="1"/>
    <col min="15363" max="15364" width="16.85546875" style="164" bestFit="1" customWidth="1"/>
    <col min="15365" max="15365" width="11.5703125" style="164" bestFit="1" customWidth="1"/>
    <col min="15366" max="15616" width="8.85546875" style="164"/>
    <col min="15617" max="15617" width="10.7109375" style="164" customWidth="1"/>
    <col min="15618" max="15618" width="16.7109375" style="164" bestFit="1" customWidth="1"/>
    <col min="15619" max="15620" width="16.85546875" style="164" bestFit="1" customWidth="1"/>
    <col min="15621" max="15621" width="11.5703125" style="164" bestFit="1" customWidth="1"/>
    <col min="15622" max="15872" width="8.85546875" style="164"/>
    <col min="15873" max="15873" width="10.7109375" style="164" customWidth="1"/>
    <col min="15874" max="15874" width="16.7109375" style="164" bestFit="1" customWidth="1"/>
    <col min="15875" max="15876" width="16.85546875" style="164" bestFit="1" customWidth="1"/>
    <col min="15877" max="15877" width="11.5703125" style="164" bestFit="1" customWidth="1"/>
    <col min="15878" max="16128" width="8.85546875" style="164"/>
    <col min="16129" max="16129" width="10.7109375" style="164" customWidth="1"/>
    <col min="16130" max="16130" width="16.7109375" style="164" bestFit="1" customWidth="1"/>
    <col min="16131" max="16132" width="16.85546875" style="164" bestFit="1" customWidth="1"/>
    <col min="16133" max="16133" width="11.5703125" style="164" bestFit="1" customWidth="1"/>
    <col min="16134" max="16384" width="8.85546875" style="164"/>
  </cols>
  <sheetData>
    <row r="1" spans="1:14" x14ac:dyDescent="0.25">
      <c r="H1" s="164" t="s">
        <v>147</v>
      </c>
      <c r="I1" s="164" t="s">
        <v>147</v>
      </c>
    </row>
    <row r="2" spans="1:14" ht="16.5" thickBot="1" x14ac:dyDescent="0.3">
      <c r="A2" s="162"/>
      <c r="B2" s="163" t="s">
        <v>141</v>
      </c>
      <c r="C2" s="163" t="s">
        <v>142</v>
      </c>
      <c r="D2" s="163" t="s">
        <v>143</v>
      </c>
      <c r="E2" s="164" t="s">
        <v>144</v>
      </c>
      <c r="G2"/>
      <c r="H2" s="172" t="s">
        <v>145</v>
      </c>
      <c r="I2" s="172" t="s">
        <v>146</v>
      </c>
      <c r="J2"/>
    </row>
    <row r="3" spans="1:14" ht="15.75" thickBot="1" x14ac:dyDescent="0.3">
      <c r="A3" s="165">
        <v>40909</v>
      </c>
      <c r="B3" s="166">
        <v>174381.82</v>
      </c>
      <c r="C3" s="162">
        <v>1.2999999999999999E-3</v>
      </c>
      <c r="D3" s="167">
        <f t="shared" ref="D3:D14" si="0">B3/C3</f>
        <v>134139861.53846155</v>
      </c>
      <c r="E3" s="168">
        <f>134139861.54+(5510021/12)</f>
        <v>134599029.95666668</v>
      </c>
      <c r="F3" s="169">
        <f t="shared" ref="F3:F12" si="1">E3/D3</f>
        <v>1.0034230571952205</v>
      </c>
    </row>
    <row r="4" spans="1:14" ht="15.75" thickBot="1" x14ac:dyDescent="0.3">
      <c r="A4" s="165">
        <v>40940</v>
      </c>
      <c r="B4" s="166">
        <v>161479.18</v>
      </c>
      <c r="C4" s="162">
        <v>1.2999999999999999E-3</v>
      </c>
      <c r="D4" s="167">
        <f t="shared" si="0"/>
        <v>124214753.84615384</v>
      </c>
      <c r="E4" s="168">
        <f>124214753.85+(5510021/12)</f>
        <v>124673922.26666667</v>
      </c>
      <c r="F4" s="169">
        <f t="shared" si="1"/>
        <v>1.003696569097432</v>
      </c>
      <c r="K4" s="203" t="s">
        <v>167</v>
      </c>
      <c r="L4" s="204"/>
      <c r="M4" s="204"/>
      <c r="N4" s="205"/>
    </row>
    <row r="5" spans="1:14" x14ac:dyDescent="0.25">
      <c r="A5" s="165">
        <v>40969</v>
      </c>
      <c r="B5" s="166">
        <v>161700.04</v>
      </c>
      <c r="C5" s="162">
        <v>1.2999999999999999E-3</v>
      </c>
      <c r="D5" s="167">
        <f t="shared" si="0"/>
        <v>124384646.15384616</v>
      </c>
      <c r="E5" s="168">
        <f>124384646.15+(5510021/12)</f>
        <v>124843814.56666668</v>
      </c>
      <c r="F5" s="169">
        <f t="shared" si="1"/>
        <v>1.0036915200309577</v>
      </c>
      <c r="G5"/>
      <c r="H5"/>
      <c r="I5"/>
      <c r="J5"/>
      <c r="K5" s="157"/>
      <c r="L5" s="201"/>
      <c r="M5" s="202"/>
    </row>
    <row r="6" spans="1:14" x14ac:dyDescent="0.25">
      <c r="A6" s="165">
        <v>41000</v>
      </c>
      <c r="B6" s="166">
        <v>148915.67000000001</v>
      </c>
      <c r="C6" s="162">
        <v>1.2999999999999999E-3</v>
      </c>
      <c r="D6" s="167">
        <f t="shared" si="0"/>
        <v>114550515.38461541</v>
      </c>
      <c r="E6" s="168">
        <f>114550515.38+(27225356.55/9)+(5510021/12)</f>
        <v>118034723.41333333</v>
      </c>
      <c r="F6" s="169">
        <f t="shared" si="1"/>
        <v>1.0304163452867874</v>
      </c>
      <c r="G6" s="3">
        <v>41000</v>
      </c>
      <c r="H6" s="55">
        <v>67787.3857421875</v>
      </c>
      <c r="I6" s="55">
        <v>258380.8359375</v>
      </c>
      <c r="J6"/>
      <c r="K6" s="197">
        <f>SUM(H6:I6)</f>
        <v>326168.2216796875</v>
      </c>
      <c r="L6" s="190">
        <f>'WMP pivot'!J87</f>
        <v>3068109.5700000003</v>
      </c>
      <c r="M6" s="198">
        <f>L6-K6</f>
        <v>2741941.3483203128</v>
      </c>
    </row>
    <row r="7" spans="1:14" x14ac:dyDescent="0.25">
      <c r="A7" s="165">
        <v>41030</v>
      </c>
      <c r="B7" s="166">
        <v>132440.44</v>
      </c>
      <c r="C7" s="162">
        <v>1.1000000000000001E-3</v>
      </c>
      <c r="D7" s="167">
        <f t="shared" si="0"/>
        <v>120400400</v>
      </c>
      <c r="E7" s="168">
        <f>120400400+(27225356.55/9)+(5510021/12)</f>
        <v>123884608.03333333</v>
      </c>
      <c r="F7" s="169">
        <f t="shared" si="1"/>
        <v>1.0289385087867926</v>
      </c>
      <c r="G7" s="3">
        <v>41030</v>
      </c>
      <c r="H7" s="55">
        <v>700469.689453125</v>
      </c>
      <c r="I7" s="55">
        <v>2669935.40625</v>
      </c>
      <c r="J7"/>
      <c r="K7" s="197">
        <f t="shared" ref="K7:K14" si="2">SUM(H7:I7)</f>
        <v>3370405.095703125</v>
      </c>
      <c r="L7" s="190">
        <f>'WMP pivot'!J88</f>
        <v>4280789.9071008703</v>
      </c>
      <c r="M7" s="198">
        <f t="shared" ref="M7:M14" si="3">L7-K7</f>
        <v>910384.81139774527</v>
      </c>
    </row>
    <row r="8" spans="1:14" x14ac:dyDescent="0.25">
      <c r="A8" s="165">
        <v>41061</v>
      </c>
      <c r="B8" s="166">
        <v>140109.88</v>
      </c>
      <c r="C8" s="162">
        <v>1.1000000000000001E-3</v>
      </c>
      <c r="D8" s="167">
        <f t="shared" si="0"/>
        <v>127372618.18181817</v>
      </c>
      <c r="E8" s="168">
        <f>127372618.18+(27225356.55/9)+(5510021/12)</f>
        <v>130856826.21333334</v>
      </c>
      <c r="F8" s="169">
        <f t="shared" si="1"/>
        <v>1.0273544509114323</v>
      </c>
      <c r="G8" s="3">
        <v>41061</v>
      </c>
      <c r="H8" s="55">
        <v>782500.70202636695</v>
      </c>
      <c r="I8" s="55">
        <v>2879601.4453125</v>
      </c>
      <c r="J8"/>
      <c r="K8" s="197">
        <f t="shared" si="2"/>
        <v>3662102.1473388672</v>
      </c>
      <c r="L8" s="190">
        <f>'WMP pivot'!J89</f>
        <v>4002940.7091250243</v>
      </c>
      <c r="M8" s="198">
        <f t="shared" si="3"/>
        <v>340838.56178615708</v>
      </c>
    </row>
    <row r="9" spans="1:14" x14ac:dyDescent="0.25">
      <c r="A9" s="165">
        <v>41091</v>
      </c>
      <c r="B9" s="166">
        <v>155929.24</v>
      </c>
      <c r="C9" s="162">
        <v>1.1000000000000001E-3</v>
      </c>
      <c r="D9" s="167">
        <f t="shared" si="0"/>
        <v>141753854.54545453</v>
      </c>
      <c r="E9" s="168">
        <f>141753854.55+(27225356.55/9)+(5510021/12)</f>
        <v>145238062.58333334</v>
      </c>
      <c r="F9" s="169">
        <f t="shared" si="1"/>
        <v>1.0245792825108793</v>
      </c>
      <c r="G9" s="3">
        <v>41091</v>
      </c>
      <c r="H9" s="55">
        <v>1256470.6435546901</v>
      </c>
      <c r="I9" s="55">
        <v>3110758.4609375</v>
      </c>
      <c r="J9"/>
      <c r="K9" s="197">
        <f t="shared" si="2"/>
        <v>4367229.1044921903</v>
      </c>
      <c r="L9" s="190">
        <f>'WMP pivot'!J90</f>
        <v>4456275.6369364038</v>
      </c>
      <c r="M9" s="198">
        <f t="shared" si="3"/>
        <v>89046.532444213517</v>
      </c>
    </row>
    <row r="10" spans="1:14" x14ac:dyDescent="0.25">
      <c r="A10" s="165">
        <v>41122</v>
      </c>
      <c r="B10" s="166">
        <v>146129.07</v>
      </c>
      <c r="C10" s="162">
        <v>1.1000000000000001E-3</v>
      </c>
      <c r="D10" s="167">
        <f t="shared" si="0"/>
        <v>132844609.09090909</v>
      </c>
      <c r="E10" s="168">
        <f>132844609.09+(27225356.55/9)+(5510021/12)</f>
        <v>136328817.12333333</v>
      </c>
      <c r="F10" s="169">
        <f t="shared" si="1"/>
        <v>1.0262276960748924</v>
      </c>
      <c r="G10" s="3">
        <v>41122</v>
      </c>
      <c r="H10" s="55">
        <v>1188273.4082031299</v>
      </c>
      <c r="I10" s="55">
        <v>3021567.5546875</v>
      </c>
      <c r="J10"/>
      <c r="K10" s="197">
        <f t="shared" si="2"/>
        <v>4209840.9628906297</v>
      </c>
      <c r="L10" s="190">
        <f>'WMP pivot'!J91</f>
        <v>4204469.1301214648</v>
      </c>
      <c r="M10" s="198">
        <f t="shared" si="3"/>
        <v>-5371.8327691648155</v>
      </c>
    </row>
    <row r="11" spans="1:14" x14ac:dyDescent="0.25">
      <c r="A11" s="165">
        <v>41153</v>
      </c>
      <c r="B11" s="166">
        <v>126505.97</v>
      </c>
      <c r="C11" s="162">
        <v>1.1000000000000001E-3</v>
      </c>
      <c r="D11" s="167">
        <f t="shared" si="0"/>
        <v>115005427.27272727</v>
      </c>
      <c r="E11" s="168">
        <f>115005427.27+(27225356.55/9)+(5510021/12)</f>
        <v>118489635.30333333</v>
      </c>
      <c r="F11" s="169">
        <f t="shared" si="1"/>
        <v>1.0302960313546203</v>
      </c>
      <c r="G11" s="3">
        <v>41153</v>
      </c>
      <c r="H11" s="55">
        <v>1069094.2998046901</v>
      </c>
      <c r="I11" s="55">
        <v>2762527.546875</v>
      </c>
      <c r="J11"/>
      <c r="K11" s="197">
        <f t="shared" si="2"/>
        <v>3831621.8466796903</v>
      </c>
      <c r="L11" s="190">
        <f>'WMP pivot'!J92</f>
        <v>3823441.8692706958</v>
      </c>
      <c r="M11" s="198">
        <f t="shared" si="3"/>
        <v>-8179.9774089944549</v>
      </c>
    </row>
    <row r="12" spans="1:14" x14ac:dyDescent="0.25">
      <c r="A12" s="165">
        <v>41183</v>
      </c>
      <c r="B12" s="166">
        <v>128641.37</v>
      </c>
      <c r="C12" s="162">
        <v>1.1000000000000001E-3</v>
      </c>
      <c r="D12" s="167">
        <f t="shared" si="0"/>
        <v>116946699.99999999</v>
      </c>
      <c r="E12" s="168">
        <f>116946700+(27225356.55/9)+(5510021/12)</f>
        <v>120430908.03333333</v>
      </c>
      <c r="F12" s="169">
        <f t="shared" si="1"/>
        <v>1.0297931282655548</v>
      </c>
      <c r="G12" s="3">
        <v>41183</v>
      </c>
      <c r="H12" s="55">
        <v>1034545.109375</v>
      </c>
      <c r="I12" s="55">
        <v>2660561.75</v>
      </c>
      <c r="J12"/>
      <c r="K12" s="197">
        <f t="shared" si="2"/>
        <v>3695106.859375</v>
      </c>
      <c r="L12" s="190">
        <f>'WMP pivot'!J93</f>
        <v>3686580.7537210681</v>
      </c>
      <c r="M12" s="198">
        <f t="shared" si="3"/>
        <v>-8526.1056539318524</v>
      </c>
    </row>
    <row r="13" spans="1:14" x14ac:dyDescent="0.25">
      <c r="A13" s="165">
        <v>41214</v>
      </c>
      <c r="B13" s="166">
        <v>132763.19</v>
      </c>
      <c r="C13" s="162">
        <v>1.1000000000000001E-3</v>
      </c>
      <c r="D13" s="167">
        <f t="shared" si="0"/>
        <v>120693809.09090908</v>
      </c>
      <c r="E13" s="168">
        <f>120693809.09+(27225356.55/9)+(5510021/12)</f>
        <v>124178017.12333333</v>
      </c>
      <c r="F13" s="169">
        <f>E13/D13</f>
        <v>1.028868158679124</v>
      </c>
      <c r="G13" s="3">
        <v>41214</v>
      </c>
      <c r="H13" s="55">
        <v>952492.15625</v>
      </c>
      <c r="I13" s="55">
        <v>2487313.7421875</v>
      </c>
      <c r="J13"/>
      <c r="K13" s="197">
        <f t="shared" si="2"/>
        <v>3439805.8984375</v>
      </c>
      <c r="L13" s="190">
        <f>'WMP pivot'!J94</f>
        <v>3435397.2584457616</v>
      </c>
      <c r="M13" s="198">
        <f t="shared" si="3"/>
        <v>-4408.6399917383678</v>
      </c>
    </row>
    <row r="14" spans="1:14" ht="15.75" thickBot="1" x14ac:dyDescent="0.3">
      <c r="A14" s="165">
        <v>41244</v>
      </c>
      <c r="B14" s="166">
        <v>133703.64000000001</v>
      </c>
      <c r="C14" s="162">
        <v>1.1000000000000001E-3</v>
      </c>
      <c r="D14" s="167">
        <f t="shared" si="0"/>
        <v>121548763.63636364</v>
      </c>
      <c r="E14" s="168">
        <f>121548763.64+(27225356.55/9)+(5510021/12)</f>
        <v>125032971.67333333</v>
      </c>
      <c r="F14" s="169">
        <f>E14/D14</f>
        <v>1.0286651047096897</v>
      </c>
      <c r="G14" s="3">
        <v>41244</v>
      </c>
      <c r="H14" s="55">
        <v>952805.85986328102</v>
      </c>
      <c r="I14" s="55">
        <v>2498976.2109375</v>
      </c>
      <c r="J14"/>
      <c r="K14" s="197">
        <f t="shared" si="2"/>
        <v>3451782.0708007813</v>
      </c>
      <c r="L14" s="190">
        <f>'WMP pivot'!J95</f>
        <v>3448510.9882503077</v>
      </c>
      <c r="M14" s="198">
        <f t="shared" si="3"/>
        <v>-3271.0825504735112</v>
      </c>
    </row>
    <row r="15" spans="1:14" ht="15.75" thickBot="1" x14ac:dyDescent="0.3">
      <c r="C15" s="170">
        <v>1493743421</v>
      </c>
      <c r="D15" s="171">
        <f>SUM(D3:D14)</f>
        <v>1493855958.7412589</v>
      </c>
      <c r="E15" s="171">
        <f>D15-C15</f>
        <v>112537.74125885963</v>
      </c>
      <c r="G15" t="s">
        <v>91</v>
      </c>
      <c r="H15" s="173">
        <f>SUM(H6:H14)</f>
        <v>8004439.2542724712</v>
      </c>
      <c r="I15" s="173">
        <f>SUM(I6:I14)</f>
        <v>22349622.953125</v>
      </c>
      <c r="J15" s="196">
        <f>H15+I15</f>
        <v>30354062.207397472</v>
      </c>
      <c r="K15" s="159"/>
      <c r="L15" s="199"/>
      <c r="M15" s="200">
        <f>SUM(M6:M14)</f>
        <v>4052453.6155741257</v>
      </c>
    </row>
    <row r="16" spans="1:14" x14ac:dyDescent="0.25">
      <c r="K16"/>
    </row>
    <row r="17" spans="7:11" x14ac:dyDescent="0.25">
      <c r="G17"/>
      <c r="H17" s="113" t="s">
        <v>165</v>
      </c>
      <c r="I17"/>
      <c r="J17"/>
      <c r="K17"/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D210"/>
  <sheetViews>
    <sheetView topLeftCell="D124" workbookViewId="0">
      <selection activeCell="K122" sqref="K111:K122"/>
    </sheetView>
  </sheetViews>
  <sheetFormatPr defaultRowHeight="12.75" x14ac:dyDescent="0.2"/>
  <cols>
    <col min="1" max="1" width="11.85546875" style="40" customWidth="1"/>
    <col min="2" max="2" width="18" style="6" customWidth="1"/>
    <col min="3" max="3" width="11.85546875" style="40" customWidth="1"/>
    <col min="4" max="5" width="18" style="6" customWidth="1"/>
    <col min="6" max="6" width="16.85546875" style="6" customWidth="1"/>
    <col min="7" max="7" width="11.7109375" style="161" customWidth="1"/>
    <col min="8" max="8" width="13.42578125" style="161" customWidth="1"/>
    <col min="9" max="9" width="10.140625" style="161" customWidth="1"/>
    <col min="10" max="10" width="12.42578125" style="161" customWidth="1"/>
    <col min="11" max="11" width="13" style="21" customWidth="1"/>
    <col min="12" max="12" width="12.42578125" style="161" customWidth="1"/>
    <col min="13" max="13" width="14.85546875" style="21" customWidth="1"/>
    <col min="14" max="14" width="12.7109375" style="21" hidden="1" customWidth="1"/>
    <col min="15" max="15" width="14.85546875" style="21" hidden="1" customWidth="1"/>
    <col min="16" max="16" width="12.140625" style="31" hidden="1" customWidth="1"/>
    <col min="17" max="17" width="11" style="21" hidden="1" customWidth="1"/>
    <col min="18" max="18" width="15.5703125" style="161" bestFit="1" customWidth="1"/>
    <col min="19" max="19" width="16" style="161" customWidth="1"/>
    <col min="20" max="21" width="8.42578125" style="161" customWidth="1"/>
    <col min="22" max="22" width="14.5703125" style="161" customWidth="1"/>
    <col min="23" max="23" width="8.42578125" style="161" customWidth="1"/>
    <col min="24" max="24" width="44.42578125" customWidth="1"/>
    <col min="25" max="25" width="15.5703125" bestFit="1" customWidth="1"/>
    <col min="26" max="26" width="13.7109375" bestFit="1" customWidth="1"/>
    <col min="27" max="27" width="12.5703125" bestFit="1" customWidth="1"/>
    <col min="28" max="28" width="17.140625" customWidth="1"/>
    <col min="29" max="29" width="15.42578125" customWidth="1"/>
    <col min="30" max="30" width="14.85546875" customWidth="1"/>
    <col min="31" max="31" width="14.140625" customWidth="1"/>
    <col min="32" max="33" width="42.42578125" bestFit="1" customWidth="1"/>
    <col min="34" max="34" width="15.5703125" bestFit="1" customWidth="1"/>
    <col min="35" max="35" width="26.140625" bestFit="1" customWidth="1"/>
    <col min="36" max="36" width="23" bestFit="1" customWidth="1"/>
    <col min="39" max="39" width="40.7109375" bestFit="1" customWidth="1"/>
    <col min="40" max="40" width="42.85546875" bestFit="1" customWidth="1"/>
  </cols>
  <sheetData>
    <row r="2" spans="1:29" ht="51" x14ac:dyDescent="0.2">
      <c r="A2" s="64"/>
      <c r="B2" s="206" t="s">
        <v>191</v>
      </c>
      <c r="C2" s="207" t="s">
        <v>168</v>
      </c>
      <c r="D2" s="206" t="s">
        <v>192</v>
      </c>
      <c r="E2" s="206" t="s">
        <v>193</v>
      </c>
      <c r="F2" s="206" t="s">
        <v>194</v>
      </c>
      <c r="G2" s="65" t="s">
        <v>4</v>
      </c>
      <c r="H2" s="66" t="s">
        <v>5</v>
      </c>
      <c r="I2" s="66" t="s">
        <v>6</v>
      </c>
      <c r="J2" s="65" t="s">
        <v>22</v>
      </c>
      <c r="K2" s="65" t="s">
        <v>7</v>
      </c>
      <c r="L2" s="65" t="s">
        <v>190</v>
      </c>
      <c r="M2" s="65" t="s">
        <v>109</v>
      </c>
      <c r="N2" s="65" t="s">
        <v>120</v>
      </c>
      <c r="O2" s="65" t="s">
        <v>108</v>
      </c>
      <c r="P2" s="67" t="s">
        <v>8</v>
      </c>
      <c r="Q2" s="65" t="s">
        <v>110</v>
      </c>
      <c r="R2" s="65" t="s">
        <v>13</v>
      </c>
      <c r="S2" s="66" t="s">
        <v>14</v>
      </c>
      <c r="T2" s="65" t="s">
        <v>15</v>
      </c>
      <c r="U2" s="65" t="s">
        <v>111</v>
      </c>
      <c r="V2"/>
      <c r="W2"/>
      <c r="X2" t="s">
        <v>23</v>
      </c>
    </row>
    <row r="3" spans="1:29" ht="13.5" thickBot="1" x14ac:dyDescent="0.25">
      <c r="A3" s="49">
        <v>39478</v>
      </c>
      <c r="B3" s="15">
        <v>140041421</v>
      </c>
      <c r="C3" s="15">
        <f>'WMP pivot'!J32</f>
        <v>3319566.61</v>
      </c>
      <c r="D3" s="15">
        <f t="shared" ref="D3:D62" si="0">B3-C3</f>
        <v>136721854.38999999</v>
      </c>
      <c r="E3" s="15">
        <v>27008780</v>
      </c>
      <c r="F3" s="15">
        <f t="shared" ref="F3:F66" si="1">D3+E3</f>
        <v>163730634.38999999</v>
      </c>
      <c r="G3" s="161">
        <f>'Purchased Power Model'!G123</f>
        <v>738.59000000000015</v>
      </c>
      <c r="H3" s="161">
        <f>'Purchased Power Model'!H123</f>
        <v>0</v>
      </c>
      <c r="I3" s="10">
        <v>31</v>
      </c>
      <c r="J3" s="10">
        <v>0</v>
      </c>
      <c r="K3" s="15">
        <v>352</v>
      </c>
      <c r="L3" s="10">
        <v>0</v>
      </c>
      <c r="M3" s="247">
        <v>34.6</v>
      </c>
      <c r="N3" s="15">
        <f>'CDM Activity '!H84</f>
        <v>632983.38990570104</v>
      </c>
      <c r="O3" s="15">
        <v>656.3</v>
      </c>
      <c r="P3" s="105">
        <v>139.96642175819056</v>
      </c>
      <c r="Q3" s="15" t="e">
        <f>#REF!+(Q8-#REF!)/12</f>
        <v>#REF!</v>
      </c>
      <c r="R3" s="10">
        <f>$Y$18+$Y$19*G3+$Y$20*H3+$Y$21*I3+$Y$22*J3+$Y$23*K3+$Y$24*L3+$Y$25*M3</f>
        <v>160057177.40887877</v>
      </c>
      <c r="S3" s="48">
        <f t="shared" ref="S3:S66" si="2">R3-F3</f>
        <v>-3673456.9811212122</v>
      </c>
      <c r="T3" s="109">
        <f t="shared" ref="T3:T66" si="3">S3/D3</f>
        <v>-2.6868103841267775E-2</v>
      </c>
      <c r="U3" s="13">
        <f t="shared" ref="U3:U66" si="4">ABS(T3)</f>
        <v>2.6868103841267775E-2</v>
      </c>
      <c r="V3" s="13"/>
      <c r="W3" s="13"/>
    </row>
    <row r="4" spans="1:29" x14ac:dyDescent="0.2">
      <c r="A4" s="49">
        <v>39507</v>
      </c>
      <c r="B4" s="15">
        <v>132651127</v>
      </c>
      <c r="C4" s="15">
        <f>'WMP pivot'!J33</f>
        <v>3028037.86</v>
      </c>
      <c r="D4" s="15">
        <f t="shared" si="0"/>
        <v>129623089.14</v>
      </c>
      <c r="E4" s="15">
        <v>25623480</v>
      </c>
      <c r="F4" s="15">
        <f t="shared" si="1"/>
        <v>155246569.13999999</v>
      </c>
      <c r="G4" s="161">
        <f>'Purchased Power Model'!G124</f>
        <v>671.5200000000001</v>
      </c>
      <c r="H4" s="161">
        <f>'Purchased Power Model'!H124</f>
        <v>0</v>
      </c>
      <c r="I4" s="10">
        <v>28</v>
      </c>
      <c r="J4" s="10">
        <v>0</v>
      </c>
      <c r="K4" s="15">
        <v>320</v>
      </c>
      <c r="L4" s="10">
        <v>0</v>
      </c>
      <c r="M4" s="247">
        <v>36.200000000000003</v>
      </c>
      <c r="N4" s="15">
        <f>'CDM Activity '!H85</f>
        <v>649951.35454338696</v>
      </c>
      <c r="O4" s="15">
        <v>651.20000000000005</v>
      </c>
      <c r="P4" s="105">
        <v>139.86101141442734</v>
      </c>
      <c r="Q4" s="15" t="e">
        <f>Q3+(Q8-#REF!)/12</f>
        <v>#REF!</v>
      </c>
      <c r="R4" s="10">
        <f t="shared" ref="R4:R67" si="5">$Y$18+$Y$19*G4+$Y$20*H4+$Y$21*I4+$Y$22*J4+$Y$23*K4+$Y$24*L4+$Y$25*M4</f>
        <v>148086528.05095267</v>
      </c>
      <c r="S4" s="48">
        <f t="shared" si="2"/>
        <v>-7160041.0890473127</v>
      </c>
      <c r="T4" s="109">
        <f t="shared" si="3"/>
        <v>-5.5237389700796884E-2</v>
      </c>
      <c r="U4" s="13">
        <f t="shared" si="4"/>
        <v>5.5237389700796884E-2</v>
      </c>
      <c r="V4" s="13"/>
      <c r="W4" s="13"/>
      <c r="X4" s="35" t="s">
        <v>24</v>
      </c>
      <c r="Y4" s="35"/>
    </row>
    <row r="5" spans="1:29" x14ac:dyDescent="0.2">
      <c r="A5" s="49">
        <v>39538</v>
      </c>
      <c r="B5" s="15">
        <v>133457374</v>
      </c>
      <c r="C5" s="15">
        <f>'WMP pivot'!J34</f>
        <v>3214303.85</v>
      </c>
      <c r="D5" s="15">
        <f t="shared" si="0"/>
        <v>130243070.15000001</v>
      </c>
      <c r="E5" s="15">
        <v>25871810</v>
      </c>
      <c r="F5" s="15">
        <f t="shared" si="1"/>
        <v>156114880.15000001</v>
      </c>
      <c r="G5" s="161">
        <f>'Purchased Power Model'!G125</f>
        <v>569.22</v>
      </c>
      <c r="H5" s="161">
        <f>'Purchased Power Model'!H125</f>
        <v>0</v>
      </c>
      <c r="I5" s="10">
        <v>31</v>
      </c>
      <c r="J5" s="10">
        <v>1</v>
      </c>
      <c r="K5" s="15">
        <v>304</v>
      </c>
      <c r="L5" s="10">
        <v>0</v>
      </c>
      <c r="M5" s="247">
        <v>37.4</v>
      </c>
      <c r="N5" s="15">
        <f>'CDM Activity '!H86</f>
        <v>666919.31918107287</v>
      </c>
      <c r="O5" s="15">
        <v>642.29999999999995</v>
      </c>
      <c r="P5" s="105">
        <v>139.75568045642274</v>
      </c>
      <c r="Q5" s="15" t="e">
        <f>Q4+(Q8-#REF!)/12</f>
        <v>#REF!</v>
      </c>
      <c r="R5" s="10">
        <f t="shared" si="5"/>
        <v>147647519.80502564</v>
      </c>
      <c r="S5" s="48">
        <f t="shared" si="2"/>
        <v>-8467360.3449743688</v>
      </c>
      <c r="T5" s="109">
        <f t="shared" si="3"/>
        <v>-6.5011983633544351E-2</v>
      </c>
      <c r="U5" s="13">
        <f t="shared" si="4"/>
        <v>6.5011983633544351E-2</v>
      </c>
      <c r="V5" s="13"/>
      <c r="W5" s="13"/>
      <c r="X5" s="32" t="s">
        <v>25</v>
      </c>
      <c r="Y5" s="220">
        <v>0.92601562447876817</v>
      </c>
    </row>
    <row r="6" spans="1:29" x14ac:dyDescent="0.2">
      <c r="A6" s="49">
        <v>39568</v>
      </c>
      <c r="B6" s="15">
        <v>122596206</v>
      </c>
      <c r="C6" s="15">
        <f>'WMP pivot'!J35</f>
        <v>3270611.0999999996</v>
      </c>
      <c r="D6" s="15">
        <f t="shared" si="0"/>
        <v>119325594.90000001</v>
      </c>
      <c r="E6" s="15">
        <v>22283980</v>
      </c>
      <c r="F6" s="15">
        <f t="shared" si="1"/>
        <v>141609574.90000001</v>
      </c>
      <c r="G6" s="161">
        <f>'Purchased Power Model'!G126</f>
        <v>337.61</v>
      </c>
      <c r="H6" s="161">
        <f>'Purchased Power Model'!H126</f>
        <v>0.32</v>
      </c>
      <c r="I6" s="10">
        <v>30</v>
      </c>
      <c r="J6" s="10">
        <v>1</v>
      </c>
      <c r="K6" s="15">
        <v>352</v>
      </c>
      <c r="L6" s="10">
        <v>0</v>
      </c>
      <c r="M6" s="247">
        <v>35.5</v>
      </c>
      <c r="N6" s="15">
        <f>'CDM Activity '!H87</f>
        <v>683887.28381875879</v>
      </c>
      <c r="O6" s="15">
        <v>642.29999999999995</v>
      </c>
      <c r="P6" s="105">
        <v>139.65042882439042</v>
      </c>
      <c r="Q6" s="15" t="e">
        <f>Q5+(Q8-#REF!)/12</f>
        <v>#REF!</v>
      </c>
      <c r="R6" s="10">
        <f t="shared" si="5"/>
        <v>144710222.66555312</v>
      </c>
      <c r="S6" s="48">
        <f t="shared" si="2"/>
        <v>3100647.7655531168</v>
      </c>
      <c r="T6" s="109">
        <f t="shared" si="3"/>
        <v>2.5984766873792611E-2</v>
      </c>
      <c r="U6" s="13">
        <f t="shared" si="4"/>
        <v>2.5984766873792611E-2</v>
      </c>
      <c r="V6" s="13"/>
      <c r="W6" s="13"/>
      <c r="X6" s="32" t="s">
        <v>26</v>
      </c>
      <c r="Y6" s="220">
        <v>0.85750493677880291</v>
      </c>
    </row>
    <row r="7" spans="1:29" x14ac:dyDescent="0.2">
      <c r="A7" s="49">
        <v>39599</v>
      </c>
      <c r="B7" s="15">
        <v>121120167</v>
      </c>
      <c r="C7" s="15">
        <f>'WMP pivot'!J36</f>
        <v>3465367.6500000004</v>
      </c>
      <c r="D7" s="15">
        <f t="shared" si="0"/>
        <v>117654799.34999999</v>
      </c>
      <c r="E7" s="15">
        <v>22297260</v>
      </c>
      <c r="F7" s="15">
        <f t="shared" si="1"/>
        <v>139952059.34999999</v>
      </c>
      <c r="G7" s="161">
        <f>'Purchased Power Model'!G127</f>
        <v>162.60999999999996</v>
      </c>
      <c r="H7" s="161">
        <f>'Purchased Power Model'!H127</f>
        <v>13.16</v>
      </c>
      <c r="I7" s="10">
        <v>31</v>
      </c>
      <c r="J7" s="10">
        <v>1</v>
      </c>
      <c r="K7" s="15">
        <v>336</v>
      </c>
      <c r="L7" s="10">
        <v>0</v>
      </c>
      <c r="M7" s="247">
        <v>38.5</v>
      </c>
      <c r="N7" s="15">
        <f>'CDM Activity '!H88</f>
        <v>700855.24845644471</v>
      </c>
      <c r="O7" s="15">
        <v>642.5</v>
      </c>
      <c r="P7" s="105">
        <v>139.54525645858905</v>
      </c>
      <c r="Q7" s="15" t="e">
        <f>Q6+(Q8-#REF!)/12</f>
        <v>#REF!</v>
      </c>
      <c r="R7" s="10">
        <f t="shared" si="5"/>
        <v>144731649.87805501</v>
      </c>
      <c r="S7" s="48">
        <f t="shared" si="2"/>
        <v>4779590.5280550122</v>
      </c>
      <c r="T7" s="109">
        <f t="shared" si="3"/>
        <v>4.0623846663803878E-2</v>
      </c>
      <c r="U7" s="13">
        <f t="shared" si="4"/>
        <v>4.0623846663803878E-2</v>
      </c>
      <c r="V7" s="13"/>
      <c r="W7" s="13"/>
      <c r="X7" s="32" t="s">
        <v>27</v>
      </c>
      <c r="Y7" s="220">
        <v>0.84859899532747807</v>
      </c>
    </row>
    <row r="8" spans="1:29" x14ac:dyDescent="0.2">
      <c r="A8" s="49">
        <v>39629</v>
      </c>
      <c r="B8" s="15">
        <v>130438115</v>
      </c>
      <c r="C8" s="15">
        <f>'WMP pivot'!J37</f>
        <v>3708874.88</v>
      </c>
      <c r="D8" s="15">
        <f t="shared" si="0"/>
        <v>126729240.12</v>
      </c>
      <c r="E8" s="15">
        <v>23777670</v>
      </c>
      <c r="F8" s="15">
        <f t="shared" si="1"/>
        <v>150506910.12</v>
      </c>
      <c r="G8" s="161">
        <f>'Purchased Power Model'!G128</f>
        <v>47.94</v>
      </c>
      <c r="H8" s="161">
        <f>'Purchased Power Model'!H128</f>
        <v>35.67</v>
      </c>
      <c r="I8" s="10">
        <v>30</v>
      </c>
      <c r="J8" s="10">
        <v>0</v>
      </c>
      <c r="K8" s="15">
        <v>336</v>
      </c>
      <c r="L8" s="10">
        <v>0</v>
      </c>
      <c r="M8" s="247">
        <v>39.200000000000003</v>
      </c>
      <c r="N8" s="15">
        <f>'CDM Activity '!H89</f>
        <v>717823.21309413062</v>
      </c>
      <c r="O8" s="15">
        <v>648.20000000000005</v>
      </c>
      <c r="P8" s="105">
        <v>139.44016329932234</v>
      </c>
      <c r="Q8" s="15">
        <f>'Rate Class Customer Model'!S11</f>
        <v>72824.5</v>
      </c>
      <c r="R8" s="10">
        <f t="shared" si="5"/>
        <v>149777114.77850586</v>
      </c>
      <c r="S8" s="48">
        <f t="shared" si="2"/>
        <v>-729795.34149414301</v>
      </c>
      <c r="T8" s="109">
        <f t="shared" si="3"/>
        <v>-5.7586973677353336E-3</v>
      </c>
      <c r="U8" s="13">
        <f t="shared" si="4"/>
        <v>5.7586973677353336E-3</v>
      </c>
      <c r="V8" s="13"/>
      <c r="W8" s="13"/>
      <c r="X8" s="32" t="s">
        <v>28</v>
      </c>
      <c r="Y8" s="107">
        <v>3759555.752611238</v>
      </c>
    </row>
    <row r="9" spans="1:29" ht="13.5" thickBot="1" x14ac:dyDescent="0.25">
      <c r="A9" s="49">
        <v>39660</v>
      </c>
      <c r="B9" s="15">
        <v>139693948</v>
      </c>
      <c r="C9" s="15">
        <f>'WMP pivot'!J38</f>
        <v>3934057.6300000004</v>
      </c>
      <c r="D9" s="15">
        <f t="shared" si="0"/>
        <v>135759890.37</v>
      </c>
      <c r="E9" s="15">
        <v>26324020</v>
      </c>
      <c r="F9" s="15">
        <f t="shared" si="1"/>
        <v>162083910.37</v>
      </c>
      <c r="G9" s="161">
        <f>'Purchased Power Model'!G129</f>
        <v>13.190000000000001</v>
      </c>
      <c r="H9" s="161">
        <f>'Purchased Power Model'!H129</f>
        <v>77.03</v>
      </c>
      <c r="I9" s="10">
        <v>31</v>
      </c>
      <c r="J9" s="10">
        <v>0</v>
      </c>
      <c r="K9" s="15">
        <v>352</v>
      </c>
      <c r="L9" s="10">
        <v>0</v>
      </c>
      <c r="M9" s="247">
        <v>42.5</v>
      </c>
      <c r="N9" s="15">
        <f>'CDM Activity '!H90</f>
        <v>734791.17773181654</v>
      </c>
      <c r="O9" s="15">
        <v>653.5</v>
      </c>
      <c r="P9" s="105">
        <v>139.3351492869389</v>
      </c>
      <c r="Q9" s="15">
        <f>Q8+(Q20-Q8)/12</f>
        <v>72895.96875</v>
      </c>
      <c r="R9" s="10">
        <f t="shared" si="5"/>
        <v>164513086.15749282</v>
      </c>
      <c r="S9" s="48">
        <f t="shared" si="2"/>
        <v>2429175.7874928117</v>
      </c>
      <c r="T9" s="109">
        <f t="shared" si="3"/>
        <v>1.7893177291704761E-2</v>
      </c>
      <c r="U9" s="13">
        <f t="shared" si="4"/>
        <v>1.7893177291704761E-2</v>
      </c>
      <c r="V9" s="13"/>
      <c r="W9" s="13"/>
      <c r="X9" s="33" t="s">
        <v>29</v>
      </c>
      <c r="Y9" s="33">
        <v>120</v>
      </c>
    </row>
    <row r="10" spans="1:29" x14ac:dyDescent="0.2">
      <c r="A10" s="49">
        <v>39691</v>
      </c>
      <c r="B10" s="15">
        <v>131943162</v>
      </c>
      <c r="C10" s="15">
        <f>'WMP pivot'!J39</f>
        <v>3850471.59</v>
      </c>
      <c r="D10" s="15">
        <f t="shared" si="0"/>
        <v>128092690.41</v>
      </c>
      <c r="E10" s="15">
        <v>25478520</v>
      </c>
      <c r="F10" s="15">
        <f t="shared" si="1"/>
        <v>153571210.41</v>
      </c>
      <c r="G10" s="161">
        <f>'Purchased Power Model'!G130</f>
        <v>23.65</v>
      </c>
      <c r="H10" s="161">
        <f>'Purchased Power Model'!H130</f>
        <v>52.65</v>
      </c>
      <c r="I10" s="10">
        <v>31</v>
      </c>
      <c r="J10" s="10">
        <v>0</v>
      </c>
      <c r="K10" s="15">
        <v>320</v>
      </c>
      <c r="L10" s="10">
        <v>0</v>
      </c>
      <c r="M10" s="247">
        <v>40.9</v>
      </c>
      <c r="N10" s="15">
        <f>'CDM Activity '!H91</f>
        <v>751759.14236950246</v>
      </c>
      <c r="O10" s="15">
        <v>656.2</v>
      </c>
      <c r="P10" s="105">
        <v>139.23021436183228</v>
      </c>
      <c r="Q10" s="15">
        <f>Q9+(Q20-Q8)/12</f>
        <v>72967.4375</v>
      </c>
      <c r="R10" s="10">
        <f t="shared" si="5"/>
        <v>154884860.19195163</v>
      </c>
      <c r="S10" s="48">
        <f t="shared" si="2"/>
        <v>1313649.7819516361</v>
      </c>
      <c r="T10" s="109">
        <f t="shared" si="3"/>
        <v>1.0255462491629277E-2</v>
      </c>
      <c r="U10" s="13">
        <f t="shared" si="4"/>
        <v>1.0255462491629277E-2</v>
      </c>
      <c r="V10" s="13"/>
      <c r="W10" s="13"/>
    </row>
    <row r="11" spans="1:29" ht="13.5" thickBot="1" x14ac:dyDescent="0.25">
      <c r="A11" s="49">
        <v>39721</v>
      </c>
      <c r="B11" s="15">
        <v>126425825</v>
      </c>
      <c r="C11" s="15">
        <f>'WMP pivot'!J40</f>
        <v>3625170.46</v>
      </c>
      <c r="D11" s="15">
        <f t="shared" si="0"/>
        <v>122800654.54000001</v>
      </c>
      <c r="E11" s="15">
        <v>24166620</v>
      </c>
      <c r="F11" s="15">
        <f t="shared" si="1"/>
        <v>146967274.54000002</v>
      </c>
      <c r="G11" s="161">
        <f>'Purchased Power Model'!G131</f>
        <v>96.9</v>
      </c>
      <c r="H11" s="161">
        <f>'Purchased Power Model'!H131</f>
        <v>20.790000000000003</v>
      </c>
      <c r="I11" s="10">
        <v>30</v>
      </c>
      <c r="J11" s="10">
        <v>1</v>
      </c>
      <c r="K11" s="15">
        <v>336</v>
      </c>
      <c r="L11" s="10">
        <v>0</v>
      </c>
      <c r="M11" s="247">
        <v>40.299999999999997</v>
      </c>
      <c r="N11" s="15">
        <f>'CDM Activity '!H92</f>
        <v>768727.10700718837</v>
      </c>
      <c r="O11" s="15">
        <v>658.8</v>
      </c>
      <c r="P11" s="105">
        <v>139.12535846444095</v>
      </c>
      <c r="Q11" s="15">
        <f>Q10+(Q20-Q8)/12</f>
        <v>73038.90625</v>
      </c>
      <c r="R11" s="10">
        <f t="shared" si="5"/>
        <v>142694160.37371013</v>
      </c>
      <c r="S11" s="48">
        <f t="shared" si="2"/>
        <v>-4273114.1662898958</v>
      </c>
      <c r="T11" s="109">
        <f t="shared" si="3"/>
        <v>-3.4797161157622408E-2</v>
      </c>
      <c r="U11" s="13">
        <f t="shared" si="4"/>
        <v>3.4797161157622408E-2</v>
      </c>
      <c r="V11" s="13"/>
      <c r="W11" s="13"/>
      <c r="X11" t="s">
        <v>30</v>
      </c>
    </row>
    <row r="12" spans="1:29" x14ac:dyDescent="0.2">
      <c r="A12" s="49">
        <v>39752</v>
      </c>
      <c r="B12" s="15">
        <v>125628543</v>
      </c>
      <c r="C12" s="15">
        <f>'WMP pivot'!J41</f>
        <v>3481712.75</v>
      </c>
      <c r="D12" s="15">
        <f t="shared" si="0"/>
        <v>122146830.25</v>
      </c>
      <c r="E12" s="15">
        <v>23670350</v>
      </c>
      <c r="F12" s="15">
        <f t="shared" si="1"/>
        <v>145817180.25</v>
      </c>
      <c r="G12" s="161">
        <f>'Purchased Power Model'!G132</f>
        <v>273.46999999999997</v>
      </c>
      <c r="H12" s="161">
        <f>'Purchased Power Model'!H132</f>
        <v>0.51</v>
      </c>
      <c r="I12" s="10">
        <v>31</v>
      </c>
      <c r="J12" s="10">
        <v>1</v>
      </c>
      <c r="K12" s="15">
        <v>352</v>
      </c>
      <c r="L12" s="10">
        <v>0</v>
      </c>
      <c r="M12" s="247">
        <v>38.1</v>
      </c>
      <c r="N12" s="15">
        <f>'CDM Activity '!H93</f>
        <v>785695.07164487429</v>
      </c>
      <c r="O12" s="15">
        <v>661.5</v>
      </c>
      <c r="P12" s="105">
        <v>139.02058153524823</v>
      </c>
      <c r="Q12" s="15">
        <f>Q11+(Q20-Q8)/12</f>
        <v>73110.375</v>
      </c>
      <c r="R12" s="10">
        <f t="shared" si="5"/>
        <v>145032787.59446326</v>
      </c>
      <c r="S12" s="48">
        <f t="shared" si="2"/>
        <v>-784392.65553674102</v>
      </c>
      <c r="T12" s="109">
        <f t="shared" si="3"/>
        <v>-6.4217192859717378E-3</v>
      </c>
      <c r="U12" s="13">
        <f t="shared" si="4"/>
        <v>6.4217192859717378E-3</v>
      </c>
      <c r="V12" s="13"/>
      <c r="W12" s="13"/>
      <c r="X12" s="34"/>
      <c r="Y12" s="34" t="s">
        <v>34</v>
      </c>
      <c r="Z12" s="34" t="s">
        <v>35</v>
      </c>
      <c r="AA12" s="34" t="s">
        <v>36</v>
      </c>
      <c r="AB12" s="34" t="s">
        <v>37</v>
      </c>
      <c r="AC12" s="34" t="s">
        <v>38</v>
      </c>
    </row>
    <row r="13" spans="1:29" x14ac:dyDescent="0.2">
      <c r="A13" s="49">
        <v>39782</v>
      </c>
      <c r="B13" s="15">
        <v>125038661</v>
      </c>
      <c r="C13" s="15">
        <f>'WMP pivot'!J42</f>
        <v>3298956.09</v>
      </c>
      <c r="D13" s="15">
        <f t="shared" si="0"/>
        <v>121739704.91</v>
      </c>
      <c r="E13" s="15">
        <v>24281150</v>
      </c>
      <c r="F13" s="15">
        <f t="shared" si="1"/>
        <v>146020854.91</v>
      </c>
      <c r="G13" s="161">
        <f>'Purchased Power Model'!G133</f>
        <v>439.9</v>
      </c>
      <c r="H13" s="161">
        <f>'Purchased Power Model'!H133</f>
        <v>0</v>
      </c>
      <c r="I13" s="10">
        <v>30</v>
      </c>
      <c r="J13" s="10">
        <v>1</v>
      </c>
      <c r="K13" s="15">
        <v>304</v>
      </c>
      <c r="L13" s="10">
        <v>0</v>
      </c>
      <c r="M13" s="247">
        <v>39.1</v>
      </c>
      <c r="N13" s="15">
        <f>'CDM Activity '!H94</f>
        <v>802663.03628256021</v>
      </c>
      <c r="O13" s="15">
        <v>664.7</v>
      </c>
      <c r="P13" s="105">
        <v>138.91588351478222</v>
      </c>
      <c r="Q13" s="15">
        <f>Q12+(Q20-Q8)/12</f>
        <v>73181.84375</v>
      </c>
      <c r="R13" s="10">
        <f t="shared" si="5"/>
        <v>141837568.61915186</v>
      </c>
      <c r="S13" s="48">
        <f t="shared" si="2"/>
        <v>-4183286.2908481359</v>
      </c>
      <c r="T13" s="109">
        <f t="shared" si="3"/>
        <v>-3.4362546664136941E-2</v>
      </c>
      <c r="U13" s="13">
        <f t="shared" si="4"/>
        <v>3.4362546664136941E-2</v>
      </c>
      <c r="V13" s="13"/>
      <c r="W13" s="13"/>
      <c r="X13" s="32" t="s">
        <v>31</v>
      </c>
      <c r="Y13" s="32">
        <v>7</v>
      </c>
      <c r="Z13" s="32">
        <v>9526379810408770</v>
      </c>
      <c r="AA13" s="32">
        <v>1360911401486967.2</v>
      </c>
      <c r="AB13" s="32">
        <v>96.28459174871881</v>
      </c>
      <c r="AC13" s="32">
        <v>2.1442788950125583E-44</v>
      </c>
    </row>
    <row r="14" spans="1:29" x14ac:dyDescent="0.2">
      <c r="A14" s="49">
        <v>39813</v>
      </c>
      <c r="B14" s="208">
        <v>128488680</v>
      </c>
      <c r="C14" s="15">
        <f>'WMP pivot'!J43</f>
        <v>3408623.5999999996</v>
      </c>
      <c r="D14" s="15">
        <f t="shared" si="0"/>
        <v>125080056.40000001</v>
      </c>
      <c r="E14" s="15">
        <v>26709210</v>
      </c>
      <c r="F14" s="15">
        <f t="shared" si="1"/>
        <v>151789266.40000001</v>
      </c>
      <c r="G14" s="161">
        <f>'Purchased Power Model'!G134</f>
        <v>640.46</v>
      </c>
      <c r="H14" s="161">
        <f>'Purchased Power Model'!H134</f>
        <v>0</v>
      </c>
      <c r="I14" s="10">
        <v>31</v>
      </c>
      <c r="J14" s="10">
        <v>0</v>
      </c>
      <c r="K14" s="15">
        <v>336</v>
      </c>
      <c r="L14" s="10">
        <v>0</v>
      </c>
      <c r="M14" s="247">
        <v>42.3</v>
      </c>
      <c r="N14" s="15">
        <f>'CDM Activity '!H95</f>
        <v>819631.00092024612</v>
      </c>
      <c r="O14" s="15">
        <v>662.1</v>
      </c>
      <c r="P14" s="105">
        <v>138.8112643436159</v>
      </c>
      <c r="Q14" s="15">
        <f>Q13+(Q20-Q8)/12</f>
        <v>73253.3125</v>
      </c>
      <c r="R14" s="10">
        <f t="shared" si="5"/>
        <v>154498662.55212507</v>
      </c>
      <c r="S14" s="48">
        <f t="shared" si="2"/>
        <v>2709396.1521250606</v>
      </c>
      <c r="T14" s="109">
        <f t="shared" si="3"/>
        <v>2.166129621384677E-2</v>
      </c>
      <c r="U14" s="13">
        <f t="shared" si="4"/>
        <v>2.166129621384677E-2</v>
      </c>
      <c r="V14" s="13"/>
      <c r="W14" s="13"/>
      <c r="X14" s="32" t="s">
        <v>32</v>
      </c>
      <c r="Y14" s="32">
        <v>112</v>
      </c>
      <c r="Z14" s="32">
        <v>1583037059183132.5</v>
      </c>
      <c r="AA14" s="32">
        <v>14134259456992.254</v>
      </c>
      <c r="AB14" s="32"/>
      <c r="AC14" s="32"/>
    </row>
    <row r="15" spans="1:29" ht="13.5" thickBot="1" x14ac:dyDescent="0.25">
      <c r="A15" s="49">
        <v>39844</v>
      </c>
      <c r="B15" s="209">
        <v>132884999</v>
      </c>
      <c r="C15" s="15">
        <f>'WMP pivot'!J45</f>
        <v>3299592.35</v>
      </c>
      <c r="D15" s="15">
        <f t="shared" si="0"/>
        <v>129585406.65000001</v>
      </c>
      <c r="E15" s="15">
        <v>27929332</v>
      </c>
      <c r="F15" s="15">
        <f t="shared" si="1"/>
        <v>157514738.65000001</v>
      </c>
      <c r="G15" s="105">
        <f>G3</f>
        <v>738.59000000000015</v>
      </c>
      <c r="H15" s="105">
        <f>H3</f>
        <v>0</v>
      </c>
      <c r="I15" s="10">
        <v>31</v>
      </c>
      <c r="J15" s="10">
        <v>0</v>
      </c>
      <c r="K15" s="15">
        <v>336</v>
      </c>
      <c r="L15" s="10">
        <v>0</v>
      </c>
      <c r="M15" s="247">
        <v>48.1</v>
      </c>
      <c r="N15" s="15">
        <f>'CDM Activity '!H96</f>
        <v>873816.71082089655</v>
      </c>
      <c r="O15" s="15">
        <v>651.4</v>
      </c>
      <c r="P15" s="105">
        <v>138.43555825854429</v>
      </c>
      <c r="Q15" s="15">
        <f>Q14+(Q20-Q8)/12</f>
        <v>73324.78125</v>
      </c>
      <c r="R15" s="10">
        <f t="shared" si="5"/>
        <v>155420926.76794773</v>
      </c>
      <c r="S15" s="48">
        <f t="shared" si="2"/>
        <v>-2093811.8820522726</v>
      </c>
      <c r="T15" s="109">
        <f t="shared" si="3"/>
        <v>-1.6157775294154023E-2</v>
      </c>
      <c r="U15" s="13">
        <f t="shared" si="4"/>
        <v>1.6157775294154023E-2</v>
      </c>
      <c r="V15" s="13"/>
      <c r="W15" s="13"/>
      <c r="X15" s="33" t="s">
        <v>12</v>
      </c>
      <c r="Y15" s="33">
        <v>119</v>
      </c>
      <c r="Z15" s="33">
        <v>1.1109416869591902E+16</v>
      </c>
      <c r="AA15" s="33"/>
      <c r="AB15" s="33"/>
      <c r="AC15" s="33"/>
    </row>
    <row r="16" spans="1:29" ht="13.5" thickBot="1" x14ac:dyDescent="0.25">
      <c r="A16" s="49">
        <v>39872</v>
      </c>
      <c r="B16" s="209">
        <v>117645114</v>
      </c>
      <c r="C16" s="15">
        <f>'WMP pivot'!J46</f>
        <v>3032789.34</v>
      </c>
      <c r="D16" s="15">
        <f t="shared" si="0"/>
        <v>114612324.66</v>
      </c>
      <c r="E16" s="15">
        <v>23550989</v>
      </c>
      <c r="F16" s="15">
        <f t="shared" si="1"/>
        <v>138163313.66</v>
      </c>
      <c r="G16" s="105">
        <f t="shared" ref="G16:H16" si="6">G4</f>
        <v>671.5200000000001</v>
      </c>
      <c r="H16" s="105">
        <f t="shared" si="6"/>
        <v>0</v>
      </c>
      <c r="I16" s="10">
        <v>29</v>
      </c>
      <c r="J16" s="10">
        <v>0</v>
      </c>
      <c r="K16" s="15">
        <v>304</v>
      </c>
      <c r="L16" s="10">
        <v>0</v>
      </c>
      <c r="M16" s="247">
        <v>56.2</v>
      </c>
      <c r="N16" s="15">
        <f>'CDM Activity '!H97</f>
        <v>928002.42072154698</v>
      </c>
      <c r="O16" s="15">
        <v>639.4</v>
      </c>
      <c r="P16" s="105">
        <v>138.06086905825526</v>
      </c>
      <c r="Q16" s="15">
        <f>Q15+(Q20-Q8)/12</f>
        <v>73396.25</v>
      </c>
      <c r="R16" s="10">
        <f t="shared" si="5"/>
        <v>144292372.48520184</v>
      </c>
      <c r="S16" s="48">
        <f t="shared" si="2"/>
        <v>6129058.8252018392</v>
      </c>
      <c r="T16" s="109">
        <f t="shared" si="3"/>
        <v>5.3476437576707635E-2</v>
      </c>
      <c r="U16" s="13">
        <f t="shared" si="4"/>
        <v>5.3476437576707635E-2</v>
      </c>
      <c r="V16" s="13"/>
      <c r="W16" s="13"/>
    </row>
    <row r="17" spans="1:30" x14ac:dyDescent="0.2">
      <c r="A17" s="49">
        <v>39903</v>
      </c>
      <c r="B17" s="209">
        <v>124919264</v>
      </c>
      <c r="C17" s="15">
        <f>'WMP pivot'!J47</f>
        <v>3437259.72</v>
      </c>
      <c r="D17" s="15">
        <f t="shared" si="0"/>
        <v>121482004.28</v>
      </c>
      <c r="E17" s="15">
        <v>24570961</v>
      </c>
      <c r="F17" s="15">
        <f t="shared" si="1"/>
        <v>146052965.28</v>
      </c>
      <c r="G17" s="105">
        <f t="shared" ref="G17:H17" si="7">G5</f>
        <v>569.22</v>
      </c>
      <c r="H17" s="105">
        <f t="shared" si="7"/>
        <v>0</v>
      </c>
      <c r="I17" s="10">
        <v>31</v>
      </c>
      <c r="J17" s="10">
        <v>1</v>
      </c>
      <c r="K17" s="15">
        <v>352</v>
      </c>
      <c r="L17" s="10">
        <v>0</v>
      </c>
      <c r="M17" s="247">
        <v>64.900000000000006</v>
      </c>
      <c r="N17" s="15">
        <f>'CDM Activity '!H98</f>
        <v>982188.13062219741</v>
      </c>
      <c r="O17" s="15">
        <v>627.6</v>
      </c>
      <c r="P17" s="105">
        <v>137.68719399045199</v>
      </c>
      <c r="Q17" s="15">
        <f>Q16+(Q20-Q8)/12</f>
        <v>73467.71875</v>
      </c>
      <c r="R17" s="10">
        <f t="shared" si="5"/>
        <v>145450795.1222598</v>
      </c>
      <c r="S17" s="48">
        <f t="shared" si="2"/>
        <v>-602170.15774020553</v>
      </c>
      <c r="T17" s="109">
        <f t="shared" si="3"/>
        <v>-4.9568671615944264E-3</v>
      </c>
      <c r="U17" s="13">
        <f t="shared" si="4"/>
        <v>4.9568671615944264E-3</v>
      </c>
      <c r="V17" s="13"/>
      <c r="W17" s="13"/>
      <c r="X17" s="34"/>
      <c r="Y17" s="34" t="s">
        <v>39</v>
      </c>
      <c r="Z17" s="34" t="s">
        <v>28</v>
      </c>
      <c r="AA17" s="34" t="s">
        <v>40</v>
      </c>
      <c r="AB17" s="34" t="s">
        <v>41</v>
      </c>
      <c r="AC17" s="34" t="s">
        <v>42</v>
      </c>
      <c r="AD17" s="34" t="s">
        <v>43</v>
      </c>
    </row>
    <row r="18" spans="1:30" x14ac:dyDescent="0.2">
      <c r="A18" s="49">
        <v>39933</v>
      </c>
      <c r="B18" s="209">
        <v>113413654</v>
      </c>
      <c r="C18" s="15">
        <f>'WMP pivot'!J48</f>
        <v>3339172.76</v>
      </c>
      <c r="D18" s="15">
        <f t="shared" si="0"/>
        <v>110074481.23999999</v>
      </c>
      <c r="E18" s="15">
        <v>21637635</v>
      </c>
      <c r="F18" s="15">
        <f t="shared" si="1"/>
        <v>131712116.23999999</v>
      </c>
      <c r="G18" s="105">
        <f t="shared" ref="G18:H18" si="8">G6</f>
        <v>337.61</v>
      </c>
      <c r="H18" s="105">
        <f t="shared" si="8"/>
        <v>0.32</v>
      </c>
      <c r="I18" s="10">
        <v>30</v>
      </c>
      <c r="J18" s="10">
        <v>1</v>
      </c>
      <c r="K18" s="15">
        <v>320</v>
      </c>
      <c r="L18" s="10">
        <v>0</v>
      </c>
      <c r="M18" s="247">
        <v>70.3</v>
      </c>
      <c r="N18" s="15">
        <f>'CDM Activity '!H99</f>
        <v>1036373.8405228478</v>
      </c>
      <c r="O18" s="15">
        <v>623.9</v>
      </c>
      <c r="P18" s="105">
        <v>137.31453031028698</v>
      </c>
      <c r="Q18" s="15">
        <f>Q17+(Q20-Q8)/12</f>
        <v>73539.1875</v>
      </c>
      <c r="R18" s="10">
        <f t="shared" si="5"/>
        <v>133590328.47893576</v>
      </c>
      <c r="S18" s="48">
        <f t="shared" si="2"/>
        <v>1878212.2389357686</v>
      </c>
      <c r="T18" s="109">
        <f t="shared" si="3"/>
        <v>1.7063103253156596E-2</v>
      </c>
      <c r="U18" s="13">
        <f t="shared" si="4"/>
        <v>1.7063103253156596E-2</v>
      </c>
      <c r="V18" s="13"/>
      <c r="W18" s="13"/>
      <c r="X18" s="32" t="s">
        <v>33</v>
      </c>
      <c r="Y18" s="107">
        <v>45487348.844898514</v>
      </c>
      <c r="Z18" s="107">
        <v>13720103.017323812</v>
      </c>
      <c r="AA18" s="106">
        <v>3.3153795410620095</v>
      </c>
      <c r="AB18" s="32">
        <v>1.2338773505066584E-3</v>
      </c>
      <c r="AC18" s="107">
        <v>18302723.42917379</v>
      </c>
      <c r="AD18" s="107">
        <v>72671974.260623246</v>
      </c>
    </row>
    <row r="19" spans="1:30" x14ac:dyDescent="0.2">
      <c r="A19" s="49">
        <v>39964</v>
      </c>
      <c r="B19" s="209">
        <v>110681364</v>
      </c>
      <c r="C19" s="15">
        <f>'WMP pivot'!J49</f>
        <v>3596571.1</v>
      </c>
      <c r="D19" s="15">
        <f t="shared" si="0"/>
        <v>107084792.90000001</v>
      </c>
      <c r="E19" s="15">
        <v>20988913</v>
      </c>
      <c r="F19" s="15">
        <f t="shared" si="1"/>
        <v>128073705.90000001</v>
      </c>
      <c r="G19" s="105">
        <f t="shared" ref="G19:H19" si="9">G7</f>
        <v>162.60999999999996</v>
      </c>
      <c r="H19" s="105">
        <f t="shared" si="9"/>
        <v>13.16</v>
      </c>
      <c r="I19" s="10">
        <v>31</v>
      </c>
      <c r="J19" s="10">
        <v>1</v>
      </c>
      <c r="K19" s="15">
        <v>320</v>
      </c>
      <c r="L19" s="10">
        <v>0</v>
      </c>
      <c r="M19" s="247">
        <v>71.099999999999994</v>
      </c>
      <c r="N19" s="15">
        <f>'CDM Activity '!H100</f>
        <v>1090559.5504234983</v>
      </c>
      <c r="O19" s="15">
        <v>622.70000000000005</v>
      </c>
      <c r="P19" s="105">
        <v>136.94287528034204</v>
      </c>
      <c r="Q19" s="15">
        <f>Q18+(Q20-Q8)/12</f>
        <v>73610.65625</v>
      </c>
      <c r="R19" s="10">
        <f t="shared" si="5"/>
        <v>135571655.07291552</v>
      </c>
      <c r="S19" s="48">
        <f t="shared" si="2"/>
        <v>7497949.1729155183</v>
      </c>
      <c r="T19" s="109">
        <f t="shared" si="3"/>
        <v>7.0018804443291949E-2</v>
      </c>
      <c r="U19" s="13">
        <f t="shared" si="4"/>
        <v>7.0018804443291949E-2</v>
      </c>
      <c r="V19" s="13"/>
      <c r="W19" s="13"/>
      <c r="X19" s="32" t="s">
        <v>4</v>
      </c>
      <c r="Y19" s="107">
        <v>23397.19384672548</v>
      </c>
      <c r="Z19" s="107">
        <v>2037.728622629978</v>
      </c>
      <c r="AA19" s="106">
        <v>11.481996958225027</v>
      </c>
      <c r="AB19" s="32">
        <v>1.2173619465091443E-20</v>
      </c>
      <c r="AC19" s="107">
        <v>19359.69578747973</v>
      </c>
      <c r="AD19" s="107">
        <v>27434.691905971231</v>
      </c>
    </row>
    <row r="20" spans="1:30" x14ac:dyDescent="0.2">
      <c r="A20" s="49">
        <v>39994</v>
      </c>
      <c r="B20" s="209">
        <v>118125725</v>
      </c>
      <c r="C20" s="15">
        <f>'WMP pivot'!J50</f>
        <v>3622214.02</v>
      </c>
      <c r="D20" s="15">
        <f t="shared" si="0"/>
        <v>114503510.98</v>
      </c>
      <c r="E20" s="15">
        <v>22361049</v>
      </c>
      <c r="F20" s="15">
        <f t="shared" si="1"/>
        <v>136864559.98000002</v>
      </c>
      <c r="G20" s="105">
        <f t="shared" ref="G20:H20" si="10">G8</f>
        <v>47.94</v>
      </c>
      <c r="H20" s="105">
        <f t="shared" si="10"/>
        <v>35.67</v>
      </c>
      <c r="I20" s="10">
        <v>30</v>
      </c>
      <c r="J20" s="10">
        <v>0</v>
      </c>
      <c r="K20" s="15">
        <v>352</v>
      </c>
      <c r="L20" s="10">
        <v>0</v>
      </c>
      <c r="M20" s="247">
        <v>67.400000000000006</v>
      </c>
      <c r="N20" s="15">
        <f>'CDM Activity '!H101</f>
        <v>1144745.2603241487</v>
      </c>
      <c r="O20" s="15">
        <v>632.1</v>
      </c>
      <c r="P20" s="105">
        <v>136.57222617060793</v>
      </c>
      <c r="Q20" s="15">
        <f>'Rate Class Customer Model'!S12</f>
        <v>73682.125</v>
      </c>
      <c r="R20" s="10">
        <f t="shared" si="5"/>
        <v>144536918.73632208</v>
      </c>
      <c r="S20" s="48">
        <f t="shared" si="2"/>
        <v>7672358.7563220561</v>
      </c>
      <c r="T20" s="109">
        <f t="shared" si="3"/>
        <v>6.7005445428325469E-2</v>
      </c>
      <c r="U20" s="13">
        <f t="shared" si="4"/>
        <v>6.7005445428325469E-2</v>
      </c>
      <c r="V20" s="13"/>
      <c r="W20" s="13"/>
      <c r="X20" s="32" t="s">
        <v>5</v>
      </c>
      <c r="Y20" s="107">
        <v>302470.60358566686</v>
      </c>
      <c r="Z20" s="107">
        <v>20878.203703269708</v>
      </c>
      <c r="AA20" s="106">
        <v>14.48738636161009</v>
      </c>
      <c r="AB20" s="32">
        <v>1.9598707119443907E-27</v>
      </c>
      <c r="AC20" s="107">
        <v>261103.11922276221</v>
      </c>
      <c r="AD20" s="107">
        <v>343838.08794857154</v>
      </c>
    </row>
    <row r="21" spans="1:30" x14ac:dyDescent="0.2">
      <c r="A21" s="49">
        <v>40025</v>
      </c>
      <c r="B21" s="209">
        <v>117925787</v>
      </c>
      <c r="C21" s="15">
        <f>'WMP pivot'!J51</f>
        <v>3752601.88</v>
      </c>
      <c r="D21" s="15">
        <f t="shared" si="0"/>
        <v>114173185.12</v>
      </c>
      <c r="E21" s="15">
        <v>23002366</v>
      </c>
      <c r="F21" s="15">
        <f t="shared" si="1"/>
        <v>137175551.12</v>
      </c>
      <c r="G21" s="105">
        <f t="shared" ref="G21:H21" si="11">G9</f>
        <v>13.190000000000001</v>
      </c>
      <c r="H21" s="105">
        <f t="shared" si="11"/>
        <v>77.03</v>
      </c>
      <c r="I21" s="10">
        <v>31</v>
      </c>
      <c r="J21" s="10">
        <v>0</v>
      </c>
      <c r="K21" s="15">
        <v>352</v>
      </c>
      <c r="L21" s="10">
        <v>0</v>
      </c>
      <c r="M21" s="247">
        <v>67.599999999999994</v>
      </c>
      <c r="N21" s="15">
        <f>'CDM Activity '!H102</f>
        <v>1198930.9702247991</v>
      </c>
      <c r="O21" s="15">
        <v>637.9</v>
      </c>
      <c r="P21" s="105">
        <v>136.20258025846454</v>
      </c>
      <c r="Q21" s="15">
        <f>Q20+(Q32-Q20)/12</f>
        <v>73790.80472083333</v>
      </c>
      <c r="R21" s="10">
        <f t="shared" si="5"/>
        <v>158568270.52808797</v>
      </c>
      <c r="S21" s="48">
        <f t="shared" si="2"/>
        <v>21392719.408087969</v>
      </c>
      <c r="T21" s="109">
        <f t="shared" si="3"/>
        <v>0.18737078575502183</v>
      </c>
      <c r="U21" s="13">
        <f t="shared" si="4"/>
        <v>0.18737078575502183</v>
      </c>
      <c r="V21" s="13"/>
      <c r="W21" s="13"/>
      <c r="X21" s="32" t="s">
        <v>6</v>
      </c>
      <c r="Y21" s="107">
        <v>2381589.1624762681</v>
      </c>
      <c r="Z21" s="107">
        <v>492293.55703333713</v>
      </c>
      <c r="AA21" s="106">
        <v>4.837741888860414</v>
      </c>
      <c r="AB21" s="32">
        <v>4.2244834228083872E-6</v>
      </c>
      <c r="AC21" s="107">
        <v>1406172.5839252141</v>
      </c>
      <c r="AD21" s="107">
        <v>3357005.7410273221</v>
      </c>
    </row>
    <row r="22" spans="1:30" x14ac:dyDescent="0.2">
      <c r="A22" s="49">
        <v>40056</v>
      </c>
      <c r="B22" s="209">
        <v>129756657</v>
      </c>
      <c r="C22" s="15">
        <f>'WMP pivot'!J52</f>
        <v>3840622.17</v>
      </c>
      <c r="D22" s="15">
        <f t="shared" si="0"/>
        <v>125916034.83</v>
      </c>
      <c r="E22" s="15">
        <v>25799177</v>
      </c>
      <c r="F22" s="15">
        <f t="shared" si="1"/>
        <v>151715211.82999998</v>
      </c>
      <c r="G22" s="105">
        <f t="shared" ref="G22:H22" si="12">G10</f>
        <v>23.65</v>
      </c>
      <c r="H22" s="105">
        <f t="shared" si="12"/>
        <v>52.65</v>
      </c>
      <c r="I22" s="10">
        <v>31</v>
      </c>
      <c r="J22" s="10">
        <v>0</v>
      </c>
      <c r="K22" s="15">
        <v>320</v>
      </c>
      <c r="L22" s="10">
        <v>0</v>
      </c>
      <c r="M22" s="247">
        <v>69.2</v>
      </c>
      <c r="N22" s="15">
        <f>'CDM Activity '!H103</f>
        <v>1253116.6801254496</v>
      </c>
      <c r="O22" s="15">
        <v>643</v>
      </c>
      <c r="P22" s="105">
        <v>135.83393482866074</v>
      </c>
      <c r="Q22" s="15">
        <f>Q21+(Q32-Q20)/12</f>
        <v>73899.48444166666</v>
      </c>
      <c r="R22" s="10">
        <f t="shared" si="5"/>
        <v>148182139.78110874</v>
      </c>
      <c r="S22" s="48">
        <f t="shared" si="2"/>
        <v>-3533072.0488912463</v>
      </c>
      <c r="T22" s="109">
        <f t="shared" si="3"/>
        <v>-2.8058952568362466E-2</v>
      </c>
      <c r="U22" s="13">
        <f t="shared" si="4"/>
        <v>2.8058952568362466E-2</v>
      </c>
      <c r="V22" s="13"/>
      <c r="W22" s="13"/>
      <c r="X22" s="32" t="s">
        <v>22</v>
      </c>
      <c r="Y22" s="107">
        <v>-3467188.6655573477</v>
      </c>
      <c r="Z22" s="107">
        <v>867916.5176322551</v>
      </c>
      <c r="AA22" s="106">
        <v>-3.99484120317944</v>
      </c>
      <c r="AB22" s="32">
        <v>1.1617958150179062E-4</v>
      </c>
      <c r="AC22" s="107">
        <v>-5186853.9912594901</v>
      </c>
      <c r="AD22" s="107">
        <v>-1747523.3398552055</v>
      </c>
    </row>
    <row r="23" spans="1:30" x14ac:dyDescent="0.2">
      <c r="A23" s="49">
        <v>40086</v>
      </c>
      <c r="B23" s="209">
        <v>117720372</v>
      </c>
      <c r="C23" s="15">
        <f>'WMP pivot'!J53</f>
        <v>3570926.62</v>
      </c>
      <c r="D23" s="15">
        <f t="shared" si="0"/>
        <v>114149445.38</v>
      </c>
      <c r="E23" s="15">
        <v>23063555</v>
      </c>
      <c r="F23" s="15">
        <f t="shared" si="1"/>
        <v>137213000.38</v>
      </c>
      <c r="G23" s="105">
        <f t="shared" ref="G23:H23" si="13">G11</f>
        <v>96.9</v>
      </c>
      <c r="H23" s="105">
        <f t="shared" si="13"/>
        <v>20.790000000000003</v>
      </c>
      <c r="I23" s="10">
        <v>30</v>
      </c>
      <c r="J23" s="10">
        <v>1</v>
      </c>
      <c r="K23" s="15">
        <v>336</v>
      </c>
      <c r="L23" s="10">
        <v>0</v>
      </c>
      <c r="M23" s="247">
        <v>66.3</v>
      </c>
      <c r="N23" s="15">
        <f>'CDM Activity '!H104</f>
        <v>1307302.3900261</v>
      </c>
      <c r="O23" s="15">
        <v>643.29999999999995</v>
      </c>
      <c r="P23" s="105">
        <v>135.46628717329455</v>
      </c>
      <c r="Q23" s="15">
        <f>Q22+(Q32-Q20)/12</f>
        <v>74008.16416249999</v>
      </c>
      <c r="R23" s="10">
        <f t="shared" si="5"/>
        <v>136536184.02452582</v>
      </c>
      <c r="S23" s="48">
        <f t="shared" si="2"/>
        <v>-676816.35547417402</v>
      </c>
      <c r="T23" s="109">
        <f t="shared" si="3"/>
        <v>-5.9292128246534459E-3</v>
      </c>
      <c r="U23" s="13">
        <f t="shared" si="4"/>
        <v>5.9292128246534459E-3</v>
      </c>
      <c r="V23" s="13"/>
      <c r="W23" s="13"/>
      <c r="X23" s="32" t="s">
        <v>7</v>
      </c>
      <c r="Y23" s="107">
        <v>89927.490264949054</v>
      </c>
      <c r="Z23" s="107">
        <v>22836.34766668882</v>
      </c>
      <c r="AA23" s="106">
        <v>3.9379103689214494</v>
      </c>
      <c r="AB23" s="32">
        <v>1.4321039904137425E-4</v>
      </c>
      <c r="AC23" s="107">
        <v>44680.194643455594</v>
      </c>
      <c r="AD23" s="107">
        <v>135174.78588644252</v>
      </c>
    </row>
    <row r="24" spans="1:30" x14ac:dyDescent="0.2">
      <c r="A24" s="49">
        <v>40117</v>
      </c>
      <c r="B24" s="209">
        <v>119665804</v>
      </c>
      <c r="C24" s="15">
        <f>'WMP pivot'!J54</f>
        <v>3490030.3499999996</v>
      </c>
      <c r="D24" s="15">
        <f t="shared" si="0"/>
        <v>116175773.65000001</v>
      </c>
      <c r="E24" s="15">
        <v>23127451</v>
      </c>
      <c r="F24" s="15">
        <f t="shared" si="1"/>
        <v>139303224.65000001</v>
      </c>
      <c r="G24" s="105">
        <f t="shared" ref="G24:H24" si="14">G12</f>
        <v>273.46999999999997</v>
      </c>
      <c r="H24" s="105">
        <f t="shared" si="14"/>
        <v>0.51</v>
      </c>
      <c r="I24" s="10">
        <v>31</v>
      </c>
      <c r="J24" s="10">
        <v>1</v>
      </c>
      <c r="K24" s="15">
        <v>336</v>
      </c>
      <c r="L24" s="10">
        <v>0</v>
      </c>
      <c r="M24" s="247">
        <v>61</v>
      </c>
      <c r="N24" s="15">
        <f>'CDM Activity '!H105</f>
        <v>1361488.0999267504</v>
      </c>
      <c r="O24" s="15">
        <v>644.9</v>
      </c>
      <c r="P24" s="105">
        <v>135.09963459179312</v>
      </c>
      <c r="Q24" s="15">
        <f>Q23+(Q32-Q20)/12</f>
        <v>74116.84388333332</v>
      </c>
      <c r="R24" s="10">
        <f t="shared" si="5"/>
        <v>138170191.6580579</v>
      </c>
      <c r="S24" s="48">
        <f t="shared" si="2"/>
        <v>-1133032.9919421077</v>
      </c>
      <c r="T24" s="109">
        <f t="shared" si="3"/>
        <v>-9.752747550927178E-3</v>
      </c>
      <c r="U24" s="13">
        <f t="shared" si="4"/>
        <v>9.752747550927178E-3</v>
      </c>
      <c r="V24" s="13"/>
      <c r="W24" s="13"/>
      <c r="X24" s="32" t="s">
        <v>190</v>
      </c>
      <c r="Y24" s="107">
        <v>-9938327.1758653913</v>
      </c>
      <c r="Z24" s="229">
        <v>941688.81560665939</v>
      </c>
      <c r="AA24" s="106">
        <v>-10.553727527774527</v>
      </c>
      <c r="AB24" s="32">
        <v>1.7113157657986034E-18</v>
      </c>
      <c r="AC24" s="229">
        <v>-11804162.853492673</v>
      </c>
      <c r="AD24" s="229">
        <v>-8072491.4982381081</v>
      </c>
    </row>
    <row r="25" spans="1:30" ht="13.5" thickBot="1" x14ac:dyDescent="0.25">
      <c r="A25" s="49">
        <v>40147</v>
      </c>
      <c r="B25" s="209">
        <v>119039063</v>
      </c>
      <c r="C25" s="15">
        <f>'WMP pivot'!J55</f>
        <v>3367917.95</v>
      </c>
      <c r="D25" s="15">
        <f t="shared" si="0"/>
        <v>115671145.05</v>
      </c>
      <c r="E25" s="15">
        <v>23082942</v>
      </c>
      <c r="F25" s="15">
        <f t="shared" si="1"/>
        <v>138754087.05000001</v>
      </c>
      <c r="G25" s="105">
        <f t="shared" ref="G25:H25" si="15">G13</f>
        <v>439.9</v>
      </c>
      <c r="H25" s="105">
        <f t="shared" si="15"/>
        <v>0</v>
      </c>
      <c r="I25" s="10">
        <v>30</v>
      </c>
      <c r="J25" s="10">
        <v>1</v>
      </c>
      <c r="K25" s="15">
        <v>320</v>
      </c>
      <c r="L25" s="10">
        <v>0</v>
      </c>
      <c r="M25" s="247">
        <v>55.2</v>
      </c>
      <c r="N25" s="15">
        <f>'CDM Activity '!H106</f>
        <v>1415673.8098274008</v>
      </c>
      <c r="O25" s="15">
        <v>642.20000000000005</v>
      </c>
      <c r="P25" s="105">
        <v>134.733974390893</v>
      </c>
      <c r="Q25" s="15">
        <f>Q24+(Q32-Q20)/12</f>
        <v>74225.52360416665</v>
      </c>
      <c r="R25" s="10">
        <f t="shared" si="5"/>
        <v>139463200.03178075</v>
      </c>
      <c r="S25" s="48">
        <f t="shared" si="2"/>
        <v>709112.98178073764</v>
      </c>
      <c r="T25" s="109">
        <f t="shared" si="3"/>
        <v>6.1304224270816764E-3</v>
      </c>
      <c r="U25" s="13">
        <f t="shared" si="4"/>
        <v>6.1304224270816764E-3</v>
      </c>
      <c r="V25" s="13"/>
      <c r="W25" s="13"/>
      <c r="X25" s="33" t="s">
        <v>109</v>
      </c>
      <c r="Y25" s="156">
        <v>-236845.24419939605</v>
      </c>
      <c r="Z25" s="156">
        <v>41730.539492950833</v>
      </c>
      <c r="AA25" s="108">
        <v>-5.6755854843286704</v>
      </c>
      <c r="AB25" s="33">
        <v>1.1004265454078023E-7</v>
      </c>
      <c r="AC25" s="156">
        <v>-319528.95897031127</v>
      </c>
      <c r="AD25" s="156">
        <v>-154161.52942848083</v>
      </c>
    </row>
    <row r="26" spans="1:30" x14ac:dyDescent="0.2">
      <c r="A26" s="49">
        <v>40178</v>
      </c>
      <c r="B26" s="209">
        <v>128577043</v>
      </c>
      <c r="C26" s="15">
        <f>'WMP pivot'!J56</f>
        <v>3361528.42</v>
      </c>
      <c r="D26" s="15">
        <f t="shared" si="0"/>
        <v>125215514.58</v>
      </c>
      <c r="E26" s="15">
        <v>25929754</v>
      </c>
      <c r="F26" s="15">
        <f t="shared" si="1"/>
        <v>151145268.57999998</v>
      </c>
      <c r="G26" s="105">
        <f t="shared" ref="G26:H26" si="16">G14</f>
        <v>640.46</v>
      </c>
      <c r="H26" s="105">
        <f t="shared" si="16"/>
        <v>0</v>
      </c>
      <c r="I26" s="10">
        <v>31</v>
      </c>
      <c r="J26" s="10">
        <v>0</v>
      </c>
      <c r="K26" s="15">
        <v>352</v>
      </c>
      <c r="L26" s="10">
        <v>0</v>
      </c>
      <c r="M26" s="247">
        <v>56</v>
      </c>
      <c r="N26" s="15">
        <f>'CDM Activity '!H107</f>
        <v>1469859.5197280513</v>
      </c>
      <c r="O26" s="15">
        <v>639.1</v>
      </c>
      <c r="P26" s="105">
        <v>134.36930388462019</v>
      </c>
      <c r="Q26" s="15">
        <f>Q25+(Q32-Q20)/12</f>
        <v>74334.20332499998</v>
      </c>
      <c r="R26" s="10">
        <f t="shared" si="5"/>
        <v>152692722.55083251</v>
      </c>
      <c r="S26" s="48">
        <f t="shared" si="2"/>
        <v>1547453.9708325267</v>
      </c>
      <c r="T26" s="109">
        <f t="shared" si="3"/>
        <v>1.2358324573620313E-2</v>
      </c>
      <c r="U26" s="13">
        <f t="shared" si="4"/>
        <v>1.2358324573620313E-2</v>
      </c>
      <c r="V26" s="13"/>
      <c r="W26" s="13"/>
    </row>
    <row r="27" spans="1:30" x14ac:dyDescent="0.2">
      <c r="A27" s="49">
        <v>40209</v>
      </c>
      <c r="B27" s="209">
        <v>134104887</v>
      </c>
      <c r="C27" s="15">
        <f>'WMP pivot'!J58</f>
        <v>3347485.61</v>
      </c>
      <c r="D27" s="15">
        <f t="shared" si="0"/>
        <v>130757401.39</v>
      </c>
      <c r="E27" s="15">
        <v>26725070.669912308</v>
      </c>
      <c r="F27" s="15">
        <f t="shared" si="1"/>
        <v>157482472.05991232</v>
      </c>
      <c r="G27" s="105">
        <f t="shared" ref="G27:H27" si="17">G15</f>
        <v>738.59000000000015</v>
      </c>
      <c r="H27" s="105">
        <f t="shared" si="17"/>
        <v>0</v>
      </c>
      <c r="I27" s="10">
        <v>31</v>
      </c>
      <c r="J27" s="10">
        <v>0</v>
      </c>
      <c r="K27" s="15">
        <v>320</v>
      </c>
      <c r="L27" s="10">
        <v>0</v>
      </c>
      <c r="M27" s="247">
        <v>59.6</v>
      </c>
      <c r="N27" s="15">
        <f>'CDM Activity '!H108</f>
        <v>1495424.7349871038</v>
      </c>
      <c r="O27" s="15">
        <v>633.6</v>
      </c>
      <c r="P27" s="105">
        <v>134.73334561620703</v>
      </c>
      <c r="Q27" s="15">
        <f>Q26+($Q$32-$Q$20)/12</f>
        <v>74442.88304583331</v>
      </c>
      <c r="R27" s="10">
        <f t="shared" si="5"/>
        <v>151258366.61541548</v>
      </c>
      <c r="S27" s="48">
        <f t="shared" si="2"/>
        <v>-6224105.4444968402</v>
      </c>
      <c r="T27" s="109">
        <f t="shared" si="3"/>
        <v>-4.7600406388718923E-2</v>
      </c>
      <c r="U27" s="13">
        <f t="shared" si="4"/>
        <v>4.7600406388718923E-2</v>
      </c>
    </row>
    <row r="28" spans="1:30" x14ac:dyDescent="0.2">
      <c r="A28" s="49">
        <v>40237</v>
      </c>
      <c r="B28" s="25">
        <v>119717521</v>
      </c>
      <c r="C28" s="15">
        <f>'WMP pivot'!J59</f>
        <v>2989142.54</v>
      </c>
      <c r="D28" s="15">
        <f t="shared" si="0"/>
        <v>116728378.45999999</v>
      </c>
      <c r="E28" s="15">
        <v>23541639.521420304</v>
      </c>
      <c r="F28" s="15">
        <f t="shared" si="1"/>
        <v>140270017.98142031</v>
      </c>
      <c r="G28" s="105">
        <f t="shared" ref="G28:H28" si="18">G16</f>
        <v>671.5200000000001</v>
      </c>
      <c r="H28" s="105">
        <f t="shared" si="18"/>
        <v>0</v>
      </c>
      <c r="I28" s="10">
        <v>28</v>
      </c>
      <c r="J28" s="10">
        <v>0</v>
      </c>
      <c r="K28" s="15">
        <v>304</v>
      </c>
      <c r="L28" s="10">
        <v>0</v>
      </c>
      <c r="M28" s="247">
        <v>64.7</v>
      </c>
      <c r="N28" s="15">
        <f>'CDM Activity '!H109</f>
        <v>1520989.9502461564</v>
      </c>
      <c r="O28" s="15">
        <v>630.5</v>
      </c>
      <c r="P28" s="105">
        <v>135.09837363244745</v>
      </c>
      <c r="Q28" s="15">
        <f>Q27+($Q$32-$Q$20)/12</f>
        <v>74551.562766666641</v>
      </c>
      <c r="R28" s="10">
        <f t="shared" si="5"/>
        <v>139897598.74703071</v>
      </c>
      <c r="S28" s="48">
        <f t="shared" si="2"/>
        <v>-372419.23438960314</v>
      </c>
      <c r="T28" s="109">
        <f t="shared" si="3"/>
        <v>-3.1904772370090128E-3</v>
      </c>
      <c r="U28" s="13">
        <f t="shared" si="4"/>
        <v>3.1904772370090128E-3</v>
      </c>
    </row>
    <row r="29" spans="1:30" x14ac:dyDescent="0.2">
      <c r="A29" s="49">
        <v>40268</v>
      </c>
      <c r="B29" s="25">
        <v>125455107</v>
      </c>
      <c r="C29" s="15">
        <f>'WMP pivot'!J60</f>
        <v>3370604.0700000003</v>
      </c>
      <c r="D29" s="15">
        <f t="shared" si="0"/>
        <v>122084502.93000001</v>
      </c>
      <c r="E29" s="15">
        <v>23601051.190171484</v>
      </c>
      <c r="F29" s="15">
        <f t="shared" si="1"/>
        <v>145685554.12017149</v>
      </c>
      <c r="G29" s="105">
        <f t="shared" ref="G29:H29" si="19">G17</f>
        <v>569.22</v>
      </c>
      <c r="H29" s="105">
        <f t="shared" si="19"/>
        <v>0</v>
      </c>
      <c r="I29" s="10">
        <v>31</v>
      </c>
      <c r="J29" s="10">
        <v>1</v>
      </c>
      <c r="K29" s="15">
        <v>368</v>
      </c>
      <c r="L29" s="10">
        <v>0</v>
      </c>
      <c r="M29" s="247">
        <v>68.2</v>
      </c>
      <c r="N29" s="15">
        <f>'CDM Activity '!H110</f>
        <v>1546555.165505209</v>
      </c>
      <c r="O29" s="15">
        <v>627.5</v>
      </c>
      <c r="P29" s="105">
        <v>135.46439060544563</v>
      </c>
      <c r="Q29" s="15">
        <f>Q28+($Q$32-$Q$20)/12</f>
        <v>74660.242487499971</v>
      </c>
      <c r="R29" s="10">
        <f t="shared" si="5"/>
        <v>146108045.66064098</v>
      </c>
      <c r="S29" s="48">
        <f t="shared" si="2"/>
        <v>422491.54046949744</v>
      </c>
      <c r="T29" s="109">
        <f t="shared" si="3"/>
        <v>3.4606484060613557E-3</v>
      </c>
      <c r="U29" s="13">
        <f t="shared" si="4"/>
        <v>3.4606484060613557E-3</v>
      </c>
    </row>
    <row r="30" spans="1:30" x14ac:dyDescent="0.2">
      <c r="A30" s="49">
        <v>40298</v>
      </c>
      <c r="B30" s="25">
        <v>112822227</v>
      </c>
      <c r="C30" s="15">
        <f>'WMP pivot'!J61</f>
        <v>3395070.4299999997</v>
      </c>
      <c r="D30" s="15">
        <f t="shared" si="0"/>
        <v>109427156.56999999</v>
      </c>
      <c r="E30" s="15">
        <v>20493532.865168542</v>
      </c>
      <c r="F30" s="15">
        <f t="shared" si="1"/>
        <v>129920689.43516853</v>
      </c>
      <c r="G30" s="105">
        <f t="shared" ref="G30:H30" si="20">G18</f>
        <v>337.61</v>
      </c>
      <c r="H30" s="105">
        <f t="shared" si="20"/>
        <v>0.32</v>
      </c>
      <c r="I30" s="10">
        <v>30</v>
      </c>
      <c r="J30" s="10">
        <v>1</v>
      </c>
      <c r="K30" s="15">
        <v>320</v>
      </c>
      <c r="L30" s="10">
        <v>0</v>
      </c>
      <c r="M30" s="247">
        <v>66.8</v>
      </c>
      <c r="N30" s="15">
        <f>'CDM Activity '!H111</f>
        <v>1572120.3807642616</v>
      </c>
      <c r="O30" s="15">
        <v>631.6</v>
      </c>
      <c r="P30" s="105">
        <v>135.83139921454512</v>
      </c>
      <c r="Q30" s="15">
        <f>Q29+($Q$32-$Q$20)/12</f>
        <v>74768.922208333301</v>
      </c>
      <c r="R30" s="10">
        <f t="shared" si="5"/>
        <v>134419286.83363363</v>
      </c>
      <c r="S30" s="48">
        <f t="shared" si="2"/>
        <v>4498597.398465097</v>
      </c>
      <c r="T30" s="109">
        <f t="shared" si="3"/>
        <v>4.111042943519571E-2</v>
      </c>
      <c r="U30" s="13">
        <f t="shared" si="4"/>
        <v>4.111042943519571E-2</v>
      </c>
    </row>
    <row r="31" spans="1:30" x14ac:dyDescent="0.2">
      <c r="A31" s="49">
        <v>40329</v>
      </c>
      <c r="B31" s="25">
        <v>122392253</v>
      </c>
      <c r="C31" s="15">
        <f>'WMP pivot'!J62</f>
        <v>3628575.07</v>
      </c>
      <c r="D31" s="15">
        <f t="shared" si="0"/>
        <v>118763677.93000001</v>
      </c>
      <c r="E31" s="15">
        <v>22580250.205423173</v>
      </c>
      <c r="F31" s="15">
        <f t="shared" si="1"/>
        <v>141343928.13542318</v>
      </c>
      <c r="G31" s="105">
        <f t="shared" ref="G31:H31" si="21">G19</f>
        <v>162.60999999999996</v>
      </c>
      <c r="H31" s="105">
        <f t="shared" si="21"/>
        <v>13.16</v>
      </c>
      <c r="I31" s="10">
        <v>31</v>
      </c>
      <c r="J31" s="10">
        <v>1</v>
      </c>
      <c r="K31" s="15">
        <v>320</v>
      </c>
      <c r="L31" s="10">
        <v>0</v>
      </c>
      <c r="M31" s="247">
        <v>64.3</v>
      </c>
      <c r="N31" s="15">
        <f>'CDM Activity '!H112</f>
        <v>1597685.5960233142</v>
      </c>
      <c r="O31" s="15">
        <v>641.5</v>
      </c>
      <c r="P31" s="105">
        <v>136.19940214634852</v>
      </c>
      <c r="Q31" s="15">
        <f>Q30+($Q$32-$Q$20)/12</f>
        <v>74877.601929166631</v>
      </c>
      <c r="R31" s="10">
        <f t="shared" si="5"/>
        <v>137182202.73347142</v>
      </c>
      <c r="S31" s="48">
        <f t="shared" si="2"/>
        <v>-4161725.4019517601</v>
      </c>
      <c r="T31" s="109">
        <f t="shared" si="3"/>
        <v>-3.5042072412111595E-2</v>
      </c>
      <c r="U31" s="13">
        <f t="shared" si="4"/>
        <v>3.5042072412111595E-2</v>
      </c>
    </row>
    <row r="32" spans="1:30" x14ac:dyDescent="0.2">
      <c r="A32" s="49">
        <v>40359</v>
      </c>
      <c r="B32" s="25">
        <v>127582818</v>
      </c>
      <c r="C32" s="15">
        <f>'WMP pivot'!J63</f>
        <v>3761081.22</v>
      </c>
      <c r="D32" s="15">
        <f t="shared" si="0"/>
        <v>123821736.78</v>
      </c>
      <c r="E32" s="15">
        <v>23502731.549067315</v>
      </c>
      <c r="F32" s="15">
        <f t="shared" si="1"/>
        <v>147324468.32906732</v>
      </c>
      <c r="G32" s="105">
        <f t="shared" ref="G32:H32" si="22">G20</f>
        <v>47.94</v>
      </c>
      <c r="H32" s="105">
        <f t="shared" si="22"/>
        <v>35.67</v>
      </c>
      <c r="I32" s="10">
        <v>30</v>
      </c>
      <c r="J32" s="10">
        <v>0</v>
      </c>
      <c r="K32" s="15">
        <v>352</v>
      </c>
      <c r="L32" s="10">
        <v>0</v>
      </c>
      <c r="M32" s="247">
        <v>58.3</v>
      </c>
      <c r="N32" s="15">
        <f>'CDM Activity '!H113</f>
        <v>1623250.8112823667</v>
      </c>
      <c r="O32" s="15">
        <v>657.2</v>
      </c>
      <c r="P32" s="105">
        <v>136.56840209473719</v>
      </c>
      <c r="Q32" s="15">
        <f>'Rate Class Customer Model'!S13</f>
        <v>74986.28164999999</v>
      </c>
      <c r="R32" s="10">
        <f t="shared" si="5"/>
        <v>146692210.4585366</v>
      </c>
      <c r="S32" s="48">
        <f t="shared" si="2"/>
        <v>-632257.87053072453</v>
      </c>
      <c r="T32" s="109">
        <f t="shared" si="3"/>
        <v>-5.1061944935733485E-3</v>
      </c>
      <c r="U32" s="13">
        <f t="shared" si="4"/>
        <v>5.1061944935733485E-3</v>
      </c>
    </row>
    <row r="33" spans="1:21" customFormat="1" x14ac:dyDescent="0.2">
      <c r="A33" s="49">
        <v>40390</v>
      </c>
      <c r="B33" s="25">
        <v>140727870</v>
      </c>
      <c r="C33" s="15">
        <f>'WMP pivot'!J64</f>
        <v>4126395.21</v>
      </c>
      <c r="D33" s="15">
        <f t="shared" si="0"/>
        <v>136601474.78999999</v>
      </c>
      <c r="E33" s="15">
        <v>27078109.333333336</v>
      </c>
      <c r="F33" s="15">
        <f t="shared" si="1"/>
        <v>163679584.12333333</v>
      </c>
      <c r="G33" s="105">
        <f t="shared" ref="G33:H33" si="23">G21</f>
        <v>13.190000000000001</v>
      </c>
      <c r="H33" s="105">
        <f t="shared" si="23"/>
        <v>77.03</v>
      </c>
      <c r="I33" s="10">
        <v>31</v>
      </c>
      <c r="J33" s="10">
        <v>0</v>
      </c>
      <c r="K33" s="15">
        <v>336</v>
      </c>
      <c r="L33" s="10">
        <v>0</v>
      </c>
      <c r="M33" s="247">
        <v>57.5</v>
      </c>
      <c r="N33" s="15">
        <f>'CDM Activity '!H114</f>
        <v>1648816.0265414193</v>
      </c>
      <c r="O33" s="15">
        <v>669.8</v>
      </c>
      <c r="P33" s="105">
        <v>136.93840176089088</v>
      </c>
      <c r="Q33" s="15">
        <f t="shared" ref="Q33:Q43" si="24">Q32+($Q$44-$Q$32)/12</f>
        <v>75077.202001343016</v>
      </c>
      <c r="R33" s="10">
        <f t="shared" si="5"/>
        <v>159521567.65026268</v>
      </c>
      <c r="S33" s="48">
        <f t="shared" si="2"/>
        <v>-4158016.4730706513</v>
      </c>
      <c r="T33" s="109">
        <f t="shared" si="3"/>
        <v>-3.043903061414855E-2</v>
      </c>
      <c r="U33" s="13">
        <f t="shared" si="4"/>
        <v>3.043903061414855E-2</v>
      </c>
    </row>
    <row r="34" spans="1:21" customFormat="1" x14ac:dyDescent="0.2">
      <c r="A34" s="49">
        <v>40421</v>
      </c>
      <c r="B34" s="25">
        <v>139365541</v>
      </c>
      <c r="C34" s="15">
        <f>'WMP pivot'!J65</f>
        <v>4052555.84</v>
      </c>
      <c r="D34" s="15">
        <f t="shared" si="0"/>
        <v>135312985.16</v>
      </c>
      <c r="E34" s="15">
        <v>27739352.653061222</v>
      </c>
      <c r="F34" s="15">
        <f t="shared" si="1"/>
        <v>163052337.81306121</v>
      </c>
      <c r="G34" s="105">
        <f t="shared" ref="G34:H34" si="25">G22</f>
        <v>23.65</v>
      </c>
      <c r="H34" s="105">
        <f t="shared" si="25"/>
        <v>52.65</v>
      </c>
      <c r="I34" s="10">
        <v>31</v>
      </c>
      <c r="J34" s="10">
        <v>0</v>
      </c>
      <c r="K34" s="15">
        <v>336</v>
      </c>
      <c r="L34" s="10">
        <v>0</v>
      </c>
      <c r="M34" s="247">
        <v>56.4</v>
      </c>
      <c r="N34" s="15">
        <f>'CDM Activity '!H115</f>
        <v>1674381.2418004719</v>
      </c>
      <c r="O34" s="15">
        <v>672</v>
      </c>
      <c r="P34" s="105">
        <v>137.30940385330757</v>
      </c>
      <c r="Q34" s="15">
        <f t="shared" si="24"/>
        <v>75168.122352686041</v>
      </c>
      <c r="R34" s="10">
        <f t="shared" si="5"/>
        <v>152652598.75110021</v>
      </c>
      <c r="S34" s="48">
        <f t="shared" si="2"/>
        <v>-10399739.061960995</v>
      </c>
      <c r="T34" s="109">
        <f t="shared" si="3"/>
        <v>-7.6856918422602893E-2</v>
      </c>
      <c r="U34" s="13">
        <f t="shared" si="4"/>
        <v>7.6856918422602893E-2</v>
      </c>
    </row>
    <row r="35" spans="1:21" customFormat="1" x14ac:dyDescent="0.2">
      <c r="A35" s="49">
        <v>40451</v>
      </c>
      <c r="B35" s="25">
        <v>119162847</v>
      </c>
      <c r="C35" s="15">
        <f>'WMP pivot'!J66</f>
        <v>3695864.4400000004</v>
      </c>
      <c r="D35" s="15">
        <f t="shared" si="0"/>
        <v>115466982.56</v>
      </c>
      <c r="E35" s="15">
        <v>24072312.807881773</v>
      </c>
      <c r="F35" s="15">
        <f t="shared" si="1"/>
        <v>139539295.36788177</v>
      </c>
      <c r="G35" s="105">
        <f t="shared" ref="G35:H35" si="26">G23</f>
        <v>96.9</v>
      </c>
      <c r="H35" s="105">
        <f t="shared" si="26"/>
        <v>20.790000000000003</v>
      </c>
      <c r="I35" s="10">
        <v>30</v>
      </c>
      <c r="J35" s="10">
        <v>1</v>
      </c>
      <c r="K35" s="15">
        <v>336</v>
      </c>
      <c r="L35" s="10">
        <v>0</v>
      </c>
      <c r="M35" s="247">
        <v>58.1</v>
      </c>
      <c r="N35" s="15">
        <f>'CDM Activity '!H116</f>
        <v>1699946.4570595245</v>
      </c>
      <c r="O35" s="15">
        <v>665.1</v>
      </c>
      <c r="P35" s="105">
        <v>137.68141108782325</v>
      </c>
      <c r="Q35" s="15">
        <f t="shared" si="24"/>
        <v>75259.042704029067</v>
      </c>
      <c r="R35" s="10">
        <f t="shared" si="5"/>
        <v>138478315.02696088</v>
      </c>
      <c r="S35" s="48">
        <f t="shared" si="2"/>
        <v>-1060980.3409208953</v>
      </c>
      <c r="T35" s="109">
        <f t="shared" si="3"/>
        <v>-9.1886036804467372E-3</v>
      </c>
      <c r="U35" s="13">
        <f t="shared" si="4"/>
        <v>9.1886036804467372E-3</v>
      </c>
    </row>
    <row r="36" spans="1:21" customFormat="1" x14ac:dyDescent="0.2">
      <c r="A36" s="49">
        <v>40482</v>
      </c>
      <c r="B36" s="25">
        <v>117558713</v>
      </c>
      <c r="C36" s="15">
        <f>'WMP pivot'!J67</f>
        <v>3584867.3899999997</v>
      </c>
      <c r="D36" s="15">
        <f t="shared" si="0"/>
        <v>113973845.61</v>
      </c>
      <c r="E36" s="15">
        <v>22594688.646504708</v>
      </c>
      <c r="F36" s="15">
        <f t="shared" si="1"/>
        <v>136568534.25650471</v>
      </c>
      <c r="G36" s="105">
        <f t="shared" ref="G36:H36" si="27">G24</f>
        <v>273.46999999999997</v>
      </c>
      <c r="H36" s="105">
        <f t="shared" si="27"/>
        <v>0.51</v>
      </c>
      <c r="I36" s="10">
        <v>31</v>
      </c>
      <c r="J36" s="10">
        <v>1</v>
      </c>
      <c r="K36" s="15">
        <v>320</v>
      </c>
      <c r="L36" s="10">
        <v>0</v>
      </c>
      <c r="M36" s="247">
        <v>56.2</v>
      </c>
      <c r="N36" s="15">
        <f>'CDM Activity '!H117</f>
        <v>1725511.6723185771</v>
      </c>
      <c r="O36" s="15">
        <v>657.2</v>
      </c>
      <c r="P36" s="105">
        <v>138.0544261876318</v>
      </c>
      <c r="Q36" s="15">
        <f t="shared" si="24"/>
        <v>75349.963055372093</v>
      </c>
      <c r="R36" s="10">
        <f t="shared" si="5"/>
        <v>137868208.9859758</v>
      </c>
      <c r="S36" s="48">
        <f t="shared" si="2"/>
        <v>1299674.7294710875</v>
      </c>
      <c r="T36" s="109">
        <f t="shared" si="3"/>
        <v>1.1403271711286847E-2</v>
      </c>
      <c r="U36" s="13">
        <f t="shared" si="4"/>
        <v>1.1403271711286847E-2</v>
      </c>
    </row>
    <row r="37" spans="1:21" customFormat="1" x14ac:dyDescent="0.2">
      <c r="A37" s="49">
        <v>40512</v>
      </c>
      <c r="B37" s="25">
        <v>122844772</v>
      </c>
      <c r="C37" s="15">
        <f>'WMP pivot'!J68</f>
        <v>3350403.71</v>
      </c>
      <c r="D37" s="15">
        <f t="shared" si="0"/>
        <v>119494368.29000001</v>
      </c>
      <c r="E37" s="15">
        <v>23581777.973052137</v>
      </c>
      <c r="F37" s="15">
        <f t="shared" si="1"/>
        <v>143076146.26305214</v>
      </c>
      <c r="G37" s="105">
        <f t="shared" ref="G37:H37" si="28">G25</f>
        <v>439.9</v>
      </c>
      <c r="H37" s="105">
        <f t="shared" si="28"/>
        <v>0</v>
      </c>
      <c r="I37" s="10">
        <v>30</v>
      </c>
      <c r="J37" s="10">
        <v>1</v>
      </c>
      <c r="K37" s="15">
        <v>336</v>
      </c>
      <c r="L37" s="10">
        <v>0</v>
      </c>
      <c r="M37" s="247">
        <v>52.4</v>
      </c>
      <c r="N37" s="15">
        <f>'CDM Activity '!H118</f>
        <v>1751076.8875776296</v>
      </c>
      <c r="O37" s="15">
        <v>655.20000000000005</v>
      </c>
      <c r="P37" s="105">
        <v>138.42845188330503</v>
      </c>
      <c r="Q37" s="15">
        <f t="shared" si="24"/>
        <v>75440.883406715118</v>
      </c>
      <c r="R37" s="10">
        <f t="shared" si="5"/>
        <v>141565206.55977827</v>
      </c>
      <c r="S37" s="48">
        <f t="shared" si="2"/>
        <v>-1510939.7032738626</v>
      </c>
      <c r="T37" s="109">
        <f t="shared" si="3"/>
        <v>-1.264444278752095E-2</v>
      </c>
      <c r="U37" s="13">
        <f t="shared" si="4"/>
        <v>1.264444278752095E-2</v>
      </c>
    </row>
    <row r="38" spans="1:21" customFormat="1" x14ac:dyDescent="0.2">
      <c r="A38" s="49">
        <v>40543</v>
      </c>
      <c r="B38" s="25">
        <v>131431074</v>
      </c>
      <c r="C38" s="15">
        <f>'WMP pivot'!J69</f>
        <v>3374793.03</v>
      </c>
      <c r="D38" s="15">
        <f t="shared" si="0"/>
        <v>128056280.97</v>
      </c>
      <c r="E38" s="15">
        <v>25922542.585003726</v>
      </c>
      <c r="F38" s="15">
        <f t="shared" si="1"/>
        <v>153978823.55500373</v>
      </c>
      <c r="G38" s="105">
        <f t="shared" ref="G38:H38" si="29">G26</f>
        <v>640.46</v>
      </c>
      <c r="H38" s="105">
        <f t="shared" si="29"/>
        <v>0</v>
      </c>
      <c r="I38" s="10">
        <v>31</v>
      </c>
      <c r="J38" s="10">
        <v>0</v>
      </c>
      <c r="K38" s="15">
        <v>368</v>
      </c>
      <c r="L38" s="10">
        <v>0</v>
      </c>
      <c r="M38" s="247">
        <v>50.5</v>
      </c>
      <c r="N38" s="15">
        <f>'CDM Activity '!H119</f>
        <v>1776642.1028366822</v>
      </c>
      <c r="O38" s="15">
        <v>653.29999999999995</v>
      </c>
      <c r="P38" s="105">
        <v>138.80349091281266</v>
      </c>
      <c r="Q38" s="15">
        <f t="shared" si="24"/>
        <v>75531.803758058144</v>
      </c>
      <c r="R38" s="10">
        <f t="shared" si="5"/>
        <v>155434211.23816836</v>
      </c>
      <c r="S38" s="48">
        <f t="shared" si="2"/>
        <v>1455387.6831646264</v>
      </c>
      <c r="T38" s="109">
        <f t="shared" si="3"/>
        <v>1.1365219043848251E-2</v>
      </c>
      <c r="U38" s="13">
        <f t="shared" si="4"/>
        <v>1.1365219043848251E-2</v>
      </c>
    </row>
    <row r="39" spans="1:21" customFormat="1" x14ac:dyDescent="0.2">
      <c r="A39" s="49">
        <v>40574</v>
      </c>
      <c r="B39" s="25">
        <f>135907935+(2912181.71/12)</f>
        <v>136150616.80916667</v>
      </c>
      <c r="C39" s="15">
        <f>'WMP pivot'!J71</f>
        <v>3269338.85</v>
      </c>
      <c r="D39" s="15">
        <f t="shared" si="0"/>
        <v>132881277.95916668</v>
      </c>
      <c r="E39" s="15">
        <v>27651533.369601712</v>
      </c>
      <c r="F39" s="15">
        <f t="shared" si="1"/>
        <v>160532811.32876837</v>
      </c>
      <c r="G39" s="105">
        <f t="shared" ref="G39:H39" si="30">G27</f>
        <v>738.59000000000015</v>
      </c>
      <c r="H39" s="105">
        <f t="shared" si="30"/>
        <v>0</v>
      </c>
      <c r="I39" s="10">
        <v>31</v>
      </c>
      <c r="J39" s="15">
        <v>0</v>
      </c>
      <c r="K39" s="15">
        <v>336</v>
      </c>
      <c r="L39" s="10">
        <v>0</v>
      </c>
      <c r="M39" s="247">
        <v>51.4</v>
      </c>
      <c r="N39" s="15">
        <f>'CDM Activity '!H120</f>
        <v>1894820.7510606851</v>
      </c>
      <c r="O39" s="15">
        <v>649.29999999999995</v>
      </c>
      <c r="P39" s="105">
        <v>139.10070640604135</v>
      </c>
      <c r="Q39" s="15">
        <f t="shared" si="24"/>
        <v>75622.72410940117</v>
      </c>
      <c r="R39" s="10">
        <f t="shared" si="5"/>
        <v>154639337.46208975</v>
      </c>
      <c r="S39" s="48">
        <f t="shared" si="2"/>
        <v>-5893473.8666786253</v>
      </c>
      <c r="T39" s="109">
        <f t="shared" si="3"/>
        <v>-4.4351423746012149E-2</v>
      </c>
      <c r="U39" s="13">
        <f t="shared" si="4"/>
        <v>4.4351423746012149E-2</v>
      </c>
    </row>
    <row r="40" spans="1:21" customFormat="1" x14ac:dyDescent="0.2">
      <c r="A40" s="49">
        <v>40602</v>
      </c>
      <c r="B40" s="25">
        <f>122520649+(2912181.71/12)</f>
        <v>122763330.80916667</v>
      </c>
      <c r="C40" s="15">
        <f>'WMP pivot'!J72</f>
        <v>3108097.6100000003</v>
      </c>
      <c r="D40" s="15">
        <f t="shared" si="0"/>
        <v>119655233.19916667</v>
      </c>
      <c r="E40" s="15">
        <v>23993442.58101194</v>
      </c>
      <c r="F40" s="15">
        <f t="shared" si="1"/>
        <v>143648675.78017861</v>
      </c>
      <c r="G40" s="105">
        <f t="shared" ref="G40:H40" si="31">G28</f>
        <v>671.5200000000001</v>
      </c>
      <c r="H40" s="105">
        <f t="shared" si="31"/>
        <v>0</v>
      </c>
      <c r="I40" s="10">
        <v>28</v>
      </c>
      <c r="J40" s="15">
        <v>0</v>
      </c>
      <c r="K40" s="15">
        <v>304</v>
      </c>
      <c r="L40" s="10">
        <v>0</v>
      </c>
      <c r="M40" s="247">
        <v>54</v>
      </c>
      <c r="N40" s="15">
        <f>'CDM Activity '!H121</f>
        <v>2012999.3992846881</v>
      </c>
      <c r="O40" s="15">
        <v>651.20000000000005</v>
      </c>
      <c r="P40" s="105">
        <v>139.39855831733732</v>
      </c>
      <c r="Q40" s="15">
        <f t="shared" si="24"/>
        <v>75713.644460744195</v>
      </c>
      <c r="R40" s="10">
        <f t="shared" si="5"/>
        <v>142431842.85996422</v>
      </c>
      <c r="S40" s="48">
        <f t="shared" si="2"/>
        <v>-1216832.9202143848</v>
      </c>
      <c r="T40" s="109">
        <f t="shared" si="3"/>
        <v>-1.016949186158002E-2</v>
      </c>
      <c r="U40" s="13">
        <f t="shared" si="4"/>
        <v>1.016949186158002E-2</v>
      </c>
    </row>
    <row r="41" spans="1:21" customFormat="1" x14ac:dyDescent="0.2">
      <c r="A41" s="49">
        <v>40633</v>
      </c>
      <c r="B41" s="25">
        <f>131001103+(2912181.71/12)</f>
        <v>131243784.80916667</v>
      </c>
      <c r="C41" s="15">
        <f>'WMP pivot'!J73</f>
        <v>3621503.69</v>
      </c>
      <c r="D41" s="15">
        <f t="shared" si="0"/>
        <v>127622281.11916667</v>
      </c>
      <c r="E41" s="15">
        <v>25227884.876459409</v>
      </c>
      <c r="F41" s="15">
        <f t="shared" si="1"/>
        <v>152850165.99562609</v>
      </c>
      <c r="G41" s="105">
        <f t="shared" ref="G41:H41" si="32">G29</f>
        <v>569.22</v>
      </c>
      <c r="H41" s="105">
        <f t="shared" si="32"/>
        <v>0</v>
      </c>
      <c r="I41" s="10">
        <v>31</v>
      </c>
      <c r="J41" s="15">
        <v>1</v>
      </c>
      <c r="K41" s="15">
        <v>368</v>
      </c>
      <c r="L41" s="10">
        <v>0</v>
      </c>
      <c r="M41" s="247">
        <v>58.6</v>
      </c>
      <c r="N41" s="15">
        <f>'CDM Activity '!H122</f>
        <v>2131178.047508691</v>
      </c>
      <c r="O41" s="15">
        <v>657.1</v>
      </c>
      <c r="P41" s="105">
        <v>139.69704800944226</v>
      </c>
      <c r="Q41" s="15">
        <f t="shared" si="24"/>
        <v>75804.564812087221</v>
      </c>
      <c r="R41" s="10">
        <f t="shared" si="5"/>
        <v>148381760.00495517</v>
      </c>
      <c r="S41" s="48">
        <f t="shared" si="2"/>
        <v>-4468405.9906709194</v>
      </c>
      <c r="T41" s="109">
        <f t="shared" si="3"/>
        <v>-3.5012741909060278E-2</v>
      </c>
      <c r="U41" s="13">
        <f t="shared" si="4"/>
        <v>3.5012741909060278E-2</v>
      </c>
    </row>
    <row r="42" spans="1:21" customFormat="1" x14ac:dyDescent="0.2">
      <c r="A42" s="49">
        <v>40663</v>
      </c>
      <c r="B42" s="25">
        <f>114525009+(2912181.71/12)</f>
        <v>114767690.80916667</v>
      </c>
      <c r="C42" s="15">
        <f>'WMP pivot'!J74</f>
        <v>3579072.7199999997</v>
      </c>
      <c r="D42" s="15">
        <f t="shared" si="0"/>
        <v>111188618.08916667</v>
      </c>
      <c r="E42" s="15">
        <v>22075502.164502166</v>
      </c>
      <c r="F42" s="15">
        <f t="shared" si="1"/>
        <v>133264120.25366884</v>
      </c>
      <c r="G42" s="105">
        <f t="shared" ref="G42:H42" si="33">G30</f>
        <v>337.61</v>
      </c>
      <c r="H42" s="105">
        <f t="shared" si="33"/>
        <v>0.32</v>
      </c>
      <c r="I42" s="10">
        <v>30</v>
      </c>
      <c r="J42" s="15">
        <v>1</v>
      </c>
      <c r="K42" s="15">
        <v>320</v>
      </c>
      <c r="L42" s="10">
        <v>0</v>
      </c>
      <c r="M42" s="247">
        <v>58.1</v>
      </c>
      <c r="N42" s="15">
        <f>'CDM Activity '!H123</f>
        <v>2249356.6957326937</v>
      </c>
      <c r="O42" s="15">
        <v>666.4</v>
      </c>
      <c r="P42" s="105">
        <v>139.99617684801592</v>
      </c>
      <c r="Q42" s="15">
        <f t="shared" si="24"/>
        <v>75895.485163430247</v>
      </c>
      <c r="R42" s="10">
        <f t="shared" si="5"/>
        <v>136479840.45816839</v>
      </c>
      <c r="S42" s="48">
        <f t="shared" si="2"/>
        <v>3215720.2044995427</v>
      </c>
      <c r="T42" s="109">
        <f t="shared" si="3"/>
        <v>2.8921307412245432E-2</v>
      </c>
      <c r="U42" s="13">
        <f t="shared" si="4"/>
        <v>2.8921307412245432E-2</v>
      </c>
    </row>
    <row r="43" spans="1:21" customFormat="1" x14ac:dyDescent="0.2">
      <c r="A43" s="49">
        <v>40694</v>
      </c>
      <c r="B43" s="25">
        <f>114078847+(2912181.71/12)</f>
        <v>114321528.80916667</v>
      </c>
      <c r="C43" s="15">
        <f>'WMP pivot'!J75</f>
        <v>3980453.5500000003</v>
      </c>
      <c r="D43" s="15">
        <f t="shared" si="0"/>
        <v>110341075.25916667</v>
      </c>
      <c r="E43" s="15">
        <v>22139621.578421582</v>
      </c>
      <c r="F43" s="15">
        <f t="shared" si="1"/>
        <v>132480696.83758825</v>
      </c>
      <c r="G43" s="105">
        <f t="shared" ref="G43:H43" si="34">G31</f>
        <v>162.60999999999996</v>
      </c>
      <c r="H43" s="105">
        <f t="shared" si="34"/>
        <v>13.16</v>
      </c>
      <c r="I43" s="10">
        <v>31</v>
      </c>
      <c r="J43" s="15">
        <v>1</v>
      </c>
      <c r="K43" s="15">
        <v>336</v>
      </c>
      <c r="L43" s="10">
        <v>0</v>
      </c>
      <c r="M43" s="247">
        <v>57.1</v>
      </c>
      <c r="N43" s="15">
        <f>'CDM Activity '!H124</f>
        <v>2367535.3439566963</v>
      </c>
      <c r="O43" s="15">
        <v>671.5</v>
      </c>
      <c r="P43" s="105">
        <v>140.29594620164227</v>
      </c>
      <c r="Q43" s="15">
        <f t="shared" si="24"/>
        <v>75986.405514773272</v>
      </c>
      <c r="R43" s="10">
        <f t="shared" si="5"/>
        <v>140326328.33594623</v>
      </c>
      <c r="S43" s="48">
        <f t="shared" si="2"/>
        <v>7845631.4983579814</v>
      </c>
      <c r="T43" s="109">
        <f t="shared" si="3"/>
        <v>7.1103453359778634E-2</v>
      </c>
      <c r="U43" s="13">
        <f t="shared" si="4"/>
        <v>7.1103453359778634E-2</v>
      </c>
    </row>
    <row r="44" spans="1:21" customFormat="1" x14ac:dyDescent="0.2">
      <c r="A44" s="49">
        <v>40724</v>
      </c>
      <c r="B44" s="25">
        <f>124489030+(2912181.71/12)</f>
        <v>124731711.80916667</v>
      </c>
      <c r="C44" s="15">
        <f>'WMP pivot'!J76</f>
        <v>4173388.8</v>
      </c>
      <c r="D44" s="15">
        <f t="shared" si="0"/>
        <v>120558323.00916667</v>
      </c>
      <c r="E44" s="15">
        <v>22855810.276679844</v>
      </c>
      <c r="F44" s="15">
        <f t="shared" si="1"/>
        <v>143414133.28584653</v>
      </c>
      <c r="G44" s="105">
        <f t="shared" ref="G44:H44" si="35">G32</f>
        <v>47.94</v>
      </c>
      <c r="H44" s="105">
        <f t="shared" si="35"/>
        <v>35.67</v>
      </c>
      <c r="I44" s="10">
        <v>30</v>
      </c>
      <c r="J44" s="15">
        <v>0</v>
      </c>
      <c r="K44" s="15">
        <v>352</v>
      </c>
      <c r="L44" s="10">
        <v>0</v>
      </c>
      <c r="M44" s="247">
        <v>52.1</v>
      </c>
      <c r="N44" s="15">
        <f>'CDM Activity '!H125</f>
        <v>2485713.992180699</v>
      </c>
      <c r="O44" s="15">
        <v>681.8</v>
      </c>
      <c r="P44" s="105">
        <v>140.59635744183578</v>
      </c>
      <c r="Q44" s="15">
        <f>'Rate Class Customer Model'!S14</f>
        <v>76077.325866116385</v>
      </c>
      <c r="R44" s="10">
        <f t="shared" si="5"/>
        <v>148160650.97257283</v>
      </c>
      <c r="S44" s="48">
        <f t="shared" si="2"/>
        <v>4746517.6867263019</v>
      </c>
      <c r="T44" s="109">
        <f t="shared" si="3"/>
        <v>3.937113231382125E-2</v>
      </c>
      <c r="U44" s="13">
        <f t="shared" si="4"/>
        <v>3.937113231382125E-2</v>
      </c>
    </row>
    <row r="45" spans="1:21" customFormat="1" x14ac:dyDescent="0.2">
      <c r="A45" s="49">
        <v>40755</v>
      </c>
      <c r="B45" s="25">
        <f>144144406+(2912181.71/12)</f>
        <v>144387087.80916667</v>
      </c>
      <c r="C45" s="15">
        <f>'WMP pivot'!J77</f>
        <v>4723222.93</v>
      </c>
      <c r="D45" s="15">
        <f t="shared" si="0"/>
        <v>139663864.87916666</v>
      </c>
      <c r="E45" s="15">
        <v>28064628.434504792</v>
      </c>
      <c r="F45" s="15">
        <f t="shared" si="1"/>
        <v>167728493.31367147</v>
      </c>
      <c r="G45" s="105">
        <f t="shared" ref="G45:H45" si="36">G33</f>
        <v>13.190000000000001</v>
      </c>
      <c r="H45" s="105">
        <f t="shared" si="36"/>
        <v>77.03</v>
      </c>
      <c r="I45" s="10">
        <v>31</v>
      </c>
      <c r="J45" s="15">
        <v>0</v>
      </c>
      <c r="K45" s="15">
        <v>320</v>
      </c>
      <c r="L45" s="10">
        <v>0</v>
      </c>
      <c r="M45" s="247">
        <v>50</v>
      </c>
      <c r="N45" s="15">
        <f>'CDM Activity '!H126</f>
        <v>2603892.6404047017</v>
      </c>
      <c r="O45" s="15">
        <v>691.5</v>
      </c>
      <c r="P45" s="105">
        <v>140.89741194304773</v>
      </c>
      <c r="Q45" s="15">
        <f>Q44+(Q56-Q44)/12</f>
        <v>76142.021145283055</v>
      </c>
      <c r="R45" s="10">
        <f t="shared" si="5"/>
        <v>159859067.13751897</v>
      </c>
      <c r="S45" s="48">
        <f t="shared" si="2"/>
        <v>-7869426.1761524975</v>
      </c>
      <c r="T45" s="109">
        <f t="shared" si="3"/>
        <v>-5.6345470483441858E-2</v>
      </c>
      <c r="U45" s="13">
        <f t="shared" si="4"/>
        <v>5.6345470483441858E-2</v>
      </c>
    </row>
    <row r="46" spans="1:21" customFormat="1" x14ac:dyDescent="0.2">
      <c r="A46" s="49">
        <v>40786</v>
      </c>
      <c r="B46" s="25">
        <f>137697927+(2912181.71/12)</f>
        <v>137940608.80916667</v>
      </c>
      <c r="C46" s="15">
        <f>'WMP pivot'!J78</f>
        <v>4540642.6899999995</v>
      </c>
      <c r="D46" s="15">
        <f t="shared" si="0"/>
        <v>133399966.11916667</v>
      </c>
      <c r="E46" s="15">
        <v>26577980.038282745</v>
      </c>
      <c r="F46" s="15">
        <f t="shared" si="1"/>
        <v>159977946.15744942</v>
      </c>
      <c r="G46" s="105">
        <f t="shared" ref="G46:H46" si="37">G34</f>
        <v>23.65</v>
      </c>
      <c r="H46" s="105">
        <f t="shared" si="37"/>
        <v>52.65</v>
      </c>
      <c r="I46" s="10">
        <v>31</v>
      </c>
      <c r="J46" s="15">
        <v>0</v>
      </c>
      <c r="K46" s="15">
        <v>352</v>
      </c>
      <c r="L46" s="10">
        <v>0</v>
      </c>
      <c r="M46" s="247">
        <v>50.6</v>
      </c>
      <c r="N46" s="15">
        <f>'CDM Activity '!H127</f>
        <v>2722071.2886287044</v>
      </c>
      <c r="O46" s="15">
        <v>694.9</v>
      </c>
      <c r="P46" s="105">
        <v>141.19911108267243</v>
      </c>
      <c r="Q46" s="15">
        <f>Q45+(Q56-Q44)/12</f>
        <v>76206.716424449725</v>
      </c>
      <c r="R46" s="10">
        <f t="shared" si="5"/>
        <v>155465141.01169586</v>
      </c>
      <c r="S46" s="48">
        <f t="shared" si="2"/>
        <v>-4512805.1457535625</v>
      </c>
      <c r="T46" s="109">
        <f t="shared" si="3"/>
        <v>-3.3829132623034233E-2</v>
      </c>
      <c r="U46" s="13">
        <f t="shared" si="4"/>
        <v>3.3829132623034233E-2</v>
      </c>
    </row>
    <row r="47" spans="1:21" customFormat="1" x14ac:dyDescent="0.2">
      <c r="A47" s="49">
        <v>40816</v>
      </c>
      <c r="B47" s="25">
        <f>121686966+(2912181.71/12)</f>
        <v>121929647.80916667</v>
      </c>
      <c r="C47" s="15">
        <f>'WMP pivot'!J79</f>
        <v>4096298.9299999997</v>
      </c>
      <c r="D47" s="15">
        <f t="shared" si="0"/>
        <v>117833348.87916666</v>
      </c>
      <c r="E47" s="15">
        <v>23936195.375422187</v>
      </c>
      <c r="F47" s="15">
        <f t="shared" si="1"/>
        <v>141769544.25458884</v>
      </c>
      <c r="G47" s="105">
        <f t="shared" ref="G47:H47" si="38">G35</f>
        <v>96.9</v>
      </c>
      <c r="H47" s="105">
        <f t="shared" si="38"/>
        <v>20.790000000000003</v>
      </c>
      <c r="I47" s="10">
        <v>30</v>
      </c>
      <c r="J47" s="15">
        <v>1</v>
      </c>
      <c r="K47" s="15">
        <v>336</v>
      </c>
      <c r="L47" s="10">
        <v>0</v>
      </c>
      <c r="M47" s="247">
        <v>51.2</v>
      </c>
      <c r="N47" s="15">
        <f>'CDM Activity '!H128</f>
        <v>2840249.9368527071</v>
      </c>
      <c r="O47" s="15">
        <v>688.6</v>
      </c>
      <c r="P47" s="105">
        <v>141.50145624105357</v>
      </c>
      <c r="Q47" s="15">
        <f>Q46+(Q56-Q44)/12</f>
        <v>76271.411703616395</v>
      </c>
      <c r="R47" s="10">
        <f t="shared" si="5"/>
        <v>140112547.21193671</v>
      </c>
      <c r="S47" s="48">
        <f t="shared" si="2"/>
        <v>-1656997.0426521301</v>
      </c>
      <c r="T47" s="109">
        <f t="shared" si="3"/>
        <v>-1.4062207841952397E-2</v>
      </c>
      <c r="U47" s="13">
        <f t="shared" si="4"/>
        <v>1.4062207841952397E-2</v>
      </c>
    </row>
    <row r="48" spans="1:21" customFormat="1" x14ac:dyDescent="0.2">
      <c r="A48" s="49">
        <v>40847</v>
      </c>
      <c r="B48" s="25">
        <f>119815218+(2912181.71/12)</f>
        <v>120057899.80916667</v>
      </c>
      <c r="C48" s="15">
        <f>'WMP pivot'!J80</f>
        <v>3804176.38</v>
      </c>
      <c r="D48" s="15">
        <f t="shared" si="0"/>
        <v>116253723.42916667</v>
      </c>
      <c r="E48" s="15">
        <v>23119701.76211454</v>
      </c>
      <c r="F48" s="15">
        <f t="shared" si="1"/>
        <v>139373425.1912812</v>
      </c>
      <c r="G48" s="105">
        <f t="shared" ref="G48:H48" si="39">G36</f>
        <v>273.46999999999997</v>
      </c>
      <c r="H48" s="105">
        <f t="shared" si="39"/>
        <v>0.51</v>
      </c>
      <c r="I48" s="10">
        <v>31</v>
      </c>
      <c r="J48" s="15">
        <v>1</v>
      </c>
      <c r="K48" s="15">
        <v>320</v>
      </c>
      <c r="L48" s="10">
        <v>0</v>
      </c>
      <c r="M48" s="247">
        <v>50</v>
      </c>
      <c r="N48" s="15">
        <f>'CDM Activity '!H129</f>
        <v>2958428.5850767097</v>
      </c>
      <c r="O48" s="15">
        <v>682.2</v>
      </c>
      <c r="P48" s="105">
        <v>141.80444880149057</v>
      </c>
      <c r="Q48" s="15">
        <f>Q47+(Q56-Q44)/12</f>
        <v>76336.106982783065</v>
      </c>
      <c r="R48" s="10">
        <f t="shared" si="5"/>
        <v>139336649.50001207</v>
      </c>
      <c r="S48" s="48">
        <f t="shared" si="2"/>
        <v>-36775.691269129515</v>
      </c>
      <c r="T48" s="109">
        <f t="shared" si="3"/>
        <v>-3.1633990021435245E-4</v>
      </c>
      <c r="U48" s="13">
        <f t="shared" si="4"/>
        <v>3.1633990021435245E-4</v>
      </c>
    </row>
    <row r="49" spans="1:21" customFormat="1" x14ac:dyDescent="0.2">
      <c r="A49" s="49">
        <v>40877</v>
      </c>
      <c r="B49" s="25">
        <f>123068812+(2912181.71/12)</f>
        <v>123311493.80916667</v>
      </c>
      <c r="C49" s="15">
        <f>'WMP pivot'!J81</f>
        <v>3596792.0700000003</v>
      </c>
      <c r="D49" s="15">
        <f t="shared" si="0"/>
        <v>119714701.73916668</v>
      </c>
      <c r="E49" s="15">
        <v>23381682.006442707</v>
      </c>
      <c r="F49" s="15">
        <f t="shared" si="1"/>
        <v>143096383.74560937</v>
      </c>
      <c r="G49" s="105">
        <f t="shared" ref="G49:H49" si="40">G37</f>
        <v>439.9</v>
      </c>
      <c r="H49" s="105">
        <f t="shared" si="40"/>
        <v>0</v>
      </c>
      <c r="I49" s="10">
        <v>30</v>
      </c>
      <c r="J49" s="15">
        <v>1</v>
      </c>
      <c r="K49" s="15">
        <v>352</v>
      </c>
      <c r="L49" s="10">
        <v>0</v>
      </c>
      <c r="M49" s="247">
        <v>48.2</v>
      </c>
      <c r="N49" s="15">
        <f>'CDM Activity '!H130</f>
        <v>3076607.2333007124</v>
      </c>
      <c r="O49" s="15">
        <v>677</v>
      </c>
      <c r="P49" s="105">
        <v>142.10809015024478</v>
      </c>
      <c r="Q49" s="15">
        <f>Q48+(Q56-Q44)/12</f>
        <v>76400.802261949735</v>
      </c>
      <c r="R49" s="10">
        <f t="shared" si="5"/>
        <v>143998796.4296549</v>
      </c>
      <c r="S49" s="48">
        <f t="shared" si="2"/>
        <v>902412.68404552341</v>
      </c>
      <c r="T49" s="109">
        <f t="shared" si="3"/>
        <v>7.5380272509193739E-3</v>
      </c>
      <c r="U49" s="13">
        <f t="shared" si="4"/>
        <v>7.5380272509193739E-3</v>
      </c>
    </row>
    <row r="50" spans="1:21" customFormat="1" x14ac:dyDescent="0.2">
      <c r="A50" s="49">
        <v>40908</v>
      </c>
      <c r="B50" s="25">
        <f>127591184+(2912181.71/12)</f>
        <v>127833865.80916667</v>
      </c>
      <c r="C50" s="15">
        <f>'WMP pivot'!J82</f>
        <v>3651441.76</v>
      </c>
      <c r="D50" s="15">
        <f t="shared" si="0"/>
        <v>124182424.04916666</v>
      </c>
      <c r="E50" s="15">
        <v>24713280.536556389</v>
      </c>
      <c r="F50" s="15">
        <f t="shared" si="1"/>
        <v>148895704.58572304</v>
      </c>
      <c r="G50" s="105">
        <f t="shared" ref="G50:H50" si="41">G38</f>
        <v>640.46</v>
      </c>
      <c r="H50" s="105">
        <f t="shared" si="41"/>
        <v>0</v>
      </c>
      <c r="I50" s="10">
        <v>31</v>
      </c>
      <c r="J50" s="15">
        <v>0</v>
      </c>
      <c r="K50" s="15">
        <v>336</v>
      </c>
      <c r="L50" s="10">
        <v>0</v>
      </c>
      <c r="M50" s="247">
        <v>47.2</v>
      </c>
      <c r="N50" s="15">
        <f>'CDM Activity '!H131</f>
        <v>3194785.8815247151</v>
      </c>
      <c r="O50" s="15">
        <v>676.6</v>
      </c>
      <c r="P50" s="105">
        <v>142.41238167654581</v>
      </c>
      <c r="Q50" s="15">
        <f>Q49+(Q56-Q44)/12</f>
        <v>76465.497541116405</v>
      </c>
      <c r="R50" s="10">
        <f t="shared" si="5"/>
        <v>153338120.85554802</v>
      </c>
      <c r="S50" s="48">
        <f t="shared" si="2"/>
        <v>4442416.2698249817</v>
      </c>
      <c r="T50" s="109">
        <f t="shared" si="3"/>
        <v>3.5773309337770114E-2</v>
      </c>
      <c r="U50" s="13">
        <f t="shared" si="4"/>
        <v>3.5773309337770114E-2</v>
      </c>
    </row>
    <row r="51" spans="1:21" customFormat="1" x14ac:dyDescent="0.2">
      <c r="A51" s="49">
        <v>40939</v>
      </c>
      <c r="B51" s="25">
        <f>134139861.54+(5510021/12)</f>
        <v>134599029.95666668</v>
      </c>
      <c r="C51" s="15">
        <f>'WMP pivot'!J84</f>
        <v>3547427.85</v>
      </c>
      <c r="D51" s="15">
        <f t="shared" si="0"/>
        <v>131051602.10666668</v>
      </c>
      <c r="E51" s="15">
        <v>24435070.577608101</v>
      </c>
      <c r="F51" s="15">
        <f t="shared" si="1"/>
        <v>155486672.68427479</v>
      </c>
      <c r="G51" s="105">
        <f t="shared" ref="G51:H51" si="42">G39</f>
        <v>738.59000000000015</v>
      </c>
      <c r="H51" s="105">
        <f t="shared" si="42"/>
        <v>0</v>
      </c>
      <c r="I51" s="10">
        <v>31</v>
      </c>
      <c r="J51" s="15">
        <v>0</v>
      </c>
      <c r="K51" s="15">
        <v>336</v>
      </c>
      <c r="L51" s="10">
        <v>0</v>
      </c>
      <c r="M51" s="247">
        <v>49.2</v>
      </c>
      <c r="N51" s="15">
        <f>'CDM Activity '!H132</f>
        <v>3244255.7843758832</v>
      </c>
      <c r="O51" s="15">
        <v>670.9</v>
      </c>
      <c r="P51" s="105">
        <v>142.61257743956915</v>
      </c>
      <c r="Q51" s="15">
        <f>Q50+(Q56-Q44)/12</f>
        <v>76530.192820283075</v>
      </c>
      <c r="R51" s="10">
        <f t="shared" si="5"/>
        <v>155160396.9993284</v>
      </c>
      <c r="S51" s="48">
        <f t="shared" si="2"/>
        <v>-326275.68494638801</v>
      </c>
      <c r="T51" s="109">
        <f t="shared" si="3"/>
        <v>-2.4896733782836383E-3</v>
      </c>
      <c r="U51" s="13">
        <f t="shared" si="4"/>
        <v>2.4896733782836383E-3</v>
      </c>
    </row>
    <row r="52" spans="1:21" customFormat="1" x14ac:dyDescent="0.2">
      <c r="A52" s="49">
        <v>40968</v>
      </c>
      <c r="B52" s="25">
        <f>124214753.85+(5510021/12)</f>
        <v>124673922.26666667</v>
      </c>
      <c r="C52" s="15">
        <f>'WMP pivot'!J85</f>
        <v>3262966.51</v>
      </c>
      <c r="D52" s="15">
        <f t="shared" si="0"/>
        <v>121410955.75666666</v>
      </c>
      <c r="E52" s="15">
        <v>23722940.734887399</v>
      </c>
      <c r="F52" s="15">
        <f t="shared" si="1"/>
        <v>145133896.49155405</v>
      </c>
      <c r="G52" s="105">
        <f t="shared" ref="G52:H52" si="43">G40</f>
        <v>671.5200000000001</v>
      </c>
      <c r="H52" s="105">
        <f t="shared" si="43"/>
        <v>0</v>
      </c>
      <c r="I52" s="10">
        <v>29</v>
      </c>
      <c r="J52" s="15">
        <v>0</v>
      </c>
      <c r="K52" s="15">
        <v>320</v>
      </c>
      <c r="L52" s="10">
        <v>0</v>
      </c>
      <c r="M52" s="247">
        <v>47.6</v>
      </c>
      <c r="N52" s="15">
        <f>'CDM Activity '!H133</f>
        <v>3293725.6872270512</v>
      </c>
      <c r="O52" s="15">
        <v>668.7</v>
      </c>
      <c r="P52" s="105">
        <v>142.81305462716429</v>
      </c>
      <c r="Q52" s="15">
        <f>Q51+(Q56-Q44)/12</f>
        <v>76594.888099449745</v>
      </c>
      <c r="R52" s="10">
        <f t="shared" si="5"/>
        <v>147768081.4295558</v>
      </c>
      <c r="S52" s="48">
        <f t="shared" si="2"/>
        <v>2634184.9380017519</v>
      </c>
      <c r="T52" s="109">
        <f t="shared" si="3"/>
        <v>2.169643523176951E-2</v>
      </c>
      <c r="U52" s="13">
        <f t="shared" si="4"/>
        <v>2.169643523176951E-2</v>
      </c>
    </row>
    <row r="53" spans="1:21" customFormat="1" x14ac:dyDescent="0.2">
      <c r="A53" s="49">
        <v>40999</v>
      </c>
      <c r="B53" s="25">
        <f>124384646.15+(5510021/12)</f>
        <v>124843814.56666668</v>
      </c>
      <c r="C53" s="15">
        <f>'WMP pivot'!J86</f>
        <v>3646469.33</v>
      </c>
      <c r="D53" s="15">
        <f t="shared" si="0"/>
        <v>121197345.23666668</v>
      </c>
      <c r="E53" s="15">
        <v>23207525.826114852</v>
      </c>
      <c r="F53" s="15">
        <f t="shared" si="1"/>
        <v>144404871.06278154</v>
      </c>
      <c r="G53" s="105">
        <f t="shared" ref="G53:H53" si="44">G41</f>
        <v>569.22</v>
      </c>
      <c r="H53" s="105">
        <f t="shared" si="44"/>
        <v>0</v>
      </c>
      <c r="I53" s="10">
        <v>31</v>
      </c>
      <c r="J53" s="15">
        <v>1</v>
      </c>
      <c r="K53" s="15">
        <v>352</v>
      </c>
      <c r="L53" s="10">
        <v>0</v>
      </c>
      <c r="M53" s="247">
        <v>49.7</v>
      </c>
      <c r="N53" s="15">
        <f>'CDM Activity '!H134</f>
        <v>3343195.5900782193</v>
      </c>
      <c r="O53" s="15">
        <v>666</v>
      </c>
      <c r="P53" s="105">
        <v>143.01381363494295</v>
      </c>
      <c r="Q53" s="15">
        <f>Q52+(Q56-Q44)/12</f>
        <v>76659.583378616415</v>
      </c>
      <c r="R53" s="10">
        <f t="shared" si="5"/>
        <v>149050842.83409062</v>
      </c>
      <c r="S53" s="48">
        <f t="shared" si="2"/>
        <v>4645971.7713090777</v>
      </c>
      <c r="T53" s="109">
        <f t="shared" si="3"/>
        <v>3.8333940089502055E-2</v>
      </c>
      <c r="U53" s="13">
        <f t="shared" si="4"/>
        <v>3.8333940089502055E-2</v>
      </c>
    </row>
    <row r="54" spans="1:21" customFormat="1" x14ac:dyDescent="0.2">
      <c r="A54" s="49">
        <v>41029</v>
      </c>
      <c r="B54" s="25">
        <f>114550515.38+(27225356.55/9)+(5510021/12)</f>
        <v>118034723.41333333</v>
      </c>
      <c r="C54" s="15">
        <f>'WMP pivot'!J87</f>
        <v>3068109.5700000003</v>
      </c>
      <c r="D54" s="15">
        <f t="shared" si="0"/>
        <v>114966613.84333333</v>
      </c>
      <c r="E54" s="15">
        <v>21426873.847167328</v>
      </c>
      <c r="F54" s="15">
        <f t="shared" si="1"/>
        <v>136393487.69050068</v>
      </c>
      <c r="G54" s="105">
        <f t="shared" ref="G54:H54" si="45">G42</f>
        <v>337.61</v>
      </c>
      <c r="H54" s="105">
        <f t="shared" si="45"/>
        <v>0.32</v>
      </c>
      <c r="I54" s="10">
        <v>30</v>
      </c>
      <c r="J54" s="15">
        <v>1</v>
      </c>
      <c r="K54" s="15">
        <v>320</v>
      </c>
      <c r="L54" s="10">
        <v>0</v>
      </c>
      <c r="M54" s="247">
        <v>49.2</v>
      </c>
      <c r="N54" s="15">
        <f>'CDM Activity '!H135</f>
        <v>3392665.4929293874</v>
      </c>
      <c r="O54" s="15">
        <v>667.4</v>
      </c>
      <c r="P54" s="105">
        <v>143.21485485907297</v>
      </c>
      <c r="Q54" s="15">
        <f>Q53+(Q56-Q44)/12</f>
        <v>76724.278657783085</v>
      </c>
      <c r="R54" s="10">
        <f t="shared" si="5"/>
        <v>138587763.13154301</v>
      </c>
      <c r="S54" s="48">
        <f t="shared" si="2"/>
        <v>2194275.4410423338</v>
      </c>
      <c r="T54" s="109">
        <f t="shared" si="3"/>
        <v>1.9086197007006787E-2</v>
      </c>
      <c r="U54" s="13">
        <f t="shared" si="4"/>
        <v>1.9086197007006787E-2</v>
      </c>
    </row>
    <row r="55" spans="1:21" customFormat="1" x14ac:dyDescent="0.2">
      <c r="A55" s="49">
        <v>41060</v>
      </c>
      <c r="B55" s="25">
        <f>120400400+(27225356.55/9)+(5510021/12)</f>
        <v>123884608.03333333</v>
      </c>
      <c r="C55" s="15">
        <f>'WMP pivot'!J88</f>
        <v>4280789.9071008703</v>
      </c>
      <c r="D55" s="15">
        <f t="shared" si="0"/>
        <v>119603818.12623246</v>
      </c>
      <c r="E55" s="15">
        <v>22659307.787610617</v>
      </c>
      <c r="F55" s="15">
        <f t="shared" si="1"/>
        <v>142263125.91384307</v>
      </c>
      <c r="G55" s="105">
        <f t="shared" ref="G55:H55" si="46">G43</f>
        <v>162.60999999999996</v>
      </c>
      <c r="H55" s="105">
        <f t="shared" si="46"/>
        <v>13.16</v>
      </c>
      <c r="I55" s="10">
        <v>31</v>
      </c>
      <c r="J55" s="15">
        <v>1</v>
      </c>
      <c r="K55" s="15">
        <v>352</v>
      </c>
      <c r="L55" s="10">
        <v>0</v>
      </c>
      <c r="M55" s="247">
        <v>50.6</v>
      </c>
      <c r="N55" s="15">
        <f>'CDM Activity '!H136</f>
        <v>3442135.3957805554</v>
      </c>
      <c r="O55" s="15">
        <v>672.1</v>
      </c>
      <c r="P55" s="105">
        <v>143.41617869627913</v>
      </c>
      <c r="Q55" s="15">
        <f>Q54+(Q56-Q44)/12</f>
        <v>76788.973936949755</v>
      </c>
      <c r="R55" s="10">
        <f t="shared" si="5"/>
        <v>143304662.26748148</v>
      </c>
      <c r="S55" s="48">
        <f t="shared" si="2"/>
        <v>1041536.3536384106</v>
      </c>
      <c r="T55" s="109">
        <f t="shared" si="3"/>
        <v>8.7082199377544172E-3</v>
      </c>
      <c r="U55" s="13">
        <f t="shared" si="4"/>
        <v>8.7082199377544172E-3</v>
      </c>
    </row>
    <row r="56" spans="1:21" customFormat="1" x14ac:dyDescent="0.2">
      <c r="A56" s="49">
        <v>41090</v>
      </c>
      <c r="B56" s="25">
        <f>127372618.18+(27225356.55/9)+(5510021/12)</f>
        <v>130856826.21333334</v>
      </c>
      <c r="C56" s="15">
        <f>'WMP pivot'!J89</f>
        <v>4002940.7091250243</v>
      </c>
      <c r="D56" s="15">
        <f t="shared" si="0"/>
        <v>126853885.50420831</v>
      </c>
      <c r="E56" s="15">
        <v>24375975.261655565</v>
      </c>
      <c r="F56" s="15">
        <f t="shared" si="1"/>
        <v>151229860.76586387</v>
      </c>
      <c r="G56" s="105">
        <f t="shared" ref="G56:H56" si="47">G44</f>
        <v>47.94</v>
      </c>
      <c r="H56" s="105">
        <f t="shared" si="47"/>
        <v>35.67</v>
      </c>
      <c r="I56" s="10">
        <v>30</v>
      </c>
      <c r="J56" s="15">
        <v>0</v>
      </c>
      <c r="K56" s="15">
        <v>336</v>
      </c>
      <c r="L56" s="10">
        <v>0</v>
      </c>
      <c r="M56" s="247">
        <v>47.3</v>
      </c>
      <c r="N56" s="15">
        <f>'CDM Activity '!H137</f>
        <v>3491605.2986317235</v>
      </c>
      <c r="O56" s="15">
        <v>678.4</v>
      </c>
      <c r="P56" s="105">
        <v>143.61778554384387</v>
      </c>
      <c r="Q56" s="15">
        <f>'Rate Class Customer Model'!S15</f>
        <v>76853.669216116396</v>
      </c>
      <c r="R56" s="10">
        <f t="shared" si="5"/>
        <v>147858668.30049077</v>
      </c>
      <c r="S56" s="48">
        <f t="shared" si="2"/>
        <v>-3371192.4653730989</v>
      </c>
      <c r="T56" s="109">
        <f t="shared" si="3"/>
        <v>-2.6575397765496597E-2</v>
      </c>
      <c r="U56" s="13">
        <f t="shared" si="4"/>
        <v>2.6575397765496597E-2</v>
      </c>
    </row>
    <row r="57" spans="1:21" customFormat="1" x14ac:dyDescent="0.2">
      <c r="A57" s="49">
        <v>41121</v>
      </c>
      <c r="B57" s="25">
        <f>141753854.55+(27225356.55/9)+(5510021/12)</f>
        <v>145238062.58333334</v>
      </c>
      <c r="C57" s="15">
        <f>'WMP pivot'!J90</f>
        <v>4456275.6369364038</v>
      </c>
      <c r="D57" s="15">
        <f t="shared" si="0"/>
        <v>140781786.94639695</v>
      </c>
      <c r="E57" s="15">
        <v>28712607.621315867</v>
      </c>
      <c r="F57" s="15">
        <f t="shared" si="1"/>
        <v>169494394.56771281</v>
      </c>
      <c r="G57" s="105">
        <f t="shared" ref="G57:H57" si="48">G45</f>
        <v>13.190000000000001</v>
      </c>
      <c r="H57" s="105">
        <f t="shared" si="48"/>
        <v>77.03</v>
      </c>
      <c r="I57" s="10">
        <v>31</v>
      </c>
      <c r="J57" s="15">
        <v>0</v>
      </c>
      <c r="K57" s="15">
        <v>336</v>
      </c>
      <c r="L57" s="10">
        <v>0</v>
      </c>
      <c r="M57" s="247">
        <v>49.4</v>
      </c>
      <c r="N57" s="15">
        <f>'CDM Activity '!H138</f>
        <v>3541075.2014828916</v>
      </c>
      <c r="O57" s="15">
        <v>682</v>
      </c>
      <c r="P57" s="105">
        <v>143.81967579960809</v>
      </c>
      <c r="Q57" s="15">
        <f>Q56+(Q68-Q56)/12</f>
        <v>76899.548800634715</v>
      </c>
      <c r="R57" s="10">
        <f t="shared" si="5"/>
        <v>161440014.12827781</v>
      </c>
      <c r="S57" s="48">
        <f t="shared" si="2"/>
        <v>-8054380.4394350052</v>
      </c>
      <c r="T57" s="109">
        <f t="shared" si="3"/>
        <v>-5.7211807110402232E-2</v>
      </c>
      <c r="U57" s="13">
        <f t="shared" si="4"/>
        <v>5.7211807110402232E-2</v>
      </c>
    </row>
    <row r="58" spans="1:21" customFormat="1" x14ac:dyDescent="0.2">
      <c r="A58" s="49">
        <v>41152</v>
      </c>
      <c r="B58" s="25">
        <f>132844609.09+(27225356.55/9)+(5510021/12)</f>
        <v>136328817.12333333</v>
      </c>
      <c r="C58" s="15">
        <f>'WMP pivot'!J91</f>
        <v>4204469.1301214648</v>
      </c>
      <c r="D58" s="15">
        <f t="shared" si="0"/>
        <v>132124347.99321187</v>
      </c>
      <c r="E58" s="15">
        <v>27239999.76065103</v>
      </c>
      <c r="F58" s="15">
        <f t="shared" si="1"/>
        <v>159364347.75386289</v>
      </c>
      <c r="G58" s="105">
        <f t="shared" ref="G58:H58" si="49">G46</f>
        <v>23.65</v>
      </c>
      <c r="H58" s="105">
        <f t="shared" si="49"/>
        <v>52.65</v>
      </c>
      <c r="I58" s="10">
        <v>31</v>
      </c>
      <c r="J58" s="15">
        <v>0</v>
      </c>
      <c r="K58" s="15">
        <v>352</v>
      </c>
      <c r="L58" s="10">
        <v>0</v>
      </c>
      <c r="M58" s="247">
        <v>50.6</v>
      </c>
      <c r="N58" s="15">
        <f>'CDM Activity '!H139</f>
        <v>3590545.1043340596</v>
      </c>
      <c r="O58" s="15">
        <v>678.5</v>
      </c>
      <c r="P58" s="105">
        <v>144.02184986197204</v>
      </c>
      <c r="Q58" s="15">
        <f>Q57+(Q68-Q56)/12</f>
        <v>76945.428385153034</v>
      </c>
      <c r="R58" s="10">
        <f t="shared" si="5"/>
        <v>155465141.01169586</v>
      </c>
      <c r="S58" s="48">
        <f t="shared" si="2"/>
        <v>-3899206.7421670258</v>
      </c>
      <c r="T58" s="109">
        <f t="shared" si="3"/>
        <v>-2.9511644154848391E-2</v>
      </c>
      <c r="U58" s="13">
        <f t="shared" si="4"/>
        <v>2.9511644154848391E-2</v>
      </c>
    </row>
    <row r="59" spans="1:21" customFormat="1" x14ac:dyDescent="0.2">
      <c r="A59" s="49">
        <v>41182</v>
      </c>
      <c r="B59" s="25">
        <f>115005427.27+(27225356.55/9)+(5510021/12)</f>
        <v>118489635.30333333</v>
      </c>
      <c r="C59" s="15">
        <f>'WMP pivot'!J92</f>
        <v>3823441.8692706958</v>
      </c>
      <c r="D59" s="15">
        <f t="shared" si="0"/>
        <v>114666193.43406263</v>
      </c>
      <c r="E59" s="15">
        <v>24579119.487610247</v>
      </c>
      <c r="F59" s="15">
        <f t="shared" si="1"/>
        <v>139245312.92167288</v>
      </c>
      <c r="G59" s="105">
        <f t="shared" ref="G59:H59" si="50">G47</f>
        <v>96.9</v>
      </c>
      <c r="H59" s="105">
        <f t="shared" si="50"/>
        <v>20.790000000000003</v>
      </c>
      <c r="I59" s="10">
        <v>30</v>
      </c>
      <c r="J59" s="15">
        <v>1</v>
      </c>
      <c r="K59" s="15">
        <v>304</v>
      </c>
      <c r="L59" s="10">
        <v>0</v>
      </c>
      <c r="M59" s="247">
        <v>50.8</v>
      </c>
      <c r="N59" s="15">
        <f>'CDM Activity '!H140</f>
        <v>3640015.0071852277</v>
      </c>
      <c r="O59" s="15">
        <v>671.9</v>
      </c>
      <c r="P59" s="105">
        <v>144.22430812989595</v>
      </c>
      <c r="Q59" s="15">
        <f>Q58+(Q68-Q56)/12</f>
        <v>76991.307969671354</v>
      </c>
      <c r="R59" s="10">
        <f t="shared" si="5"/>
        <v>137329605.6211381</v>
      </c>
      <c r="S59" s="48">
        <f t="shared" si="2"/>
        <v>-1915707.3005347848</v>
      </c>
      <c r="T59" s="109">
        <f t="shared" si="3"/>
        <v>-1.6706818663483308E-2</v>
      </c>
      <c r="U59" s="13">
        <f t="shared" si="4"/>
        <v>1.6706818663483308E-2</v>
      </c>
    </row>
    <row r="60" spans="1:21" customFormat="1" x14ac:dyDescent="0.2">
      <c r="A60" s="49">
        <v>41213</v>
      </c>
      <c r="B60" s="25">
        <f>116946700+(27225356.55/9)+(5510021/12)</f>
        <v>120430908.03333333</v>
      </c>
      <c r="C60" s="15">
        <f>'WMP pivot'!J93</f>
        <v>3686580.7537210681</v>
      </c>
      <c r="D60" s="15">
        <f t="shared" si="0"/>
        <v>116744327.27961226</v>
      </c>
      <c r="E60" s="15">
        <v>25165133.432447501</v>
      </c>
      <c r="F60" s="15">
        <f t="shared" si="1"/>
        <v>141909460.71205977</v>
      </c>
      <c r="G60" s="105">
        <f t="shared" ref="G60:H60" si="51">G48</f>
        <v>273.46999999999997</v>
      </c>
      <c r="H60" s="105">
        <f t="shared" si="51"/>
        <v>0.51</v>
      </c>
      <c r="I60" s="10">
        <v>31</v>
      </c>
      <c r="J60" s="15">
        <v>1</v>
      </c>
      <c r="K60" s="15">
        <v>352</v>
      </c>
      <c r="L60" s="10">
        <v>0</v>
      </c>
      <c r="M60" s="247">
        <v>46.2</v>
      </c>
      <c r="N60" s="15">
        <f>'CDM Activity '!H141</f>
        <v>3689484.9100363958</v>
      </c>
      <c r="O60" s="15">
        <v>672.8</v>
      </c>
      <c r="P60" s="105">
        <v>144.42705100290087</v>
      </c>
      <c r="Q60" s="15">
        <f>Q59+(Q68-Q56)/12</f>
        <v>77037.187554189673</v>
      </c>
      <c r="R60" s="10">
        <f t="shared" si="5"/>
        <v>143114341.11644813</v>
      </c>
      <c r="S60" s="48">
        <f t="shared" si="2"/>
        <v>1204880.4043883681</v>
      </c>
      <c r="T60" s="109">
        <f t="shared" si="3"/>
        <v>1.0320676237249461E-2</v>
      </c>
      <c r="U60" s="13">
        <f t="shared" si="4"/>
        <v>1.0320676237249461E-2</v>
      </c>
    </row>
    <row r="61" spans="1:21" customFormat="1" x14ac:dyDescent="0.2">
      <c r="A61" s="49">
        <v>41243</v>
      </c>
      <c r="B61" s="25">
        <f>120693809.09+(27225356.55/9)+(5510021/12)</f>
        <v>124178017.12333333</v>
      </c>
      <c r="C61" s="15">
        <f>'WMP pivot'!J94</f>
        <v>3435397.2584457616</v>
      </c>
      <c r="D61" s="15">
        <f t="shared" si="0"/>
        <v>120742619.86488758</v>
      </c>
      <c r="E61" s="15">
        <v>24523211.021009952</v>
      </c>
      <c r="F61" s="15">
        <f t="shared" si="1"/>
        <v>145265830.88589752</v>
      </c>
      <c r="G61" s="105">
        <f t="shared" ref="G61:H61" si="52">G49</f>
        <v>439.9</v>
      </c>
      <c r="H61" s="105">
        <f t="shared" si="52"/>
        <v>0</v>
      </c>
      <c r="I61" s="10">
        <v>30</v>
      </c>
      <c r="J61" s="15">
        <v>1</v>
      </c>
      <c r="K61" s="15">
        <v>352</v>
      </c>
      <c r="L61" s="10">
        <v>0</v>
      </c>
      <c r="M61" s="247">
        <v>41.6</v>
      </c>
      <c r="N61" s="15">
        <f>'CDM Activity '!H142</f>
        <v>3738954.8128875638</v>
      </c>
      <c r="O61" s="15">
        <v>676.8</v>
      </c>
      <c r="P61" s="105">
        <v>144.63007888106955</v>
      </c>
      <c r="Q61" s="15">
        <f>Q60+(Q68-Q56)/12</f>
        <v>77083.067138707993</v>
      </c>
      <c r="R61" s="10">
        <f t="shared" si="5"/>
        <v>145561975.04137093</v>
      </c>
      <c r="S61" s="48">
        <f t="shared" si="2"/>
        <v>296144.15547341108</v>
      </c>
      <c r="T61" s="109">
        <f t="shared" si="3"/>
        <v>2.4526894960934251E-3</v>
      </c>
      <c r="U61" s="13">
        <f t="shared" si="4"/>
        <v>2.4526894960934251E-3</v>
      </c>
    </row>
    <row r="62" spans="1:21" customFormat="1" x14ac:dyDescent="0.2">
      <c r="A62" s="49">
        <v>41274</v>
      </c>
      <c r="B62" s="25">
        <f>121548763.64+(27225356.55/9)+(5510021/12)</f>
        <v>125032971.67333333</v>
      </c>
      <c r="C62" s="15">
        <f>'WMP pivot'!J95</f>
        <v>3448510.9882503077</v>
      </c>
      <c r="D62" s="15">
        <f t="shared" si="0"/>
        <v>121584460.68508303</v>
      </c>
      <c r="E62" s="15">
        <v>23381741.64192152</v>
      </c>
      <c r="F62" s="15">
        <f t="shared" si="1"/>
        <v>144966202.32700455</v>
      </c>
      <c r="G62" s="105">
        <f t="shared" ref="G62:H62" si="53">G50</f>
        <v>640.46</v>
      </c>
      <c r="H62" s="105">
        <f t="shared" si="53"/>
        <v>0</v>
      </c>
      <c r="I62" s="10">
        <v>31</v>
      </c>
      <c r="J62" s="15">
        <v>0</v>
      </c>
      <c r="K62" s="15">
        <v>304</v>
      </c>
      <c r="L62" s="10">
        <v>0</v>
      </c>
      <c r="M62" s="247">
        <v>43.2</v>
      </c>
      <c r="N62" s="15">
        <f>'CDM Activity '!H143</f>
        <v>3788424.7157387319</v>
      </c>
      <c r="O62" s="15">
        <v>682.7</v>
      </c>
      <c r="P62" s="105">
        <v>144.83339216504706</v>
      </c>
      <c r="Q62" s="15">
        <f>Q61+(Q68-Q56)/12</f>
        <v>77128.946723226312</v>
      </c>
      <c r="R62" s="10">
        <f t="shared" si="5"/>
        <v>151407822.14386722</v>
      </c>
      <c r="S62" s="48">
        <f t="shared" si="2"/>
        <v>6441619.8168626726</v>
      </c>
      <c r="T62" s="109">
        <f t="shared" si="3"/>
        <v>5.2980617593453558E-2</v>
      </c>
      <c r="U62" s="13">
        <f t="shared" si="4"/>
        <v>5.2980617593453558E-2</v>
      </c>
    </row>
    <row r="63" spans="1:21" customFormat="1" x14ac:dyDescent="0.2">
      <c r="A63" s="49">
        <v>41305</v>
      </c>
      <c r="B63" s="6"/>
      <c r="C63" s="15"/>
      <c r="D63" s="6">
        <v>130239205.85000011</v>
      </c>
      <c r="E63" s="6">
        <v>27328129.305099774</v>
      </c>
      <c r="F63" s="15">
        <f t="shared" si="1"/>
        <v>157567335.1550999</v>
      </c>
      <c r="G63" s="105">
        <f t="shared" ref="G63:H63" si="54">G51</f>
        <v>738.59000000000015</v>
      </c>
      <c r="H63" s="105">
        <f t="shared" si="54"/>
        <v>0</v>
      </c>
      <c r="I63" s="10">
        <v>31</v>
      </c>
      <c r="J63" s="15">
        <v>0</v>
      </c>
      <c r="K63" s="15">
        <v>352</v>
      </c>
      <c r="L63" s="10">
        <v>0</v>
      </c>
      <c r="M63" s="247">
        <v>44.9</v>
      </c>
      <c r="N63" s="15">
        <f>'CDM Activity '!H144</f>
        <v>3883154.3251877506</v>
      </c>
      <c r="O63" s="15">
        <v>681.6</v>
      </c>
      <c r="P63" s="105">
        <v>144.98936781896037</v>
      </c>
      <c r="Q63" s="15">
        <f>Q62+(Q68-Q56)/12</f>
        <v>77174.826307744632</v>
      </c>
      <c r="R63" s="10">
        <f t="shared" si="5"/>
        <v>157617671.39362499</v>
      </c>
      <c r="S63" s="48">
        <f t="shared" si="2"/>
        <v>50336.238525092602</v>
      </c>
      <c r="T63" s="109">
        <f t="shared" si="3"/>
        <v>3.8649067457510576E-4</v>
      </c>
      <c r="U63" s="13">
        <f t="shared" si="4"/>
        <v>3.8649067457510576E-4</v>
      </c>
    </row>
    <row r="64" spans="1:21" customFormat="1" x14ac:dyDescent="0.2">
      <c r="A64" s="49">
        <v>41333</v>
      </c>
      <c r="B64" s="6"/>
      <c r="C64" s="15"/>
      <c r="D64" s="6">
        <v>119027524.23999999</v>
      </c>
      <c r="E64" s="6">
        <v>23863592.64644786</v>
      </c>
      <c r="F64" s="15">
        <f t="shared" si="1"/>
        <v>142891116.88644785</v>
      </c>
      <c r="G64" s="105">
        <f t="shared" ref="G64:H64" si="55">G52</f>
        <v>671.5200000000001</v>
      </c>
      <c r="H64" s="105">
        <f t="shared" si="55"/>
        <v>0</v>
      </c>
      <c r="I64" s="10">
        <v>28</v>
      </c>
      <c r="J64" s="15">
        <v>0</v>
      </c>
      <c r="K64" s="15">
        <v>304</v>
      </c>
      <c r="L64" s="10">
        <v>0</v>
      </c>
      <c r="M64" s="247">
        <v>48</v>
      </c>
      <c r="N64" s="15">
        <f>'CDM Activity '!H145</f>
        <v>3977883.9346367694</v>
      </c>
      <c r="O64" s="15">
        <v>682.6</v>
      </c>
      <c r="P64" s="105">
        <v>145.14551144798114</v>
      </c>
      <c r="Q64" s="15">
        <f>Q63+(Q68-Q56)/12</f>
        <v>77220.705892262951</v>
      </c>
      <c r="R64" s="10">
        <f t="shared" si="5"/>
        <v>143852914.32516062</v>
      </c>
      <c r="S64" s="48">
        <f t="shared" si="2"/>
        <v>961797.43871277571</v>
      </c>
      <c r="T64" s="109">
        <f t="shared" si="3"/>
        <v>8.0804624380279039E-3</v>
      </c>
      <c r="U64" s="13">
        <f t="shared" si="4"/>
        <v>8.0804624380279039E-3</v>
      </c>
    </row>
    <row r="65" spans="1:22" customFormat="1" x14ac:dyDescent="0.2">
      <c r="A65" s="49">
        <v>41364</v>
      </c>
      <c r="B65" s="6"/>
      <c r="C65" s="15"/>
      <c r="D65" s="6">
        <v>124413462.86000001</v>
      </c>
      <c r="E65" s="6">
        <v>25182656.922452293</v>
      </c>
      <c r="F65" s="15">
        <f t="shared" si="1"/>
        <v>149596119.78245232</v>
      </c>
      <c r="G65" s="105">
        <f t="shared" ref="G65:H65" si="56">G53</f>
        <v>569.22</v>
      </c>
      <c r="H65" s="105">
        <f t="shared" si="56"/>
        <v>0</v>
      </c>
      <c r="I65" s="10">
        <v>31</v>
      </c>
      <c r="J65" s="15">
        <v>1</v>
      </c>
      <c r="K65" s="15">
        <v>320</v>
      </c>
      <c r="L65" s="10">
        <v>0</v>
      </c>
      <c r="M65" s="247">
        <v>49</v>
      </c>
      <c r="N65" s="15">
        <f>'CDM Activity '!H146</f>
        <v>4072613.5440857881</v>
      </c>
      <c r="O65" s="15">
        <v>683.6</v>
      </c>
      <c r="P65" s="105">
        <v>145.30182323300707</v>
      </c>
      <c r="Q65" s="15">
        <f>Q64+(Q68-Q56)/12</f>
        <v>77266.585476781271</v>
      </c>
      <c r="R65" s="10">
        <f t="shared" si="5"/>
        <v>146338954.81655183</v>
      </c>
      <c r="S65" s="48">
        <f t="shared" si="2"/>
        <v>-3257164.9659004807</v>
      </c>
      <c r="T65" s="109">
        <f t="shared" si="3"/>
        <v>-2.6180164839280325E-2</v>
      </c>
      <c r="U65" s="13">
        <f t="shared" si="4"/>
        <v>2.6180164839280325E-2</v>
      </c>
      <c r="V65" s="161"/>
    </row>
    <row r="66" spans="1:22" customFormat="1" x14ac:dyDescent="0.2">
      <c r="A66" s="49">
        <v>41394</v>
      </c>
      <c r="B66" s="6"/>
      <c r="C66" s="15"/>
      <c r="D66" s="6">
        <v>116362141.24000001</v>
      </c>
      <c r="E66" s="6">
        <v>23103709.165386584</v>
      </c>
      <c r="F66" s="15">
        <f t="shared" si="1"/>
        <v>139465850.4053866</v>
      </c>
      <c r="G66" s="105">
        <f t="shared" ref="G66:H66" si="57">G54</f>
        <v>337.61</v>
      </c>
      <c r="H66" s="105">
        <f t="shared" si="57"/>
        <v>0.32</v>
      </c>
      <c r="I66" s="10">
        <v>30</v>
      </c>
      <c r="J66" s="15">
        <v>1</v>
      </c>
      <c r="K66" s="15">
        <v>352</v>
      </c>
      <c r="L66" s="10">
        <v>0</v>
      </c>
      <c r="M66" s="247">
        <v>50.4</v>
      </c>
      <c r="N66" s="15">
        <f>'CDM Activity '!H147</f>
        <v>4167343.1535348068</v>
      </c>
      <c r="O66" s="15">
        <v>685.4</v>
      </c>
      <c r="P66" s="105">
        <v>145.45830335513068</v>
      </c>
      <c r="Q66" s="15">
        <f>Q65+(Q68-Q56)/12</f>
        <v>77312.46506129959</v>
      </c>
      <c r="R66" s="10">
        <f t="shared" si="5"/>
        <v>141181228.52698213</v>
      </c>
      <c r="S66" s="48">
        <f t="shared" si="2"/>
        <v>1715378.1215955317</v>
      </c>
      <c r="T66" s="109">
        <f t="shared" si="3"/>
        <v>1.4741720144677629E-2</v>
      </c>
      <c r="U66" s="13">
        <f t="shared" si="4"/>
        <v>1.4741720144677629E-2</v>
      </c>
      <c r="V66" s="161"/>
    </row>
    <row r="67" spans="1:22" customFormat="1" x14ac:dyDescent="0.2">
      <c r="A67" s="49">
        <v>41425</v>
      </c>
      <c r="B67" s="6"/>
      <c r="C67" s="15"/>
      <c r="D67" s="6">
        <v>118146376.19000001</v>
      </c>
      <c r="E67" s="6">
        <v>22525109.77955319</v>
      </c>
      <c r="F67" s="15">
        <f t="shared" ref="F67:F122" si="58">D67+E67</f>
        <v>140671485.9695532</v>
      </c>
      <c r="G67" s="105">
        <f t="shared" ref="G67:H67" si="59">G55</f>
        <v>162.60999999999996</v>
      </c>
      <c r="H67" s="105">
        <f t="shared" si="59"/>
        <v>13.16</v>
      </c>
      <c r="I67" s="10">
        <v>31</v>
      </c>
      <c r="J67" s="15">
        <v>1</v>
      </c>
      <c r="K67" s="15">
        <v>352</v>
      </c>
      <c r="L67" s="10">
        <v>0</v>
      </c>
      <c r="M67" s="247">
        <v>53.1</v>
      </c>
      <c r="N67" s="15">
        <f>'CDM Activity '!H148</f>
        <v>4262072.762983826</v>
      </c>
      <c r="O67" s="15">
        <v>690.3</v>
      </c>
      <c r="P67" s="105">
        <v>145.6149519956395</v>
      </c>
      <c r="Q67" s="15">
        <f>Q66+(Q68-Q56)/12</f>
        <v>77358.34464581791</v>
      </c>
      <c r="R67" s="10">
        <f t="shared" si="5"/>
        <v>142712549.15698299</v>
      </c>
      <c r="S67" s="48">
        <f t="shared" ref="S67:S122" si="60">R67-F67</f>
        <v>2041063.1874297857</v>
      </c>
      <c r="T67" s="109">
        <f t="shared" ref="T67:T122" si="61">S67/D67</f>
        <v>1.7275715542450491E-2</v>
      </c>
      <c r="U67" s="13">
        <f t="shared" ref="U67:U122" si="62">ABS(T67)</f>
        <v>1.7275715542450491E-2</v>
      </c>
      <c r="V67" s="161"/>
    </row>
    <row r="68" spans="1:22" customFormat="1" x14ac:dyDescent="0.2">
      <c r="A68" s="49">
        <v>41455</v>
      </c>
      <c r="B68" s="6"/>
      <c r="C68" s="15"/>
      <c r="D68" s="6">
        <v>122367903.53999999</v>
      </c>
      <c r="E68" s="6">
        <v>23676410.47848928</v>
      </c>
      <c r="F68" s="15">
        <f t="shared" si="58"/>
        <v>146044314.01848927</v>
      </c>
      <c r="G68" s="105">
        <f t="shared" ref="G68:H68" si="63">G56</f>
        <v>47.94</v>
      </c>
      <c r="H68" s="105">
        <f t="shared" si="63"/>
        <v>35.67</v>
      </c>
      <c r="I68" s="10">
        <v>30</v>
      </c>
      <c r="J68" s="15">
        <v>0</v>
      </c>
      <c r="K68" s="15">
        <v>320</v>
      </c>
      <c r="L68" s="10">
        <v>0</v>
      </c>
      <c r="M68" s="247">
        <v>52.3</v>
      </c>
      <c r="N68" s="15">
        <f>'CDM Activity '!H149</f>
        <v>4356802.3724328447</v>
      </c>
      <c r="O68" s="15">
        <v>696.7</v>
      </c>
      <c r="P68" s="105">
        <v>145.77176933601632</v>
      </c>
      <c r="Q68" s="15">
        <f>'Rate Class Customer Model'!S16</f>
        <v>77404.224230336258</v>
      </c>
      <c r="R68" s="10">
        <f t="shared" ref="R68:R131" si="64">$Y$18+$Y$19*G68+$Y$20*H68+$Y$21*I68+$Y$22*J68+$Y$23*K68+$Y$24*L68+$Y$25*M68</f>
        <v>145235602.23525459</v>
      </c>
      <c r="S68" s="48">
        <f t="shared" si="60"/>
        <v>-808711.78323468566</v>
      </c>
      <c r="T68" s="109">
        <f t="shared" si="61"/>
        <v>-6.6088554256413445E-3</v>
      </c>
      <c r="U68" s="13">
        <f t="shared" si="62"/>
        <v>6.6088554256413445E-3</v>
      </c>
      <c r="V68" s="161"/>
    </row>
    <row r="69" spans="1:22" customFormat="1" x14ac:dyDescent="0.2">
      <c r="A69" s="49">
        <v>41486</v>
      </c>
      <c r="B69" s="6"/>
      <c r="C69" s="15"/>
      <c r="D69" s="6">
        <v>135746384.00999999</v>
      </c>
      <c r="E69" s="6">
        <v>27777445.86362743</v>
      </c>
      <c r="F69" s="15">
        <f t="shared" si="58"/>
        <v>163523829.87362742</v>
      </c>
      <c r="G69" s="105">
        <f t="shared" ref="G69:H69" si="65">G57</f>
        <v>13.190000000000001</v>
      </c>
      <c r="H69" s="105">
        <f t="shared" si="65"/>
        <v>77.03</v>
      </c>
      <c r="I69" s="10">
        <v>31</v>
      </c>
      <c r="J69" s="15">
        <v>0</v>
      </c>
      <c r="K69" s="15">
        <v>352</v>
      </c>
      <c r="L69" s="10">
        <v>0</v>
      </c>
      <c r="M69" s="247">
        <v>54.6</v>
      </c>
      <c r="N69" s="15">
        <f>'CDM Activity '!H150</f>
        <v>4451531.9818818634</v>
      </c>
      <c r="O69" s="15">
        <v>702.8</v>
      </c>
      <c r="P69" s="105">
        <v>145.92875555793933</v>
      </c>
      <c r="Q69" s="15">
        <f>Q68+(Q80-Q68)/12</f>
        <v>77444.986767424925</v>
      </c>
      <c r="R69" s="10">
        <f t="shared" si="64"/>
        <v>161647258.70268011</v>
      </c>
      <c r="S69" s="48">
        <f t="shared" si="60"/>
        <v>-1876571.1709473133</v>
      </c>
      <c r="T69" s="109">
        <f t="shared" si="61"/>
        <v>-1.3824096933654398E-2</v>
      </c>
      <c r="U69" s="13">
        <f t="shared" si="62"/>
        <v>1.3824096933654398E-2</v>
      </c>
      <c r="V69" s="161"/>
    </row>
    <row r="70" spans="1:22" customFormat="1" x14ac:dyDescent="0.2">
      <c r="A70" s="49">
        <v>41517</v>
      </c>
      <c r="B70" s="6"/>
      <c r="C70" s="15"/>
      <c r="D70" s="6">
        <v>129053598.92999999</v>
      </c>
      <c r="E70" s="6">
        <v>27247873.979183346</v>
      </c>
      <c r="F70" s="15">
        <f t="shared" si="58"/>
        <v>156301472.90918332</v>
      </c>
      <c r="G70" s="105">
        <f t="shared" ref="G70:H70" si="66">G58</f>
        <v>23.65</v>
      </c>
      <c r="H70" s="105">
        <f t="shared" si="66"/>
        <v>52.65</v>
      </c>
      <c r="I70" s="10">
        <v>31</v>
      </c>
      <c r="J70" s="15">
        <v>0</v>
      </c>
      <c r="K70" s="15">
        <v>336</v>
      </c>
      <c r="L70" s="10">
        <v>0</v>
      </c>
      <c r="M70" s="247">
        <v>52.7</v>
      </c>
      <c r="N70" s="15">
        <f>'CDM Activity '!H151</f>
        <v>4546261.5913308822</v>
      </c>
      <c r="O70" s="15">
        <v>701.4</v>
      </c>
      <c r="P70" s="105">
        <v>146.08591084328242</v>
      </c>
      <c r="Q70" s="15">
        <f>Q69+(Q80-Q68)/12</f>
        <v>77485.749304513593</v>
      </c>
      <c r="R70" s="10">
        <f t="shared" si="64"/>
        <v>153528926.15463796</v>
      </c>
      <c r="S70" s="48">
        <f t="shared" si="60"/>
        <v>-2772546.7545453608</v>
      </c>
      <c r="T70" s="109">
        <f t="shared" si="61"/>
        <v>-2.1483684124525802E-2</v>
      </c>
      <c r="U70" s="13">
        <f t="shared" si="62"/>
        <v>2.1483684124525802E-2</v>
      </c>
      <c r="V70" s="161"/>
    </row>
    <row r="71" spans="1:22" customFormat="1" x14ac:dyDescent="0.2">
      <c r="A71" s="49">
        <v>41547</v>
      </c>
      <c r="B71" s="6"/>
      <c r="C71" s="15"/>
      <c r="D71" s="6">
        <v>117047083.73</v>
      </c>
      <c r="E71" s="6">
        <v>24761837.415477086</v>
      </c>
      <c r="F71" s="15">
        <f t="shared" si="58"/>
        <v>141808921.14547709</v>
      </c>
      <c r="G71" s="105">
        <f t="shared" ref="G71:H71" si="67">G59</f>
        <v>96.9</v>
      </c>
      <c r="H71" s="105">
        <f t="shared" si="67"/>
        <v>20.790000000000003</v>
      </c>
      <c r="I71" s="10">
        <v>30</v>
      </c>
      <c r="J71" s="15">
        <v>1</v>
      </c>
      <c r="K71" s="15">
        <v>320</v>
      </c>
      <c r="L71" s="10">
        <v>0</v>
      </c>
      <c r="M71" s="247">
        <v>50.4</v>
      </c>
      <c r="N71" s="15">
        <f>'CDM Activity '!H152</f>
        <v>4640991.2007799009</v>
      </c>
      <c r="O71" s="15">
        <v>698.4</v>
      </c>
      <c r="P71" s="105">
        <v>146.2432353741153</v>
      </c>
      <c r="Q71" s="15">
        <f>Q70+(Q80-Q68)/12</f>
        <v>77526.51184160226</v>
      </c>
      <c r="R71" s="10">
        <f t="shared" si="64"/>
        <v>138863183.56305704</v>
      </c>
      <c r="S71" s="48">
        <f t="shared" si="60"/>
        <v>-2945737.5824200511</v>
      </c>
      <c r="T71" s="109">
        <f t="shared" si="61"/>
        <v>-2.5167116416289128E-2</v>
      </c>
      <c r="U71" s="13">
        <f t="shared" si="62"/>
        <v>2.5167116416289128E-2</v>
      </c>
      <c r="V71" s="161"/>
    </row>
    <row r="72" spans="1:22" customFormat="1" x14ac:dyDescent="0.2">
      <c r="A72" s="49">
        <v>41578</v>
      </c>
      <c r="B72" s="6"/>
      <c r="C72" s="15"/>
      <c r="D72" s="6">
        <v>118510857.23</v>
      </c>
      <c r="E72" s="6">
        <v>23808060.8365019</v>
      </c>
      <c r="F72" s="15">
        <f t="shared" si="58"/>
        <v>142318918.06650192</v>
      </c>
      <c r="G72" s="105">
        <f t="shared" ref="G72:H72" si="68">G60</f>
        <v>273.46999999999997</v>
      </c>
      <c r="H72" s="105">
        <f t="shared" si="68"/>
        <v>0.51</v>
      </c>
      <c r="I72" s="10">
        <v>31</v>
      </c>
      <c r="J72" s="15">
        <v>1</v>
      </c>
      <c r="K72" s="15">
        <v>352</v>
      </c>
      <c r="L72" s="10">
        <v>0</v>
      </c>
      <c r="M72" s="247">
        <v>43.5</v>
      </c>
      <c r="N72" s="15">
        <f>'CDM Activity '!H153</f>
        <v>4735720.8102289196</v>
      </c>
      <c r="O72" s="15">
        <v>698.4</v>
      </c>
      <c r="P72" s="105">
        <v>146.4007293327038</v>
      </c>
      <c r="Q72" s="15">
        <f>Q71+(Q80-Q68)/12</f>
        <v>77567.274378690927</v>
      </c>
      <c r="R72" s="10">
        <f t="shared" si="64"/>
        <v>143753823.27578652</v>
      </c>
      <c r="S72" s="48">
        <f t="shared" si="60"/>
        <v>1434905.2092846036</v>
      </c>
      <c r="T72" s="109">
        <f t="shared" si="61"/>
        <v>1.2107795376923235E-2</v>
      </c>
      <c r="U72" s="13">
        <f t="shared" si="62"/>
        <v>1.2107795376923235E-2</v>
      </c>
      <c r="V72" s="161"/>
    </row>
    <row r="73" spans="1:22" customFormat="1" x14ac:dyDescent="0.2">
      <c r="A73" s="49">
        <v>41608</v>
      </c>
      <c r="B73" s="6"/>
      <c r="C73" s="15"/>
      <c r="D73" s="6">
        <v>122250367.67999999</v>
      </c>
      <c r="E73" s="6">
        <v>24683256.6191446</v>
      </c>
      <c r="F73" s="15">
        <f t="shared" si="58"/>
        <v>146933624.2991446</v>
      </c>
      <c r="G73" s="105">
        <f t="shared" ref="G73:H73" si="69">G61</f>
        <v>439.9</v>
      </c>
      <c r="H73" s="105">
        <f t="shared" si="69"/>
        <v>0</v>
      </c>
      <c r="I73" s="10">
        <v>30</v>
      </c>
      <c r="J73" s="15">
        <v>1</v>
      </c>
      <c r="K73" s="15">
        <v>336</v>
      </c>
      <c r="L73" s="10">
        <v>0</v>
      </c>
      <c r="M73" s="247">
        <v>38.6</v>
      </c>
      <c r="N73" s="15">
        <f>'CDM Activity '!H154</f>
        <v>4830450.4196779383</v>
      </c>
      <c r="O73" s="15">
        <v>700</v>
      </c>
      <c r="P73" s="105">
        <v>146.55839290151005</v>
      </c>
      <c r="Q73" s="15">
        <f>Q72+(Q80-Q68)/12</f>
        <v>77608.036915779594</v>
      </c>
      <c r="R73" s="10">
        <f t="shared" si="64"/>
        <v>144833670.92972994</v>
      </c>
      <c r="S73" s="48">
        <f t="shared" si="60"/>
        <v>-2099953.3694146574</v>
      </c>
      <c r="T73" s="109">
        <f t="shared" si="61"/>
        <v>-1.7177481011030178E-2</v>
      </c>
      <c r="U73" s="13">
        <f t="shared" si="62"/>
        <v>1.7177481011030178E-2</v>
      </c>
      <c r="V73" s="161"/>
    </row>
    <row r="74" spans="1:22" customFormat="1" x14ac:dyDescent="0.2">
      <c r="A74" s="49">
        <v>41639</v>
      </c>
      <c r="B74" s="6"/>
      <c r="C74" s="15"/>
      <c r="D74" s="6">
        <v>126466735.50000012</v>
      </c>
      <c r="E74" s="6">
        <v>27084399.988636643</v>
      </c>
      <c r="F74" s="15">
        <f t="shared" si="58"/>
        <v>153551135.48863676</v>
      </c>
      <c r="G74" s="105">
        <f t="shared" ref="G74:H74" si="70">G62</f>
        <v>640.46</v>
      </c>
      <c r="H74" s="105">
        <f t="shared" si="70"/>
        <v>0</v>
      </c>
      <c r="I74" s="10">
        <v>31</v>
      </c>
      <c r="J74" s="15">
        <v>0</v>
      </c>
      <c r="K74" s="15">
        <v>320</v>
      </c>
      <c r="L74" s="10">
        <v>0</v>
      </c>
      <c r="M74" s="247">
        <v>38.9</v>
      </c>
      <c r="N74" s="15">
        <f>'CDM Activity '!H155</f>
        <v>4925180.0291269571</v>
      </c>
      <c r="O74" s="15">
        <v>695.4</v>
      </c>
      <c r="P74" s="105">
        <v>146.71622626319265</v>
      </c>
      <c r="Q74" s="15">
        <f>Q73+(Q80-Q68)/12</f>
        <v>77648.799452868261</v>
      </c>
      <c r="R74" s="10">
        <f t="shared" si="64"/>
        <v>153865096.53816381</v>
      </c>
      <c r="S74" s="48">
        <f t="shared" si="60"/>
        <v>313961.04952704906</v>
      </c>
      <c r="T74" s="109">
        <f t="shared" si="61"/>
        <v>2.4825583445778811E-3</v>
      </c>
      <c r="U74" s="13">
        <f t="shared" si="62"/>
        <v>2.4825583445778811E-3</v>
      </c>
      <c r="V74" s="161"/>
    </row>
    <row r="75" spans="1:22" customFormat="1" x14ac:dyDescent="0.2">
      <c r="A75" s="49">
        <v>41670</v>
      </c>
      <c r="B75" s="6"/>
      <c r="C75" s="15"/>
      <c r="D75" s="6">
        <v>135820222.94551274</v>
      </c>
      <c r="E75" s="6">
        <v>28861546.738988899</v>
      </c>
      <c r="F75" s="15">
        <f t="shared" si="58"/>
        <v>164681769.68450165</v>
      </c>
      <c r="G75" s="105">
        <f t="shared" ref="G75:H75" si="71">G63</f>
        <v>738.59000000000015</v>
      </c>
      <c r="H75" s="105">
        <f t="shared" si="71"/>
        <v>0</v>
      </c>
      <c r="I75" s="10">
        <v>31</v>
      </c>
      <c r="J75" s="15">
        <v>0</v>
      </c>
      <c r="K75" s="15">
        <v>352</v>
      </c>
      <c r="L75" s="10">
        <v>0</v>
      </c>
      <c r="M75" s="248">
        <v>42.2</v>
      </c>
      <c r="N75" s="15">
        <f>'CDM Activity '!H156</f>
        <v>5042471.6014174633</v>
      </c>
      <c r="O75" s="15">
        <v>689.4</v>
      </c>
      <c r="P75" s="105">
        <v>147.04232175221028</v>
      </c>
      <c r="Q75" s="15">
        <f>Q74+(Q80-Q68)/12</f>
        <v>77689.561989956928</v>
      </c>
      <c r="R75" s="10">
        <f t="shared" si="64"/>
        <v>158257153.55296335</v>
      </c>
      <c r="S75" s="48">
        <f t="shared" si="60"/>
        <v>-6424616.1315383017</v>
      </c>
      <c r="T75" s="109">
        <f t="shared" si="61"/>
        <v>-4.7302353009063144E-2</v>
      </c>
      <c r="U75" s="13">
        <f t="shared" si="62"/>
        <v>4.7302353009063144E-2</v>
      </c>
      <c r="V75" s="110"/>
    </row>
    <row r="76" spans="1:22" customFormat="1" x14ac:dyDescent="0.2">
      <c r="A76" s="49">
        <v>41698</v>
      </c>
      <c r="B76" s="6"/>
      <c r="C76" s="15"/>
      <c r="D76" s="6">
        <v>120677101.24666667</v>
      </c>
      <c r="E76" s="6">
        <v>25328199.248120297</v>
      </c>
      <c r="F76" s="15">
        <f t="shared" si="58"/>
        <v>146005300.49478698</v>
      </c>
      <c r="G76" s="105">
        <f t="shared" ref="G76:H76" si="72">G64</f>
        <v>671.5200000000001</v>
      </c>
      <c r="H76" s="105">
        <f t="shared" si="72"/>
        <v>0</v>
      </c>
      <c r="I76" s="10">
        <v>28</v>
      </c>
      <c r="J76" s="15">
        <v>0</v>
      </c>
      <c r="K76" s="15">
        <v>304</v>
      </c>
      <c r="L76" s="10">
        <v>0</v>
      </c>
      <c r="M76" s="248">
        <v>43.2</v>
      </c>
      <c r="N76" s="15">
        <f>'CDM Activity '!H157</f>
        <v>5159763.1737079695</v>
      </c>
      <c r="O76" s="15">
        <v>682.3</v>
      </c>
      <c r="P76" s="105">
        <v>147.36914202996238</v>
      </c>
      <c r="Q76" s="15">
        <f>Q75+(Q80-Q68)/12</f>
        <v>77730.324527045595</v>
      </c>
      <c r="R76" s="10">
        <f t="shared" si="64"/>
        <v>144989771.4973177</v>
      </c>
      <c r="S76" s="48">
        <f t="shared" si="60"/>
        <v>-1015528.9974692762</v>
      </c>
      <c r="T76" s="109">
        <f t="shared" si="61"/>
        <v>-8.4152584622787085E-3</v>
      </c>
      <c r="U76" s="13">
        <f t="shared" si="62"/>
        <v>8.4152584622787085E-3</v>
      </c>
      <c r="V76" s="161"/>
    </row>
    <row r="77" spans="1:22" customFormat="1" x14ac:dyDescent="0.2">
      <c r="A77" s="49">
        <v>41729</v>
      </c>
      <c r="B77" s="6"/>
      <c r="C77" s="15"/>
      <c r="D77" s="6">
        <v>130033930.61333334</v>
      </c>
      <c r="E77" s="6">
        <v>26535369.333333336</v>
      </c>
      <c r="F77" s="15">
        <f t="shared" si="58"/>
        <v>156569299.94666669</v>
      </c>
      <c r="G77" s="105">
        <f t="shared" ref="G77:H77" si="73">G65</f>
        <v>569.22</v>
      </c>
      <c r="H77" s="105">
        <f t="shared" si="73"/>
        <v>0</v>
      </c>
      <c r="I77" s="10">
        <v>31</v>
      </c>
      <c r="J77" s="15">
        <v>1</v>
      </c>
      <c r="K77" s="15">
        <v>336</v>
      </c>
      <c r="L77" s="10">
        <v>0</v>
      </c>
      <c r="M77" s="248">
        <v>44.9</v>
      </c>
      <c r="N77" s="15">
        <f>'CDM Activity '!H158</f>
        <v>5277054.7459984757</v>
      </c>
      <c r="O77" s="15">
        <v>680.2</v>
      </c>
      <c r="P77" s="105">
        <v>147.69668870738414</v>
      </c>
      <c r="Q77" s="15">
        <f>Q76+(Q80-Q68)/12</f>
        <v>77771.087064134263</v>
      </c>
      <c r="R77" s="10">
        <f t="shared" si="64"/>
        <v>148748860.16200855</v>
      </c>
      <c r="S77" s="48">
        <f t="shared" si="60"/>
        <v>-7820439.784658134</v>
      </c>
      <c r="T77" s="109">
        <f t="shared" si="61"/>
        <v>-6.0141531889187132E-2</v>
      </c>
      <c r="U77" s="13">
        <f t="shared" si="62"/>
        <v>6.0141531889187132E-2</v>
      </c>
      <c r="V77" s="161"/>
    </row>
    <row r="78" spans="1:22" customFormat="1" x14ac:dyDescent="0.2">
      <c r="A78" s="49">
        <v>41759</v>
      </c>
      <c r="B78" s="6"/>
      <c r="C78" s="15"/>
      <c r="D78" s="6">
        <v>115340821.52000001</v>
      </c>
      <c r="E78" s="6">
        <v>22615671.989226624</v>
      </c>
      <c r="F78" s="15">
        <f t="shared" si="58"/>
        <v>137956493.50922662</v>
      </c>
      <c r="G78" s="105">
        <f t="shared" ref="G78:H78" si="74">G66</f>
        <v>337.61</v>
      </c>
      <c r="H78" s="105">
        <f t="shared" si="74"/>
        <v>0.32</v>
      </c>
      <c r="I78" s="10">
        <v>30</v>
      </c>
      <c r="J78" s="15">
        <v>1</v>
      </c>
      <c r="K78" s="15">
        <v>320</v>
      </c>
      <c r="L78" s="10">
        <v>0</v>
      </c>
      <c r="M78" s="248">
        <v>46</v>
      </c>
      <c r="N78" s="15">
        <f>'CDM Activity '!H159</f>
        <v>5394346.3182889819</v>
      </c>
      <c r="O78" s="15">
        <v>679.4</v>
      </c>
      <c r="P78" s="105">
        <v>148.02496339899133</v>
      </c>
      <c r="Q78" s="15">
        <f>Q77+(Q80-Q68)/12</f>
        <v>77811.84960122293</v>
      </c>
      <c r="R78" s="10">
        <f t="shared" si="64"/>
        <v>139345667.91298109</v>
      </c>
      <c r="S78" s="48">
        <f t="shared" si="60"/>
        <v>1389174.4037544727</v>
      </c>
      <c r="T78" s="109">
        <f t="shared" si="61"/>
        <v>1.2044082792609474E-2</v>
      </c>
      <c r="U78" s="13">
        <f t="shared" si="62"/>
        <v>1.2044082792609474E-2</v>
      </c>
      <c r="V78" s="161"/>
    </row>
    <row r="79" spans="1:22" customFormat="1" x14ac:dyDescent="0.2">
      <c r="A79" s="49">
        <v>41790</v>
      </c>
      <c r="B79" s="6"/>
      <c r="C79" s="15"/>
      <c r="D79" s="6">
        <v>116194343.06769232</v>
      </c>
      <c r="E79" s="6">
        <v>22402616.453585327</v>
      </c>
      <c r="F79" s="15">
        <f t="shared" si="58"/>
        <v>138596959.52127767</v>
      </c>
      <c r="G79" s="105">
        <f t="shared" ref="G79:H79" si="75">G67</f>
        <v>162.60999999999996</v>
      </c>
      <c r="H79" s="105">
        <f t="shared" si="75"/>
        <v>13.16</v>
      </c>
      <c r="I79" s="10">
        <v>31</v>
      </c>
      <c r="J79" s="15">
        <v>1</v>
      </c>
      <c r="K79" s="15">
        <v>336</v>
      </c>
      <c r="L79" s="10">
        <v>0</v>
      </c>
      <c r="M79" s="248">
        <v>48</v>
      </c>
      <c r="N79" s="15">
        <f>'CDM Activity '!H160</f>
        <v>5511637.8905794881</v>
      </c>
      <c r="O79" s="15">
        <v>690</v>
      </c>
      <c r="P79" s="105">
        <v>148.35396772288814</v>
      </c>
      <c r="Q79" s="15">
        <f>Q78+(Q80-Q68)/12</f>
        <v>77852.612138311597</v>
      </c>
      <c r="R79" s="10">
        <f t="shared" si="64"/>
        <v>142481620.05816075</v>
      </c>
      <c r="S79" s="48">
        <f t="shared" si="60"/>
        <v>3884660.536883086</v>
      </c>
      <c r="T79" s="109">
        <f t="shared" si="61"/>
        <v>3.343244115266409E-2</v>
      </c>
      <c r="U79" s="13">
        <f t="shared" si="62"/>
        <v>3.343244115266409E-2</v>
      </c>
      <c r="V79" s="161"/>
    </row>
    <row r="80" spans="1:22" customFormat="1" x14ac:dyDescent="0.2">
      <c r="A80" s="49">
        <v>41820</v>
      </c>
      <c r="B80" s="6"/>
      <c r="C80" s="15"/>
      <c r="D80" s="6">
        <v>125124613.36846155</v>
      </c>
      <c r="E80" s="6">
        <v>24344554.854771785</v>
      </c>
      <c r="F80" s="15">
        <f t="shared" si="58"/>
        <v>149469168.22323334</v>
      </c>
      <c r="G80" s="105">
        <f t="shared" ref="G80:H80" si="76">G68</f>
        <v>47.94</v>
      </c>
      <c r="H80" s="105">
        <f t="shared" si="76"/>
        <v>35.67</v>
      </c>
      <c r="I80" s="10">
        <v>30</v>
      </c>
      <c r="J80" s="15">
        <v>0</v>
      </c>
      <c r="K80" s="15">
        <v>336</v>
      </c>
      <c r="L80" s="10">
        <v>0</v>
      </c>
      <c r="M80" s="248">
        <v>45.4</v>
      </c>
      <c r="N80" s="15">
        <f>'CDM Activity '!H161</f>
        <v>5628929.4628699943</v>
      </c>
      <c r="O80" s="15">
        <v>704.4</v>
      </c>
      <c r="P80" s="105">
        <v>148.68370330077519</v>
      </c>
      <c r="Q80" s="15">
        <f>'Rate Class Customer Model'!S17</f>
        <v>77893.374675400322</v>
      </c>
      <c r="R80" s="10">
        <f t="shared" si="64"/>
        <v>148308674.26446962</v>
      </c>
      <c r="S80" s="48">
        <f t="shared" si="60"/>
        <v>-1160493.9587637186</v>
      </c>
      <c r="T80" s="109">
        <f t="shared" si="61"/>
        <v>-9.2747056516078591E-3</v>
      </c>
      <c r="U80" s="13">
        <f t="shared" si="62"/>
        <v>9.2747056516078591E-3</v>
      </c>
      <c r="V80" s="161"/>
    </row>
    <row r="81" spans="1:21" customFormat="1" x14ac:dyDescent="0.2">
      <c r="A81" s="49">
        <v>41851</v>
      </c>
      <c r="B81" s="6"/>
      <c r="C81" s="15"/>
      <c r="D81" s="6">
        <v>127319695.26000002</v>
      </c>
      <c r="E81" s="6">
        <v>25584932.225063939</v>
      </c>
      <c r="F81" s="15">
        <f t="shared" si="58"/>
        <v>152904627.48506397</v>
      </c>
      <c r="G81" s="105">
        <f t="shared" ref="G81:H81" si="77">G69</f>
        <v>13.190000000000001</v>
      </c>
      <c r="H81" s="105">
        <f t="shared" si="77"/>
        <v>77.03</v>
      </c>
      <c r="I81" s="10">
        <v>31</v>
      </c>
      <c r="J81" s="15">
        <v>0</v>
      </c>
      <c r="K81" s="15">
        <v>352</v>
      </c>
      <c r="L81" s="10">
        <v>0</v>
      </c>
      <c r="M81" s="248">
        <v>45.9</v>
      </c>
      <c r="N81" s="15">
        <f>'CDM Activity '!H162</f>
        <v>5746221.0351605006</v>
      </c>
      <c r="O81" s="15">
        <v>715.1</v>
      </c>
      <c r="P81" s="105">
        <v>149.0141717579576</v>
      </c>
      <c r="Q81" s="15">
        <f>Q80+(Q92-Q80)/12</f>
        <v>77940.041357497626</v>
      </c>
      <c r="R81" s="10">
        <f t="shared" si="64"/>
        <v>163707812.32721487</v>
      </c>
      <c r="S81" s="48">
        <f t="shared" si="60"/>
        <v>10803184.842150897</v>
      </c>
      <c r="T81" s="109">
        <f t="shared" si="61"/>
        <v>8.4850853751178665E-2</v>
      </c>
      <c r="U81" s="13">
        <f t="shared" si="62"/>
        <v>8.4850853751178665E-2</v>
      </c>
    </row>
    <row r="82" spans="1:21" customFormat="1" x14ac:dyDescent="0.2">
      <c r="A82" s="49">
        <v>41882</v>
      </c>
      <c r="B82" s="6"/>
      <c r="C82" s="15"/>
      <c r="D82" s="6">
        <v>125661579.63</v>
      </c>
      <c r="E82" s="6">
        <v>26911021.150717348</v>
      </c>
      <c r="F82" s="15">
        <f t="shared" si="58"/>
        <v>152572600.78071734</v>
      </c>
      <c r="G82" s="105">
        <f t="shared" ref="G82:H82" si="78">G70</f>
        <v>23.65</v>
      </c>
      <c r="H82" s="105">
        <f t="shared" si="78"/>
        <v>52.65</v>
      </c>
      <c r="I82" s="10">
        <v>31</v>
      </c>
      <c r="J82" s="15">
        <v>0</v>
      </c>
      <c r="K82" s="15">
        <v>320</v>
      </c>
      <c r="L82" s="10">
        <v>0</v>
      </c>
      <c r="M82" s="248">
        <v>45.7</v>
      </c>
      <c r="N82" s="15">
        <f>'CDM Activity '!H163</f>
        <v>5863512.6074510068</v>
      </c>
      <c r="O82" s="15">
        <v>718.7</v>
      </c>
      <c r="P82" s="105">
        <v>149.34537472335285</v>
      </c>
      <c r="Q82" s="15">
        <f>Q81+(Q92-Q80)/12</f>
        <v>77986.708039594931</v>
      </c>
      <c r="R82" s="10">
        <f t="shared" si="64"/>
        <v>153748003.01979452</v>
      </c>
      <c r="S82" s="48">
        <f t="shared" si="60"/>
        <v>1175402.2390771806</v>
      </c>
      <c r="T82" s="109">
        <f t="shared" si="61"/>
        <v>9.3537121094454979E-3</v>
      </c>
      <c r="U82" s="13">
        <f t="shared" si="62"/>
        <v>9.3537121094454979E-3</v>
      </c>
    </row>
    <row r="83" spans="1:21" customFormat="1" x14ac:dyDescent="0.2">
      <c r="A83" s="49">
        <v>41912</v>
      </c>
      <c r="B83" s="6"/>
      <c r="C83" s="15"/>
      <c r="D83" s="6">
        <v>118663196.43615384</v>
      </c>
      <c r="E83" s="6">
        <v>25539662.564360168</v>
      </c>
      <c r="F83" s="15">
        <f t="shared" si="58"/>
        <v>144202859.000514</v>
      </c>
      <c r="G83" s="105">
        <f t="shared" ref="G83:H83" si="79">G71</f>
        <v>96.9</v>
      </c>
      <c r="H83" s="105">
        <f t="shared" si="79"/>
        <v>20.790000000000003</v>
      </c>
      <c r="I83" s="10">
        <v>30</v>
      </c>
      <c r="J83" s="15">
        <v>1</v>
      </c>
      <c r="K83" s="15">
        <v>336</v>
      </c>
      <c r="L83" s="10">
        <v>0</v>
      </c>
      <c r="M83" s="248">
        <v>46.7</v>
      </c>
      <c r="N83" s="15">
        <f>'CDM Activity '!H164</f>
        <v>5980804.179741513</v>
      </c>
      <c r="O83" s="15">
        <v>719.3</v>
      </c>
      <c r="P83" s="105">
        <v>149.67731382949896</v>
      </c>
      <c r="Q83" s="15">
        <f>Q82+(Q92-Q80)/12</f>
        <v>78033.374721692235</v>
      </c>
      <c r="R83" s="10">
        <f t="shared" si="64"/>
        <v>141178350.81083399</v>
      </c>
      <c r="S83" s="48">
        <f t="shared" si="60"/>
        <v>-3024508.1896800101</v>
      </c>
      <c r="T83" s="109">
        <f t="shared" si="61"/>
        <v>-2.5488173928529999E-2</v>
      </c>
      <c r="U83" s="13">
        <f t="shared" si="62"/>
        <v>2.5488173928529999E-2</v>
      </c>
    </row>
    <row r="84" spans="1:21" customFormat="1" x14ac:dyDescent="0.2">
      <c r="A84" s="49">
        <v>41943</v>
      </c>
      <c r="B84" s="6"/>
      <c r="C84" s="15"/>
      <c r="D84" s="6">
        <v>117719881.72769232</v>
      </c>
      <c r="E84" s="6">
        <v>24064979.528659873</v>
      </c>
      <c r="F84" s="15">
        <f t="shared" si="58"/>
        <v>141784861.25635219</v>
      </c>
      <c r="G84" s="105">
        <f t="shared" ref="G84:H84" si="80">G72</f>
        <v>273.46999999999997</v>
      </c>
      <c r="H84" s="105">
        <f t="shared" si="80"/>
        <v>0.51</v>
      </c>
      <c r="I84" s="10">
        <v>31</v>
      </c>
      <c r="J84" s="15">
        <v>1</v>
      </c>
      <c r="K84" s="15">
        <v>352</v>
      </c>
      <c r="L84" s="10">
        <v>0</v>
      </c>
      <c r="M84" s="248">
        <v>39.9</v>
      </c>
      <c r="N84" s="15">
        <f>'CDM Activity '!H165</f>
        <v>6098095.7520320192</v>
      </c>
      <c r="O84" s="15">
        <v>723.5</v>
      </c>
      <c r="P84" s="105">
        <v>150.00999071256246</v>
      </c>
      <c r="Q84" s="15">
        <f>Q83+(Q92-Q80)/12</f>
        <v>78080.041403789539</v>
      </c>
      <c r="R84" s="10">
        <f t="shared" si="64"/>
        <v>144606466.15490434</v>
      </c>
      <c r="S84" s="48">
        <f t="shared" si="60"/>
        <v>2821604.8985521495</v>
      </c>
      <c r="T84" s="109">
        <f t="shared" si="61"/>
        <v>2.3968805074736987E-2</v>
      </c>
      <c r="U84" s="13">
        <f t="shared" si="62"/>
        <v>2.3968805074736987E-2</v>
      </c>
    </row>
    <row r="85" spans="1:21" customFormat="1" x14ac:dyDescent="0.2">
      <c r="A85" s="49">
        <v>41973</v>
      </c>
      <c r="B85" s="6"/>
      <c r="C85" s="15"/>
      <c r="D85" s="6">
        <v>121758308.65615384</v>
      </c>
      <c r="E85" s="6">
        <v>25243719.630709428</v>
      </c>
      <c r="F85" s="15">
        <f t="shared" si="58"/>
        <v>147002028.28686327</v>
      </c>
      <c r="G85" s="105">
        <f t="shared" ref="G85:H85" si="81">G73</f>
        <v>439.9</v>
      </c>
      <c r="H85" s="105">
        <f t="shared" si="81"/>
        <v>0</v>
      </c>
      <c r="I85" s="10">
        <v>30</v>
      </c>
      <c r="J85" s="15">
        <v>1</v>
      </c>
      <c r="K85" s="15">
        <v>304</v>
      </c>
      <c r="L85" s="10">
        <v>0</v>
      </c>
      <c r="M85" s="248">
        <v>36.6</v>
      </c>
      <c r="N85" s="15">
        <f>'CDM Activity '!H166</f>
        <v>6215387.3243225254</v>
      </c>
      <c r="O85" s="15">
        <v>721</v>
      </c>
      <c r="P85" s="105">
        <v>150.34340701234646</v>
      </c>
      <c r="Q85" s="15">
        <f>Q84+(Q92-Q80)/12</f>
        <v>78126.708085886843</v>
      </c>
      <c r="R85" s="10">
        <f t="shared" si="64"/>
        <v>142429681.72965035</v>
      </c>
      <c r="S85" s="48">
        <f t="shared" si="60"/>
        <v>-4572346.557212919</v>
      </c>
      <c r="T85" s="109">
        <f t="shared" si="61"/>
        <v>-3.7552645135086854E-2</v>
      </c>
      <c r="U85" s="13">
        <f t="shared" si="62"/>
        <v>3.7552645135086854E-2</v>
      </c>
    </row>
    <row r="86" spans="1:21" customFormat="1" x14ac:dyDescent="0.2">
      <c r="A86" s="49">
        <v>42004</v>
      </c>
      <c r="B86" s="6"/>
      <c r="C86" s="15"/>
      <c r="D86" s="6">
        <v>124290571.52833325</v>
      </c>
      <c r="E86" s="6">
        <v>26383155.282462966</v>
      </c>
      <c r="F86" s="15">
        <f t="shared" si="58"/>
        <v>150673726.8107962</v>
      </c>
      <c r="G86" s="105">
        <f t="shared" ref="G86:H86" si="82">G74</f>
        <v>640.46</v>
      </c>
      <c r="H86" s="105">
        <f t="shared" si="82"/>
        <v>0</v>
      </c>
      <c r="I86" s="10">
        <v>31</v>
      </c>
      <c r="J86" s="15">
        <v>0</v>
      </c>
      <c r="K86" s="15">
        <v>336</v>
      </c>
      <c r="L86" s="10">
        <v>0</v>
      </c>
      <c r="M86" s="248">
        <v>36.1</v>
      </c>
      <c r="N86" s="15">
        <f>'CDM Activity '!H167</f>
        <v>6332678.8966130316</v>
      </c>
      <c r="O86" s="15">
        <v>714.3</v>
      </c>
      <c r="P86" s="105">
        <v>150.67756437229883</v>
      </c>
      <c r="Q86" s="15">
        <f>Q85+(Q92-Q80)/12</f>
        <v>78173.374767984147</v>
      </c>
      <c r="R86" s="10">
        <f t="shared" si="64"/>
        <v>155967103.06616133</v>
      </c>
      <c r="S86" s="48">
        <f t="shared" si="60"/>
        <v>5293376.2553651333</v>
      </c>
      <c r="T86" s="109">
        <f t="shared" si="61"/>
        <v>4.258871924294319E-2</v>
      </c>
      <c r="U86" s="13">
        <f t="shared" si="62"/>
        <v>4.258871924294319E-2</v>
      </c>
    </row>
    <row r="87" spans="1:21" customFormat="1" x14ac:dyDescent="0.2">
      <c r="A87" s="49">
        <v>42035</v>
      </c>
      <c r="B87" s="6"/>
      <c r="C87" s="15"/>
      <c r="D87" s="6">
        <v>133625740.89103362</v>
      </c>
      <c r="E87" s="6">
        <v>28483298.699252803</v>
      </c>
      <c r="F87" s="15">
        <f t="shared" si="58"/>
        <v>162109039.59028643</v>
      </c>
      <c r="G87" s="105">
        <f t="shared" ref="G87:H87" si="83">G75</f>
        <v>738.59000000000015</v>
      </c>
      <c r="H87" s="105">
        <f t="shared" si="83"/>
        <v>0</v>
      </c>
      <c r="I87" s="10">
        <v>31</v>
      </c>
      <c r="J87" s="15">
        <v>0</v>
      </c>
      <c r="K87" s="15">
        <v>336</v>
      </c>
      <c r="L87" s="10">
        <v>0</v>
      </c>
      <c r="M87" s="248">
        <v>37.5</v>
      </c>
      <c r="N87" s="15">
        <f>'CDM Activity '!H168</f>
        <v>6459183.2072933279</v>
      </c>
      <c r="O87" s="15">
        <v>705.7</v>
      </c>
      <c r="P87" s="105">
        <v>150.98793548444445</v>
      </c>
      <c r="Q87" s="15">
        <f>Q86+(Q92-Q80)/12</f>
        <v>78220.041450081451</v>
      </c>
      <c r="R87" s="10">
        <f t="shared" si="64"/>
        <v>157931486.35646135</v>
      </c>
      <c r="S87" s="48">
        <f t="shared" si="60"/>
        <v>-4177553.2338250875</v>
      </c>
      <c r="T87" s="109">
        <f t="shared" si="61"/>
        <v>-3.1263087530655584E-2</v>
      </c>
      <c r="U87" s="13">
        <f t="shared" si="62"/>
        <v>3.1263087530655584E-2</v>
      </c>
    </row>
    <row r="88" spans="1:21" customFormat="1" x14ac:dyDescent="0.2">
      <c r="A88" s="49">
        <v>42063</v>
      </c>
      <c r="B88" s="6"/>
      <c r="C88" s="15"/>
      <c r="D88" s="6">
        <v>124603163.13823162</v>
      </c>
      <c r="E88" s="6">
        <v>26450485.678704858</v>
      </c>
      <c r="F88" s="15">
        <f t="shared" si="58"/>
        <v>151053648.81693649</v>
      </c>
      <c r="G88" s="105">
        <f t="shared" ref="G88:H88" si="84">G76</f>
        <v>671.5200000000001</v>
      </c>
      <c r="H88" s="105">
        <f t="shared" si="84"/>
        <v>0</v>
      </c>
      <c r="I88" s="10">
        <v>28</v>
      </c>
      <c r="J88" s="15">
        <v>0</v>
      </c>
      <c r="K88" s="15">
        <v>304</v>
      </c>
      <c r="L88" s="10">
        <v>0</v>
      </c>
      <c r="M88" s="248">
        <v>40</v>
      </c>
      <c r="N88" s="15">
        <f>'CDM Activity '!H169</f>
        <v>6585687.5179736242</v>
      </c>
      <c r="O88" s="15">
        <v>700.1</v>
      </c>
      <c r="P88" s="105">
        <v>151.298945910264</v>
      </c>
      <c r="Q88" s="15">
        <f>Q87+(Q92-Q80)/12</f>
        <v>78266.708132178755</v>
      </c>
      <c r="R88" s="10">
        <f t="shared" si="64"/>
        <v>145747676.27875578</v>
      </c>
      <c r="S88" s="48">
        <f t="shared" si="60"/>
        <v>-5305972.5381807089</v>
      </c>
      <c r="T88" s="109">
        <f t="shared" si="61"/>
        <v>-4.258296823728621E-2</v>
      </c>
      <c r="U88" s="13">
        <f t="shared" si="62"/>
        <v>4.258296823728621E-2</v>
      </c>
    </row>
    <row r="89" spans="1:21" customFormat="1" x14ac:dyDescent="0.2">
      <c r="A89" s="49">
        <v>42094</v>
      </c>
      <c r="B89" s="6"/>
      <c r="C89" s="15"/>
      <c r="D89" s="6">
        <v>127778879.20298879</v>
      </c>
      <c r="E89" s="6">
        <v>25982067.247820672</v>
      </c>
      <c r="F89" s="15">
        <f t="shared" si="58"/>
        <v>153760946.45080945</v>
      </c>
      <c r="G89" s="105">
        <f t="shared" ref="G89:H89" si="85">G77</f>
        <v>569.22</v>
      </c>
      <c r="H89" s="105">
        <f t="shared" si="85"/>
        <v>0</v>
      </c>
      <c r="I89" s="10">
        <v>31</v>
      </c>
      <c r="J89" s="15">
        <v>1</v>
      </c>
      <c r="K89" s="15">
        <v>352</v>
      </c>
      <c r="L89" s="10">
        <v>0</v>
      </c>
      <c r="M89" s="248">
        <v>42.5</v>
      </c>
      <c r="N89" s="15">
        <f>'CDM Activity '!H170</f>
        <v>6712191.8286539204</v>
      </c>
      <c r="O89" s="15">
        <v>698.3</v>
      </c>
      <c r="P89" s="105">
        <v>151.61059696663892</v>
      </c>
      <c r="Q89" s="15">
        <f>Q88+(Q92-Q80)/12</f>
        <v>78313.37481427606</v>
      </c>
      <c r="R89" s="10">
        <f t="shared" si="64"/>
        <v>150756128.59232628</v>
      </c>
      <c r="S89" s="48">
        <f t="shared" si="60"/>
        <v>-3004817.8584831655</v>
      </c>
      <c r="T89" s="109">
        <f t="shared" si="61"/>
        <v>-2.3515763146660016E-2</v>
      </c>
      <c r="U89" s="13">
        <f t="shared" si="62"/>
        <v>2.3515763146660016E-2</v>
      </c>
    </row>
    <row r="90" spans="1:21" customFormat="1" x14ac:dyDescent="0.2">
      <c r="A90" s="49">
        <v>42124</v>
      </c>
      <c r="B90" s="6"/>
      <c r="C90" s="15"/>
      <c r="D90" s="6">
        <v>113553574.09713575</v>
      </c>
      <c r="E90" s="6">
        <v>22692801.992528021</v>
      </c>
      <c r="F90" s="15">
        <f t="shared" si="58"/>
        <v>136246376.08966377</v>
      </c>
      <c r="G90" s="105">
        <f t="shared" ref="G90:H90" si="86">G78</f>
        <v>337.61</v>
      </c>
      <c r="H90" s="105">
        <f t="shared" si="86"/>
        <v>0.32</v>
      </c>
      <c r="I90" s="10">
        <v>30</v>
      </c>
      <c r="J90" s="15">
        <v>1</v>
      </c>
      <c r="K90" s="15">
        <v>336</v>
      </c>
      <c r="L90" s="10">
        <v>0</v>
      </c>
      <c r="M90" s="248">
        <v>46.6</v>
      </c>
      <c r="N90" s="15">
        <f>'CDM Activity '!H171</f>
        <v>6838696.1393342167</v>
      </c>
      <c r="O90" s="15">
        <v>697.6</v>
      </c>
      <c r="P90" s="105">
        <v>151.92288997316331</v>
      </c>
      <c r="Q90" s="15">
        <f>Q89+(Q92-Q80)/12</f>
        <v>78360.041496373364</v>
      </c>
      <c r="R90" s="10">
        <f t="shared" si="64"/>
        <v>140642400.61070061</v>
      </c>
      <c r="S90" s="48">
        <f t="shared" si="60"/>
        <v>4396024.5210368335</v>
      </c>
      <c r="T90" s="109">
        <f t="shared" si="61"/>
        <v>3.8713220222169283E-2</v>
      </c>
      <c r="U90" s="13">
        <f t="shared" si="62"/>
        <v>3.8713220222169283E-2</v>
      </c>
    </row>
    <row r="91" spans="1:21" customFormat="1" x14ac:dyDescent="0.2">
      <c r="A91" s="49">
        <v>42155</v>
      </c>
      <c r="B91" s="6"/>
      <c r="C91" s="15"/>
      <c r="D91" s="6">
        <v>118977011.2079701</v>
      </c>
      <c r="E91" s="6">
        <v>23105902.864259031</v>
      </c>
      <c r="F91" s="15">
        <f t="shared" si="58"/>
        <v>142082914.07222912</v>
      </c>
      <c r="G91" s="105">
        <f t="shared" ref="G91:H91" si="87">G79</f>
        <v>162.60999999999996</v>
      </c>
      <c r="H91" s="105">
        <f t="shared" si="87"/>
        <v>13.16</v>
      </c>
      <c r="I91" s="10">
        <v>31</v>
      </c>
      <c r="J91" s="15">
        <v>1</v>
      </c>
      <c r="K91" s="15">
        <v>320</v>
      </c>
      <c r="L91" s="10">
        <v>0</v>
      </c>
      <c r="M91" s="248">
        <v>46.7</v>
      </c>
      <c r="N91" s="15">
        <f>'CDM Activity '!H172</f>
        <v>6965200.450014513</v>
      </c>
      <c r="O91" s="15">
        <v>704.9</v>
      </c>
      <c r="P91" s="105">
        <v>152.23582625214937</v>
      </c>
      <c r="Q91" s="15">
        <f>Q90+(Q92-Q80)/12</f>
        <v>78406.708178470668</v>
      </c>
      <c r="R91" s="10">
        <f t="shared" si="64"/>
        <v>141350679.03138077</v>
      </c>
      <c r="S91" s="48">
        <f t="shared" si="60"/>
        <v>-732235.04084834456</v>
      </c>
      <c r="T91" s="109">
        <f t="shared" si="61"/>
        <v>-6.1544245683597502E-3</v>
      </c>
      <c r="U91" s="13">
        <f t="shared" si="62"/>
        <v>6.1544245683597502E-3</v>
      </c>
    </row>
    <row r="92" spans="1:21" customFormat="1" x14ac:dyDescent="0.2">
      <c r="A92" s="49">
        <v>42185</v>
      </c>
      <c r="B92" s="6"/>
      <c r="C92" s="15"/>
      <c r="D92" s="6">
        <v>121965915.31755915</v>
      </c>
      <c r="E92" s="6">
        <v>22350012.453300126</v>
      </c>
      <c r="F92" s="15">
        <f t="shared" si="58"/>
        <v>144315927.77085927</v>
      </c>
      <c r="G92" s="105">
        <f t="shared" ref="G92:H92" si="88">G80</f>
        <v>47.94</v>
      </c>
      <c r="H92" s="105">
        <f t="shared" si="88"/>
        <v>35.67</v>
      </c>
      <c r="I92" s="10">
        <v>30</v>
      </c>
      <c r="J92" s="15">
        <v>0</v>
      </c>
      <c r="K92" s="15">
        <v>352</v>
      </c>
      <c r="L92" s="10">
        <v>0</v>
      </c>
      <c r="M92" s="248">
        <v>40.4</v>
      </c>
      <c r="N92" s="15">
        <f>'CDM Activity '!H173</f>
        <v>7091704.7606948093</v>
      </c>
      <c r="O92" s="15">
        <v>715.1</v>
      </c>
      <c r="P92" s="105">
        <v>152.54940712863302</v>
      </c>
      <c r="Q92" s="15">
        <f>'Rate Class Customer Model'!S18</f>
        <v>78453.374860568016</v>
      </c>
      <c r="R92" s="10">
        <f t="shared" si="64"/>
        <v>150931740.32970577</v>
      </c>
      <c r="S92" s="48">
        <f t="shared" si="60"/>
        <v>6615812.5588465035</v>
      </c>
      <c r="T92" s="109">
        <f t="shared" si="61"/>
        <v>5.424312638183465E-2</v>
      </c>
      <c r="U92" s="13">
        <f t="shared" si="62"/>
        <v>5.424312638183465E-2</v>
      </c>
    </row>
    <row r="93" spans="1:21" customFormat="1" x14ac:dyDescent="0.2">
      <c r="A93" s="49">
        <v>42216</v>
      </c>
      <c r="B93" s="6"/>
      <c r="C93" s="15"/>
      <c r="D93" s="6">
        <v>133656338.72976337</v>
      </c>
      <c r="E93" s="6">
        <v>25652191.780821916</v>
      </c>
      <c r="F93" s="15">
        <f t="shared" si="58"/>
        <v>159308530.51058528</v>
      </c>
      <c r="G93" s="105">
        <f t="shared" ref="G93:H93" si="89">G81</f>
        <v>13.190000000000001</v>
      </c>
      <c r="H93" s="105">
        <f t="shared" si="89"/>
        <v>77.03</v>
      </c>
      <c r="I93" s="10">
        <v>31</v>
      </c>
      <c r="J93" s="15">
        <v>0</v>
      </c>
      <c r="K93" s="15">
        <v>352</v>
      </c>
      <c r="L93" s="10">
        <v>0</v>
      </c>
      <c r="M93" s="248">
        <v>38.700000000000003</v>
      </c>
      <c r="N93" s="15">
        <f>'CDM Activity '!H174</f>
        <v>7218209.0713751055</v>
      </c>
      <c r="O93" s="15">
        <v>716.6</v>
      </c>
      <c r="P93" s="105">
        <v>152.86363393037959</v>
      </c>
      <c r="Q93" s="15">
        <f>Q92+(Q104-Q92)/12</f>
        <v>78529.653990146006</v>
      </c>
      <c r="R93" s="10">
        <f t="shared" si="64"/>
        <v>165413098.0854505</v>
      </c>
      <c r="S93" s="48">
        <f t="shared" si="60"/>
        <v>6104567.574865222</v>
      </c>
      <c r="T93" s="109">
        <f t="shared" si="61"/>
        <v>4.5673610641152641E-2</v>
      </c>
      <c r="U93" s="13">
        <f t="shared" si="62"/>
        <v>4.5673610641152641E-2</v>
      </c>
    </row>
    <row r="94" spans="1:21" customFormat="1" x14ac:dyDescent="0.2">
      <c r="A94" s="49">
        <v>42247</v>
      </c>
      <c r="B94" s="6"/>
      <c r="C94" s="15"/>
      <c r="D94" s="6">
        <v>129788505.60398506</v>
      </c>
      <c r="E94" s="6">
        <v>25172141.96762142</v>
      </c>
      <c r="F94" s="15">
        <f t="shared" si="58"/>
        <v>154960647.57160649</v>
      </c>
      <c r="G94" s="105">
        <f t="shared" ref="G94:H94" si="90">G82</f>
        <v>23.65</v>
      </c>
      <c r="H94" s="105">
        <f t="shared" si="90"/>
        <v>52.65</v>
      </c>
      <c r="I94" s="10">
        <v>31</v>
      </c>
      <c r="J94" s="15">
        <v>0</v>
      </c>
      <c r="K94" s="15">
        <v>320</v>
      </c>
      <c r="L94" s="10">
        <v>0</v>
      </c>
      <c r="M94" s="248">
        <v>42</v>
      </c>
      <c r="N94" s="15">
        <f>'CDM Activity '!H175</f>
        <v>7344713.3820554018</v>
      </c>
      <c r="O94" s="15">
        <v>713.1</v>
      </c>
      <c r="P94" s="105">
        <v>153.17850798788936</v>
      </c>
      <c r="Q94" s="15">
        <f>Q93+(Q104-Q92)/12</f>
        <v>78605.933119723995</v>
      </c>
      <c r="R94" s="10">
        <f t="shared" si="64"/>
        <v>154624330.4233323</v>
      </c>
      <c r="S94" s="48">
        <f t="shared" si="60"/>
        <v>-336317.14827418327</v>
      </c>
      <c r="T94" s="109">
        <f t="shared" si="61"/>
        <v>-2.5912706730776697E-3</v>
      </c>
      <c r="U94" s="13">
        <f t="shared" si="62"/>
        <v>2.5912706730776697E-3</v>
      </c>
    </row>
    <row r="95" spans="1:21" customFormat="1" x14ac:dyDescent="0.2">
      <c r="A95" s="49">
        <v>42277</v>
      </c>
      <c r="B95" s="6"/>
      <c r="C95" s="15"/>
      <c r="D95" s="6">
        <v>126407011.20797011</v>
      </c>
      <c r="E95" s="6">
        <v>24929937.733499378</v>
      </c>
      <c r="F95" s="15">
        <f t="shared" si="58"/>
        <v>151336948.94146949</v>
      </c>
      <c r="G95" s="105">
        <f t="shared" ref="G95:H95" si="91">G83</f>
        <v>96.9</v>
      </c>
      <c r="H95" s="105">
        <f t="shared" si="91"/>
        <v>20.790000000000003</v>
      </c>
      <c r="I95" s="10">
        <v>30</v>
      </c>
      <c r="J95" s="15">
        <v>1</v>
      </c>
      <c r="K95" s="15">
        <v>336</v>
      </c>
      <c r="L95" s="10">
        <v>0</v>
      </c>
      <c r="M95" s="248">
        <v>42.8</v>
      </c>
      <c r="N95" s="15">
        <f>'CDM Activity '!H176</f>
        <v>7471217.6927356981</v>
      </c>
      <c r="O95" s="15">
        <v>710.2</v>
      </c>
      <c r="P95" s="105">
        <v>153.4940306344032</v>
      </c>
      <c r="Q95" s="15">
        <f>Q94+(Q104-Q92)/12</f>
        <v>78682.212249301985</v>
      </c>
      <c r="R95" s="10">
        <f t="shared" si="64"/>
        <v>142102047.26321164</v>
      </c>
      <c r="S95" s="48">
        <f t="shared" si="60"/>
        <v>-9234901.6782578528</v>
      </c>
      <c r="T95" s="109">
        <f t="shared" si="61"/>
        <v>-7.3056878649430335E-2</v>
      </c>
      <c r="U95" s="13">
        <f t="shared" si="62"/>
        <v>7.3056878649430335E-2</v>
      </c>
    </row>
    <row r="96" spans="1:21" customFormat="1" x14ac:dyDescent="0.2">
      <c r="A96" s="49">
        <v>42308</v>
      </c>
      <c r="B96" s="6"/>
      <c r="C96" s="15"/>
      <c r="D96" s="6">
        <v>116420946.45080946</v>
      </c>
      <c r="E96" s="6">
        <v>22322054.794520549</v>
      </c>
      <c r="F96" s="15">
        <f t="shared" si="58"/>
        <v>138743001.24533001</v>
      </c>
      <c r="G96" s="105">
        <f t="shared" ref="G96:H96" si="92">G84</f>
        <v>273.46999999999997</v>
      </c>
      <c r="H96" s="105">
        <f t="shared" si="92"/>
        <v>0.51</v>
      </c>
      <c r="I96" s="10">
        <v>31</v>
      </c>
      <c r="J96" s="15">
        <v>1</v>
      </c>
      <c r="K96" s="15">
        <v>336</v>
      </c>
      <c r="L96" s="10">
        <v>0</v>
      </c>
      <c r="M96" s="248">
        <v>39.700000000000003</v>
      </c>
      <c r="N96" s="15">
        <f>'CDM Activity '!H177</f>
        <v>7597722.0034159943</v>
      </c>
      <c r="O96" s="15">
        <v>716.9</v>
      </c>
      <c r="P96" s="105">
        <v>153.81020320590829</v>
      </c>
      <c r="Q96" s="15">
        <f>Q95+(Q104-Q92)/12</f>
        <v>78758.491378879975</v>
      </c>
      <c r="R96" s="10">
        <f t="shared" si="64"/>
        <v>143214995.35950503</v>
      </c>
      <c r="S96" s="48">
        <f t="shared" si="60"/>
        <v>4471994.1141750216</v>
      </c>
      <c r="T96" s="109">
        <f t="shared" si="61"/>
        <v>3.8412281041406433E-2</v>
      </c>
      <c r="U96" s="13">
        <f t="shared" si="62"/>
        <v>3.8412281041406433E-2</v>
      </c>
    </row>
    <row r="97" spans="1:21" customFormat="1" x14ac:dyDescent="0.2">
      <c r="A97" s="49">
        <v>42338</v>
      </c>
      <c r="B97" s="6"/>
      <c r="C97" s="15"/>
      <c r="D97" s="6">
        <v>117582278.95392279</v>
      </c>
      <c r="E97" s="6">
        <v>22495330.012453299</v>
      </c>
      <c r="F97" s="15">
        <f t="shared" si="58"/>
        <v>140077608.9663761</v>
      </c>
      <c r="G97" s="105">
        <f t="shared" ref="G97:H97" si="93">G85</f>
        <v>439.9</v>
      </c>
      <c r="H97" s="105">
        <f t="shared" si="93"/>
        <v>0</v>
      </c>
      <c r="I97" s="10">
        <v>30</v>
      </c>
      <c r="J97" s="15">
        <v>1</v>
      </c>
      <c r="K97" s="15">
        <v>320</v>
      </c>
      <c r="L97" s="10">
        <v>0</v>
      </c>
      <c r="M97" s="248">
        <v>33.6</v>
      </c>
      <c r="N97" s="15">
        <f>'CDM Activity '!H178</f>
        <v>7724226.3140962906</v>
      </c>
      <c r="O97" s="15">
        <v>721</v>
      </c>
      <c r="P97" s="105">
        <v>154.12702704114372</v>
      </c>
      <c r="Q97" s="15">
        <f>Q96+(Q104-Q92)/12</f>
        <v>78834.770508457965</v>
      </c>
      <c r="R97" s="10">
        <f t="shared" si="64"/>
        <v>144579057.30648771</v>
      </c>
      <c r="S97" s="48">
        <f t="shared" si="60"/>
        <v>4501448.3401116133</v>
      </c>
      <c r="T97" s="109">
        <f t="shared" si="61"/>
        <v>3.8283390832011384E-2</v>
      </c>
      <c r="U97" s="13">
        <f t="shared" si="62"/>
        <v>3.8283390832011384E-2</v>
      </c>
    </row>
    <row r="98" spans="1:21" customFormat="1" x14ac:dyDescent="0.2">
      <c r="A98" s="49">
        <v>42369</v>
      </c>
      <c r="B98" s="6"/>
      <c r="C98" s="15"/>
      <c r="D98" s="6">
        <v>119503997.42901617</v>
      </c>
      <c r="E98" s="6">
        <v>23879811.775217932</v>
      </c>
      <c r="F98" s="15">
        <f t="shared" si="58"/>
        <v>143383809.20423409</v>
      </c>
      <c r="G98" s="105">
        <f t="shared" ref="G98:H98" si="94">G86</f>
        <v>640.46</v>
      </c>
      <c r="H98" s="105">
        <f t="shared" si="94"/>
        <v>0</v>
      </c>
      <c r="I98" s="10">
        <v>31</v>
      </c>
      <c r="J98" s="15">
        <v>0</v>
      </c>
      <c r="K98" s="15">
        <v>352</v>
      </c>
      <c r="L98" s="10">
        <v>0</v>
      </c>
      <c r="M98" s="248">
        <v>36.1</v>
      </c>
      <c r="N98" s="15">
        <f>'CDM Activity '!H179</f>
        <v>7850730.6247765869</v>
      </c>
      <c r="O98" s="15">
        <v>718.7</v>
      </c>
      <c r="P98" s="105">
        <v>154.44450348160629</v>
      </c>
      <c r="Q98" s="15">
        <f>Q97+(Q104-Q92)/12</f>
        <v>78911.049638035955</v>
      </c>
      <c r="R98" s="10">
        <f t="shared" si="64"/>
        <v>157405942.91040051</v>
      </c>
      <c r="S98" s="48">
        <f t="shared" si="60"/>
        <v>14022133.706166416</v>
      </c>
      <c r="T98" s="109">
        <f t="shared" si="61"/>
        <v>0.11733610596997295</v>
      </c>
      <c r="U98" s="13">
        <f t="shared" si="62"/>
        <v>0.11733610596997295</v>
      </c>
    </row>
    <row r="99" spans="1:21" customFormat="1" x14ac:dyDescent="0.2">
      <c r="A99" s="49">
        <v>42400</v>
      </c>
      <c r="B99" s="6"/>
      <c r="C99" s="15"/>
      <c r="D99" s="6">
        <v>124164357.45492874</v>
      </c>
      <c r="E99" s="6">
        <v>27315110.418699943</v>
      </c>
      <c r="F99" s="15">
        <f t="shared" si="58"/>
        <v>151479467.87362868</v>
      </c>
      <c r="G99" s="105">
        <f t="shared" ref="G99:H99" si="95">G87</f>
        <v>738.59000000000015</v>
      </c>
      <c r="H99" s="105">
        <f t="shared" si="95"/>
        <v>0</v>
      </c>
      <c r="I99" s="10">
        <v>31</v>
      </c>
      <c r="J99" s="15">
        <v>0</v>
      </c>
      <c r="K99" s="15">
        <v>320</v>
      </c>
      <c r="L99" s="10">
        <v>1</v>
      </c>
      <c r="M99" s="248">
        <v>39.5</v>
      </c>
      <c r="N99" s="15">
        <f>'CDM Activity '!H180</f>
        <v>7965870.7376582809</v>
      </c>
      <c r="O99" s="15">
        <v>715.8</v>
      </c>
      <c r="P99" s="105">
        <v>154.72483615659849</v>
      </c>
      <c r="Q99" s="15">
        <f>Q98+(Q104-Q92)/12</f>
        <v>78987.328767613944</v>
      </c>
      <c r="R99" s="10">
        <f t="shared" si="64"/>
        <v>146080628.84795797</v>
      </c>
      <c r="S99" s="48">
        <f t="shared" si="60"/>
        <v>-5398839.0256707072</v>
      </c>
      <c r="T99" s="109">
        <f t="shared" si="61"/>
        <v>-4.3481391410014489E-2</v>
      </c>
      <c r="U99" s="13">
        <f t="shared" si="62"/>
        <v>4.3481391410014489E-2</v>
      </c>
    </row>
    <row r="100" spans="1:21" customFormat="1" x14ac:dyDescent="0.2">
      <c r="A100" s="49">
        <v>42429</v>
      </c>
      <c r="B100" s="6"/>
      <c r="C100" s="15"/>
      <c r="D100" s="6">
        <v>114712727.27272728</v>
      </c>
      <c r="E100" s="6">
        <v>24324625.983821452</v>
      </c>
      <c r="F100" s="15">
        <f t="shared" si="58"/>
        <v>139037353.25654873</v>
      </c>
      <c r="G100" s="105">
        <f t="shared" ref="G100:H100" si="96">G88</f>
        <v>671.5200000000001</v>
      </c>
      <c r="H100" s="105">
        <f t="shared" si="96"/>
        <v>0</v>
      </c>
      <c r="I100" s="10">
        <v>29</v>
      </c>
      <c r="J100" s="15">
        <v>0</v>
      </c>
      <c r="K100" s="15">
        <v>320</v>
      </c>
      <c r="L100" s="10">
        <v>1</v>
      </c>
      <c r="M100" s="248">
        <v>41.9</v>
      </c>
      <c r="N100" s="15">
        <f>'CDM Activity '!H181</f>
        <v>8081010.8505399749</v>
      </c>
      <c r="O100" s="15">
        <v>710.9</v>
      </c>
      <c r="P100" s="105">
        <v>155.00567766425806</v>
      </c>
      <c r="Q100" s="15">
        <f>Q99+(Q104-Q92)/12</f>
        <v>79063.607897191934</v>
      </c>
      <c r="R100" s="10">
        <f t="shared" si="64"/>
        <v>139179772.14562699</v>
      </c>
      <c r="S100" s="48">
        <f t="shared" si="60"/>
        <v>142418.88907825947</v>
      </c>
      <c r="T100" s="109">
        <f t="shared" si="61"/>
        <v>1.2415264850225496E-3</v>
      </c>
      <c r="U100" s="13">
        <f t="shared" si="62"/>
        <v>1.2415264850225496E-3</v>
      </c>
    </row>
    <row r="101" spans="1:21" customFormat="1" x14ac:dyDescent="0.2">
      <c r="A101" s="49">
        <v>42460</v>
      </c>
      <c r="B101" s="6"/>
      <c r="C101" s="15"/>
      <c r="D101" s="6">
        <v>115985691.1581569</v>
      </c>
      <c r="E101" s="6">
        <v>23571150.531759437</v>
      </c>
      <c r="F101" s="15">
        <f t="shared" si="58"/>
        <v>139556841.68991634</v>
      </c>
      <c r="G101" s="105">
        <f t="shared" ref="G101:H101" si="97">G89</f>
        <v>569.22</v>
      </c>
      <c r="H101" s="105">
        <f t="shared" si="97"/>
        <v>0</v>
      </c>
      <c r="I101" s="10">
        <v>31</v>
      </c>
      <c r="J101" s="15">
        <v>1</v>
      </c>
      <c r="K101" s="15">
        <v>352</v>
      </c>
      <c r="L101" s="10">
        <v>1</v>
      </c>
      <c r="M101" s="248">
        <v>45</v>
      </c>
      <c r="N101" s="15">
        <f>'CDM Activity '!H182</f>
        <v>8196150.9634216689</v>
      </c>
      <c r="O101" s="15">
        <v>709.4</v>
      </c>
      <c r="P101" s="105">
        <v>155.2870289281687</v>
      </c>
      <c r="Q101" s="15">
        <f>Q100+(Q104-Q92)/12</f>
        <v>79139.887026769924</v>
      </c>
      <c r="R101" s="10">
        <f t="shared" si="64"/>
        <v>140225688.30596241</v>
      </c>
      <c r="S101" s="48">
        <f t="shared" si="60"/>
        <v>668846.61604607105</v>
      </c>
      <c r="T101" s="109">
        <f t="shared" si="61"/>
        <v>5.7666304297315316E-3</v>
      </c>
      <c r="U101" s="13">
        <f t="shared" si="62"/>
        <v>5.7666304297315316E-3</v>
      </c>
    </row>
    <row r="102" spans="1:21" customFormat="1" x14ac:dyDescent="0.2">
      <c r="A102" s="49">
        <v>42490</v>
      </c>
      <c r="B102" s="6"/>
      <c r="C102" s="15"/>
      <c r="D102" s="6">
        <v>108711843.08841842</v>
      </c>
      <c r="E102" s="6">
        <v>22027658.292273544</v>
      </c>
      <c r="F102" s="15">
        <f t="shared" si="58"/>
        <v>130739501.38069198</v>
      </c>
      <c r="G102" s="105">
        <f t="shared" ref="G102:H102" si="98">G90</f>
        <v>337.61</v>
      </c>
      <c r="H102" s="105">
        <f t="shared" si="98"/>
        <v>0.32</v>
      </c>
      <c r="I102" s="10">
        <v>30</v>
      </c>
      <c r="J102" s="15">
        <v>1</v>
      </c>
      <c r="K102" s="15">
        <v>336</v>
      </c>
      <c r="L102" s="10">
        <v>1</v>
      </c>
      <c r="M102" s="248">
        <v>45.1</v>
      </c>
      <c r="N102" s="15">
        <f>'CDM Activity '!H183</f>
        <v>8311291.0763033628</v>
      </c>
      <c r="O102" s="15">
        <v>707.4</v>
      </c>
      <c r="P102" s="105">
        <v>155.56889087359048</v>
      </c>
      <c r="Q102" s="15">
        <f>Q101+(Q104-Q92)/12</f>
        <v>79216.166156347914</v>
      </c>
      <c r="R102" s="10">
        <f t="shared" si="64"/>
        <v>131059341.30113433</v>
      </c>
      <c r="S102" s="48">
        <f t="shared" si="60"/>
        <v>319839.92044235766</v>
      </c>
      <c r="T102" s="109">
        <f t="shared" si="61"/>
        <v>2.9420890250404712E-3</v>
      </c>
      <c r="U102" s="13">
        <f t="shared" si="62"/>
        <v>2.9420890250404712E-3</v>
      </c>
    </row>
    <row r="103" spans="1:21" customFormat="1" x14ac:dyDescent="0.2">
      <c r="A103" s="49">
        <v>42521</v>
      </c>
      <c r="B103" s="6"/>
      <c r="C103" s="15"/>
      <c r="D103" s="6">
        <v>112495043.58655044</v>
      </c>
      <c r="E103" s="6">
        <v>22299544.061383914</v>
      </c>
      <c r="F103" s="15">
        <f t="shared" si="58"/>
        <v>134794587.64793435</v>
      </c>
      <c r="G103" s="105">
        <f t="shared" ref="G103:H103" si="99">G91</f>
        <v>162.60999999999996</v>
      </c>
      <c r="H103" s="105">
        <f t="shared" si="99"/>
        <v>13.16</v>
      </c>
      <c r="I103" s="10">
        <v>31</v>
      </c>
      <c r="J103" s="15">
        <v>1</v>
      </c>
      <c r="K103" s="15">
        <v>336</v>
      </c>
      <c r="L103" s="10">
        <v>1</v>
      </c>
      <c r="M103" s="248">
        <v>44.6</v>
      </c>
      <c r="N103" s="15">
        <f>'CDM Activity '!H184</f>
        <v>8426431.1891850568</v>
      </c>
      <c r="O103" s="15">
        <v>712.4</v>
      </c>
      <c r="P103" s="105">
        <v>155.85126442746289</v>
      </c>
      <c r="Q103" s="15">
        <f>Q102+($Q$104-$Q$92)/12</f>
        <v>79292.445285925904</v>
      </c>
      <c r="R103" s="10">
        <f t="shared" si="64"/>
        <v>133348566.7125733</v>
      </c>
      <c r="S103" s="48">
        <f t="shared" si="60"/>
        <v>-1446020.9353610426</v>
      </c>
      <c r="T103" s="109">
        <f t="shared" si="61"/>
        <v>-1.2854085737995343E-2</v>
      </c>
      <c r="U103" s="13">
        <f t="shared" si="62"/>
        <v>1.2854085737995343E-2</v>
      </c>
    </row>
    <row r="104" spans="1:21" customFormat="1" x14ac:dyDescent="0.2">
      <c r="A104" s="49">
        <v>42551</v>
      </c>
      <c r="B104" s="6"/>
      <c r="C104" s="15"/>
      <c r="D104" s="6">
        <v>119239115.81569116</v>
      </c>
      <c r="E104" s="6">
        <v>23713682.415274829</v>
      </c>
      <c r="F104" s="15">
        <f t="shared" si="58"/>
        <v>142952798.23096597</v>
      </c>
      <c r="G104" s="105">
        <f t="shared" ref="G104:H104" si="100">G92</f>
        <v>47.94</v>
      </c>
      <c r="H104" s="105">
        <f t="shared" si="100"/>
        <v>35.67</v>
      </c>
      <c r="I104" s="10">
        <v>30</v>
      </c>
      <c r="J104" s="15">
        <v>0</v>
      </c>
      <c r="K104" s="15">
        <v>352</v>
      </c>
      <c r="L104" s="10">
        <v>1</v>
      </c>
      <c r="M104" s="248">
        <v>41</v>
      </c>
      <c r="N104" s="15">
        <f>'CDM Activity '!H185</f>
        <v>8541571.3020667508</v>
      </c>
      <c r="O104" s="15">
        <v>714.6</v>
      </c>
      <c r="P104" s="105">
        <v>156.13415051840798</v>
      </c>
      <c r="Q104" s="15">
        <f>'Rate Class Customer Model'!S19</f>
        <v>79368.724415503937</v>
      </c>
      <c r="R104" s="10">
        <f t="shared" si="64"/>
        <v>140851306.00732076</v>
      </c>
      <c r="S104" s="48">
        <f t="shared" si="60"/>
        <v>-2101492.2236452103</v>
      </c>
      <c r="T104" s="109">
        <f t="shared" si="61"/>
        <v>-1.7624184893265255E-2</v>
      </c>
      <c r="U104" s="13">
        <f t="shared" si="62"/>
        <v>1.7624184893265255E-2</v>
      </c>
    </row>
    <row r="105" spans="1:21" customFormat="1" x14ac:dyDescent="0.2">
      <c r="A105" s="49">
        <v>42582</v>
      </c>
      <c r="B105" s="6"/>
      <c r="C105" s="15"/>
      <c r="D105" s="6">
        <v>131773673.72353673</v>
      </c>
      <c r="E105" s="6">
        <v>27256183.039972607</v>
      </c>
      <c r="F105" s="15">
        <f t="shared" si="58"/>
        <v>159029856.76350933</v>
      </c>
      <c r="G105" s="105">
        <f t="shared" ref="G105:H105" si="101">G93</f>
        <v>13.190000000000001</v>
      </c>
      <c r="H105" s="105">
        <f t="shared" si="101"/>
        <v>77.03</v>
      </c>
      <c r="I105" s="10">
        <v>31</v>
      </c>
      <c r="J105" s="15">
        <v>0</v>
      </c>
      <c r="K105" s="15">
        <v>320</v>
      </c>
      <c r="L105" s="10">
        <v>1</v>
      </c>
      <c r="M105" s="248">
        <v>41.2</v>
      </c>
      <c r="N105" s="15">
        <f>'CDM Activity '!H186</f>
        <v>8656711.4149484448</v>
      </c>
      <c r="O105" s="15">
        <v>712.3</v>
      </c>
      <c r="P105" s="105">
        <v>156.41755007673331</v>
      </c>
      <c r="Q105" s="15">
        <f t="shared" ref="Q105:Q110" si="102">Q104+($Q$104-$Q$92)/12</f>
        <v>79445.003545081927</v>
      </c>
      <c r="R105" s="10">
        <f t="shared" si="64"/>
        <v>152004978.11060825</v>
      </c>
      <c r="S105" s="48">
        <f t="shared" si="60"/>
        <v>-7024878.6529010832</v>
      </c>
      <c r="T105" s="109">
        <f t="shared" si="61"/>
        <v>-5.33101829401781E-2</v>
      </c>
      <c r="U105" s="13">
        <f t="shared" si="62"/>
        <v>5.33101829401781E-2</v>
      </c>
    </row>
    <row r="106" spans="1:21" customFormat="1" x14ac:dyDescent="0.2">
      <c r="A106" s="49">
        <v>42613</v>
      </c>
      <c r="B106" s="6"/>
      <c r="C106" s="15"/>
      <c r="D106" s="6">
        <v>139667123.28767124</v>
      </c>
      <c r="E106" s="6">
        <v>29367389.813449565</v>
      </c>
      <c r="F106" s="15">
        <f t="shared" si="58"/>
        <v>169034513.1011208</v>
      </c>
      <c r="G106" s="105">
        <f t="shared" ref="G106:H106" si="103">G94</f>
        <v>23.65</v>
      </c>
      <c r="H106" s="105">
        <f t="shared" si="103"/>
        <v>52.65</v>
      </c>
      <c r="I106" s="10">
        <v>31</v>
      </c>
      <c r="J106" s="15">
        <v>0</v>
      </c>
      <c r="K106" s="15">
        <v>352</v>
      </c>
      <c r="L106" s="10">
        <v>1</v>
      </c>
      <c r="M106" s="248">
        <v>42.5</v>
      </c>
      <c r="N106" s="15">
        <f>'CDM Activity '!H187</f>
        <v>8771851.5278301388</v>
      </c>
      <c r="O106" s="15">
        <v>707.1</v>
      </c>
      <c r="P106" s="105">
        <v>156.70146403443502</v>
      </c>
      <c r="Q106" s="15">
        <f t="shared" si="102"/>
        <v>79521.282674659917</v>
      </c>
      <c r="R106" s="10">
        <f t="shared" si="64"/>
        <v>147445260.3138456</v>
      </c>
      <c r="S106" s="48">
        <f t="shared" si="60"/>
        <v>-21589252.787275195</v>
      </c>
      <c r="T106" s="109">
        <f t="shared" si="61"/>
        <v>-0.15457648356376602</v>
      </c>
      <c r="U106" s="13">
        <f t="shared" si="62"/>
        <v>0.15457648356376602</v>
      </c>
    </row>
    <row r="107" spans="1:21" customFormat="1" x14ac:dyDescent="0.2">
      <c r="A107" s="49">
        <v>42643</v>
      </c>
      <c r="B107" s="6"/>
      <c r="C107" s="15"/>
      <c r="D107" s="6">
        <v>118293113.32503113</v>
      </c>
      <c r="E107" s="6">
        <v>25364594.889874332</v>
      </c>
      <c r="F107" s="15">
        <f t="shared" si="58"/>
        <v>143657708.21490547</v>
      </c>
      <c r="G107" s="105">
        <f t="shared" ref="G107:H107" si="104">G95</f>
        <v>96.9</v>
      </c>
      <c r="H107" s="105">
        <f t="shared" si="104"/>
        <v>20.790000000000003</v>
      </c>
      <c r="I107" s="10">
        <v>30</v>
      </c>
      <c r="J107" s="15">
        <v>1</v>
      </c>
      <c r="K107" s="15">
        <v>336</v>
      </c>
      <c r="L107" s="10">
        <v>1</v>
      </c>
      <c r="M107" s="248">
        <v>41.2</v>
      </c>
      <c r="N107" s="15">
        <f>'CDM Activity '!H188</f>
        <v>8886991.6407118328</v>
      </c>
      <c r="O107" s="15">
        <v>702.4</v>
      </c>
      <c r="P107" s="105">
        <v>156.98589332520095</v>
      </c>
      <c r="Q107" s="15">
        <f t="shared" si="102"/>
        <v>79597.561804237906</v>
      </c>
      <c r="R107" s="10">
        <f t="shared" si="64"/>
        <v>132542672.4780653</v>
      </c>
      <c r="S107" s="48">
        <f t="shared" si="60"/>
        <v>-11115035.736840174</v>
      </c>
      <c r="T107" s="109">
        <f t="shared" si="61"/>
        <v>-9.3961815903007465E-2</v>
      </c>
      <c r="U107" s="13">
        <f t="shared" si="62"/>
        <v>9.3961815903007465E-2</v>
      </c>
    </row>
    <row r="108" spans="1:21" customFormat="1" x14ac:dyDescent="0.2">
      <c r="A108" s="49">
        <v>42674</v>
      </c>
      <c r="B108" s="6"/>
      <c r="C108" s="15"/>
      <c r="D108" s="6">
        <v>110425367.37235369</v>
      </c>
      <c r="E108" s="6">
        <v>23565450.894993588</v>
      </c>
      <c r="F108" s="15">
        <f t="shared" si="58"/>
        <v>133990818.26734728</v>
      </c>
      <c r="G108" s="105">
        <f t="shared" ref="G108:H108" si="105">G96</f>
        <v>273.46999999999997</v>
      </c>
      <c r="H108" s="105">
        <f t="shared" si="105"/>
        <v>0.51</v>
      </c>
      <c r="I108" s="10">
        <v>31</v>
      </c>
      <c r="J108" s="15">
        <v>1</v>
      </c>
      <c r="K108" s="15">
        <v>320</v>
      </c>
      <c r="L108" s="10">
        <v>1</v>
      </c>
      <c r="M108" s="248">
        <v>38.9</v>
      </c>
      <c r="N108" s="15">
        <f>'CDM Activity '!H189</f>
        <v>9002131.7535935268</v>
      </c>
      <c r="O108" s="15">
        <v>702.3</v>
      </c>
      <c r="P108" s="105">
        <v>157.27083888441365</v>
      </c>
      <c r="Q108" s="15">
        <f t="shared" si="102"/>
        <v>79673.840933815896</v>
      </c>
      <c r="R108" s="10">
        <f t="shared" si="64"/>
        <v>132027304.53475997</v>
      </c>
      <c r="S108" s="48">
        <f t="shared" si="60"/>
        <v>-1963513.7325873077</v>
      </c>
      <c r="T108" s="109">
        <f t="shared" si="61"/>
        <v>-1.7781364729051351E-2</v>
      </c>
      <c r="U108" s="13">
        <f t="shared" si="62"/>
        <v>1.7781364729051351E-2</v>
      </c>
    </row>
    <row r="109" spans="1:21" customFormat="1" x14ac:dyDescent="0.2">
      <c r="A109" s="49">
        <v>42704</v>
      </c>
      <c r="B109" s="6"/>
      <c r="C109" s="15"/>
      <c r="D109" s="6">
        <v>110892453.30012453</v>
      </c>
      <c r="E109" s="6">
        <v>23371535.769803736</v>
      </c>
      <c r="F109" s="15">
        <f t="shared" si="58"/>
        <v>134263989.06992826</v>
      </c>
      <c r="G109" s="105">
        <f t="shared" ref="G109:H109" si="106">G97</f>
        <v>439.9</v>
      </c>
      <c r="H109" s="105">
        <f t="shared" si="106"/>
        <v>0</v>
      </c>
      <c r="I109" s="10">
        <v>30</v>
      </c>
      <c r="J109" s="15">
        <v>1</v>
      </c>
      <c r="K109" s="15">
        <v>336</v>
      </c>
      <c r="L109" s="10">
        <v>1</v>
      </c>
      <c r="M109" s="248">
        <v>34.200000000000003</v>
      </c>
      <c r="N109" s="15">
        <f>'CDM Activity '!H190</f>
        <v>9117271.8664752208</v>
      </c>
      <c r="O109" s="15">
        <v>699.2</v>
      </c>
      <c r="P109" s="105">
        <v>157.55630164915351</v>
      </c>
      <c r="Q109" s="15">
        <f t="shared" si="102"/>
        <v>79750.120063393886</v>
      </c>
      <c r="R109" s="10">
        <f t="shared" si="64"/>
        <v>135937462.8283419</v>
      </c>
      <c r="S109" s="48">
        <f t="shared" si="60"/>
        <v>1673473.7584136426</v>
      </c>
      <c r="T109" s="109">
        <f t="shared" si="61"/>
        <v>1.5090961635454803E-2</v>
      </c>
      <c r="U109" s="13">
        <f t="shared" si="62"/>
        <v>1.5090961635454803E-2</v>
      </c>
    </row>
    <row r="110" spans="1:21" customFormat="1" x14ac:dyDescent="0.2">
      <c r="A110" s="49">
        <v>42735</v>
      </c>
      <c r="B110" s="6"/>
      <c r="C110" s="15"/>
      <c r="D110" s="6">
        <v>117700253.61480996</v>
      </c>
      <c r="E110" s="6">
        <v>25949566.888693035</v>
      </c>
      <c r="F110" s="15">
        <f t="shared" si="58"/>
        <v>143649820.50350299</v>
      </c>
      <c r="G110" s="105">
        <f t="shared" ref="G110:H110" si="107">G98</f>
        <v>640.46</v>
      </c>
      <c r="H110" s="105">
        <f t="shared" si="107"/>
        <v>0</v>
      </c>
      <c r="I110" s="10">
        <v>31</v>
      </c>
      <c r="J110" s="15">
        <v>0</v>
      </c>
      <c r="K110" s="15">
        <v>336</v>
      </c>
      <c r="L110" s="10">
        <v>1</v>
      </c>
      <c r="M110" s="248">
        <v>35.299999999999997</v>
      </c>
      <c r="N110" s="15">
        <f>'CDM Activity '!H191</f>
        <v>9232411.9793569148</v>
      </c>
      <c r="O110" s="15">
        <v>697.8</v>
      </c>
      <c r="P110" s="105">
        <v>157.84228255820162</v>
      </c>
      <c r="Q110" s="15">
        <f t="shared" si="102"/>
        <v>79826.399192971876</v>
      </c>
      <c r="R110" s="10">
        <f t="shared" si="64"/>
        <v>146218252.08565545</v>
      </c>
      <c r="S110" s="48">
        <f t="shared" si="60"/>
        <v>2568431.582152456</v>
      </c>
      <c r="T110" s="109">
        <f t="shared" si="61"/>
        <v>2.1821801595755235E-2</v>
      </c>
      <c r="U110" s="13">
        <f t="shared" si="62"/>
        <v>2.1821801595755235E-2</v>
      </c>
    </row>
    <row r="111" spans="1:21" customFormat="1" x14ac:dyDescent="0.2">
      <c r="A111" s="49">
        <v>42766</v>
      </c>
      <c r="B111" s="6"/>
      <c r="C111" s="15"/>
      <c r="D111" s="6">
        <v>121051180</v>
      </c>
      <c r="E111" s="243">
        <v>27189294.073160373</v>
      </c>
      <c r="F111" s="15">
        <f t="shared" si="58"/>
        <v>148240474.07316038</v>
      </c>
      <c r="G111" s="105">
        <f t="shared" ref="G111:H111" si="108">G99</f>
        <v>738.59000000000015</v>
      </c>
      <c r="H111" s="105">
        <f t="shared" si="108"/>
        <v>0</v>
      </c>
      <c r="I111" s="10">
        <v>31</v>
      </c>
      <c r="J111" s="15">
        <v>0</v>
      </c>
      <c r="K111" s="15">
        <v>336</v>
      </c>
      <c r="L111" s="10">
        <v>1</v>
      </c>
      <c r="M111" s="248">
        <v>37.9</v>
      </c>
      <c r="N111" s="15">
        <f>'CDM Activity '!H192</f>
        <v>9394924.7050699648</v>
      </c>
      <c r="O111" s="15">
        <v>695.3</v>
      </c>
      <c r="P111" s="105">
        <v>158.15454692394951</v>
      </c>
      <c r="Q111" s="30"/>
      <c r="R111" s="10">
        <f t="shared" si="64"/>
        <v>147898421.0829162</v>
      </c>
      <c r="S111" s="48">
        <f t="shared" si="60"/>
        <v>-342052.99024417996</v>
      </c>
      <c r="T111" s="109">
        <f t="shared" si="61"/>
        <v>-2.8256890204967845E-3</v>
      </c>
      <c r="U111" s="13">
        <f t="shared" si="62"/>
        <v>2.8256890204967845E-3</v>
      </c>
    </row>
    <row r="112" spans="1:21" customFormat="1" x14ac:dyDescent="0.2">
      <c r="A112" s="49">
        <v>42794</v>
      </c>
      <c r="B112" s="6"/>
      <c r="C112" s="15"/>
      <c r="D112" s="6">
        <v>106265432</v>
      </c>
      <c r="E112" s="243">
        <v>22193276.294117648</v>
      </c>
      <c r="F112" s="15">
        <f t="shared" si="58"/>
        <v>128458708.29411764</v>
      </c>
      <c r="G112" s="105">
        <f t="shared" ref="G112:H112" si="109">G100</f>
        <v>671.5200000000001</v>
      </c>
      <c r="H112" s="105">
        <f t="shared" si="109"/>
        <v>0</v>
      </c>
      <c r="I112" s="10">
        <v>28</v>
      </c>
      <c r="J112" s="15">
        <v>0</v>
      </c>
      <c r="K112" s="15">
        <v>304</v>
      </c>
      <c r="L112" s="10">
        <v>1</v>
      </c>
      <c r="M112" s="248">
        <v>41.3</v>
      </c>
      <c r="N112" s="15">
        <f>'CDM Activity '!H193</f>
        <v>9557437.4307830147</v>
      </c>
      <c r="O112" s="15">
        <v>696.5</v>
      </c>
      <c r="P112" s="105">
        <v>158.46742905214063</v>
      </c>
      <c r="Q112" s="30"/>
      <c r="R112" s="10">
        <f t="shared" si="64"/>
        <v>135501450.28543118</v>
      </c>
      <c r="S112" s="48">
        <f t="shared" si="60"/>
        <v>7042741.991313532</v>
      </c>
      <c r="T112" s="109">
        <f t="shared" si="61"/>
        <v>6.6275004568875528E-2</v>
      </c>
      <c r="U112" s="13">
        <f t="shared" si="62"/>
        <v>6.6275004568875528E-2</v>
      </c>
    </row>
    <row r="113" spans="1:21" customFormat="1" x14ac:dyDescent="0.2">
      <c r="A113" s="49">
        <v>42825</v>
      </c>
      <c r="B113" s="6"/>
      <c r="C113" s="15"/>
      <c r="D113" s="6">
        <v>118074264</v>
      </c>
      <c r="E113" s="243">
        <v>24660902.764705881</v>
      </c>
      <c r="F113" s="15">
        <f t="shared" si="58"/>
        <v>142735166.7647059</v>
      </c>
      <c r="G113" s="105">
        <f t="shared" ref="G113:H113" si="110">G101</f>
        <v>569.22</v>
      </c>
      <c r="H113" s="105">
        <f t="shared" si="110"/>
        <v>0</v>
      </c>
      <c r="I113" s="10">
        <v>31</v>
      </c>
      <c r="J113" s="15">
        <v>1</v>
      </c>
      <c r="K113" s="15">
        <v>368</v>
      </c>
      <c r="L113" s="10">
        <v>1</v>
      </c>
      <c r="M113" s="248">
        <v>44.4</v>
      </c>
      <c r="N113" s="15">
        <f>'CDM Activity '!H194</f>
        <v>9719950.1564960647</v>
      </c>
      <c r="O113" s="15">
        <v>697.8</v>
      </c>
      <c r="P113" s="105">
        <v>158.78093016491388</v>
      </c>
      <c r="Q113" s="30"/>
      <c r="R113" s="10">
        <f t="shared" si="64"/>
        <v>141806635.29672122</v>
      </c>
      <c r="S113" s="48">
        <f t="shared" si="60"/>
        <v>-928531.46798467636</v>
      </c>
      <c r="T113" s="109">
        <f t="shared" si="61"/>
        <v>-7.8639615148028905E-3</v>
      </c>
      <c r="U113" s="13">
        <f t="shared" si="62"/>
        <v>7.8639615148028905E-3</v>
      </c>
    </row>
    <row r="114" spans="1:21" customFormat="1" x14ac:dyDescent="0.2">
      <c r="A114" s="49">
        <v>42855</v>
      </c>
      <c r="B114" s="6"/>
      <c r="C114" s="15"/>
      <c r="D114" s="6">
        <v>102416015</v>
      </c>
      <c r="E114" s="243">
        <v>20876767.464562312</v>
      </c>
      <c r="F114" s="15">
        <f t="shared" si="58"/>
        <v>123292782.46456231</v>
      </c>
      <c r="G114" s="105">
        <f t="shared" ref="G114:H114" si="111">G102</f>
        <v>337.61</v>
      </c>
      <c r="H114" s="105">
        <f t="shared" si="111"/>
        <v>0.32</v>
      </c>
      <c r="I114" s="10">
        <v>30</v>
      </c>
      <c r="J114" s="15">
        <v>1</v>
      </c>
      <c r="K114" s="15">
        <v>304</v>
      </c>
      <c r="L114" s="10">
        <v>1</v>
      </c>
      <c r="M114" s="248">
        <v>42.7</v>
      </c>
      <c r="N114" s="15">
        <f>'CDM Activity '!H195</f>
        <v>9882462.8822091147</v>
      </c>
      <c r="O114" s="15">
        <v>705.6</v>
      </c>
      <c r="P114" s="105">
        <v>159.09505148682601</v>
      </c>
      <c r="Q114" s="30"/>
      <c r="R114" s="10">
        <f t="shared" si="64"/>
        <v>128750090.19873454</v>
      </c>
      <c r="S114" s="48">
        <f t="shared" si="60"/>
        <v>5457307.734172225</v>
      </c>
      <c r="T114" s="109">
        <f t="shared" si="61"/>
        <v>5.328568714738828E-2</v>
      </c>
      <c r="U114" s="13">
        <f t="shared" si="62"/>
        <v>5.328568714738828E-2</v>
      </c>
    </row>
    <row r="115" spans="1:21" customFormat="1" x14ac:dyDescent="0.2">
      <c r="A115" s="49">
        <v>42886</v>
      </c>
      <c r="B115" s="6"/>
      <c r="C115" s="15"/>
      <c r="D115" s="6">
        <v>107634284</v>
      </c>
      <c r="E115" s="243">
        <v>21763069.456140351</v>
      </c>
      <c r="F115" s="15">
        <f t="shared" si="58"/>
        <v>129397353.45614035</v>
      </c>
      <c r="G115" s="105">
        <f t="shared" ref="G115:H115" si="112">G103</f>
        <v>162.60999999999996</v>
      </c>
      <c r="H115" s="105">
        <f t="shared" si="112"/>
        <v>13.16</v>
      </c>
      <c r="I115" s="10">
        <v>31</v>
      </c>
      <c r="J115" s="15">
        <v>1</v>
      </c>
      <c r="K115" s="15">
        <v>352</v>
      </c>
      <c r="L115" s="10">
        <v>1</v>
      </c>
      <c r="M115" s="248">
        <v>44.2</v>
      </c>
      <c r="N115" s="15">
        <f>'CDM Activity '!H196</f>
        <v>10044975.607922165</v>
      </c>
      <c r="O115" s="15">
        <v>705.6</v>
      </c>
      <c r="P115" s="105">
        <v>159.4097942448563</v>
      </c>
      <c r="Q115" s="30"/>
      <c r="R115" s="10">
        <f t="shared" si="64"/>
        <v>134882144.65449223</v>
      </c>
      <c r="S115" s="48">
        <f t="shared" si="60"/>
        <v>5484791.1983518749</v>
      </c>
      <c r="T115" s="109">
        <f t="shared" si="61"/>
        <v>5.0957659534873433E-2</v>
      </c>
      <c r="U115" s="13">
        <f t="shared" si="62"/>
        <v>5.0957659534873433E-2</v>
      </c>
    </row>
    <row r="116" spans="1:21" customFormat="1" x14ac:dyDescent="0.2">
      <c r="A116" s="49">
        <v>42916</v>
      </c>
      <c r="B116" s="6"/>
      <c r="C116" s="15"/>
      <c r="D116" s="6">
        <v>113407678</v>
      </c>
      <c r="E116" s="243">
        <v>23187858.701754387</v>
      </c>
      <c r="F116" s="15">
        <f t="shared" si="58"/>
        <v>136595536.70175439</v>
      </c>
      <c r="G116" s="105">
        <f t="shared" ref="G116:H116" si="113">G104</f>
        <v>47.94</v>
      </c>
      <c r="H116" s="105">
        <f t="shared" si="113"/>
        <v>35.67</v>
      </c>
      <c r="I116" s="10">
        <v>30</v>
      </c>
      <c r="J116" s="15">
        <v>0</v>
      </c>
      <c r="K116" s="15">
        <v>352</v>
      </c>
      <c r="L116" s="10">
        <v>1</v>
      </c>
      <c r="M116" s="248">
        <v>41.2</v>
      </c>
      <c r="N116" s="15">
        <f>'CDM Activity '!H197</f>
        <v>10207488.333635215</v>
      </c>
      <c r="O116" s="15">
        <v>705.6</v>
      </c>
      <c r="P116" s="105">
        <v>159.72515966841141</v>
      </c>
      <c r="Q116" s="30"/>
      <c r="R116" s="10">
        <f t="shared" si="64"/>
        <v>140803936.95848086</v>
      </c>
      <c r="S116" s="48">
        <f t="shared" si="60"/>
        <v>4208400.2567264736</v>
      </c>
      <c r="T116" s="109">
        <f t="shared" si="61"/>
        <v>3.7108600854401354E-2</v>
      </c>
      <c r="U116" s="13">
        <f t="shared" si="62"/>
        <v>3.7108600854401354E-2</v>
      </c>
    </row>
    <row r="117" spans="1:21" customFormat="1" x14ac:dyDescent="0.2">
      <c r="A117" s="49">
        <v>42947</v>
      </c>
      <c r="B117" s="6"/>
      <c r="C117" s="15"/>
      <c r="D117" s="6">
        <v>120098351</v>
      </c>
      <c r="E117" s="243">
        <v>25197253.794871796</v>
      </c>
      <c r="F117" s="15">
        <f t="shared" si="58"/>
        <v>145295604.79487181</v>
      </c>
      <c r="G117" s="105">
        <f t="shared" ref="G117:H117" si="114">G105</f>
        <v>13.190000000000001</v>
      </c>
      <c r="H117" s="105">
        <f t="shared" si="114"/>
        <v>77.03</v>
      </c>
      <c r="I117" s="10">
        <v>31</v>
      </c>
      <c r="J117" s="15">
        <v>0</v>
      </c>
      <c r="K117" s="15">
        <v>320</v>
      </c>
      <c r="L117" s="10">
        <v>1</v>
      </c>
      <c r="M117" s="248">
        <v>43.5</v>
      </c>
      <c r="N117" s="15">
        <f>'CDM Activity '!H198</f>
        <v>10370001.059348265</v>
      </c>
      <c r="O117" s="15">
        <v>705.6</v>
      </c>
      <c r="P117" s="105">
        <v>160.0411489893302</v>
      </c>
      <c r="Q117" s="30"/>
      <c r="R117" s="10">
        <f t="shared" si="64"/>
        <v>151460234.04894966</v>
      </c>
      <c r="S117" s="48">
        <f t="shared" si="60"/>
        <v>6164629.2540778518</v>
      </c>
      <c r="T117" s="109">
        <f t="shared" si="61"/>
        <v>5.1329840940762393E-2</v>
      </c>
      <c r="U117" s="13">
        <f t="shared" si="62"/>
        <v>5.1329840940762393E-2</v>
      </c>
    </row>
    <row r="118" spans="1:21" customFormat="1" x14ac:dyDescent="0.2">
      <c r="A118" s="49">
        <v>42978</v>
      </c>
      <c r="B118" s="6"/>
      <c r="C118" s="15"/>
      <c r="D118" s="6">
        <v>118460983</v>
      </c>
      <c r="E118" s="243">
        <v>26069248.102564104</v>
      </c>
      <c r="F118" s="15">
        <f t="shared" si="58"/>
        <v>144530231.1025641</v>
      </c>
      <c r="G118" s="105">
        <f t="shared" ref="G118:H118" si="115">G106</f>
        <v>23.65</v>
      </c>
      <c r="H118" s="105">
        <f t="shared" si="115"/>
        <v>52.65</v>
      </c>
      <c r="I118" s="10">
        <v>31</v>
      </c>
      <c r="J118" s="15">
        <v>0</v>
      </c>
      <c r="K118" s="15">
        <v>352</v>
      </c>
      <c r="L118" s="10">
        <v>1</v>
      </c>
      <c r="M118" s="248">
        <v>40.4</v>
      </c>
      <c r="N118" s="15">
        <f>'CDM Activity '!H199</f>
        <v>10532513.785061315</v>
      </c>
      <c r="O118" s="15">
        <v>705.6</v>
      </c>
      <c r="P118" s="105">
        <v>160.35776344188849</v>
      </c>
      <c r="Q118" s="30"/>
      <c r="R118" s="10">
        <f t="shared" si="64"/>
        <v>147942635.32666433</v>
      </c>
      <c r="S118" s="48">
        <f t="shared" si="60"/>
        <v>3412404.2241002321</v>
      </c>
      <c r="T118" s="109">
        <f t="shared" si="61"/>
        <v>2.8806144754853436E-2</v>
      </c>
      <c r="U118" s="13">
        <f t="shared" si="62"/>
        <v>2.8806144754853436E-2</v>
      </c>
    </row>
    <row r="119" spans="1:21" customFormat="1" x14ac:dyDescent="0.2">
      <c r="A119" s="49">
        <v>43008</v>
      </c>
      <c r="B119" s="6"/>
      <c r="C119" s="15"/>
      <c r="D119" s="6">
        <v>113240500</v>
      </c>
      <c r="E119" s="243">
        <v>24049828.859999999</v>
      </c>
      <c r="F119" s="15">
        <f t="shared" si="58"/>
        <v>137290328.86000001</v>
      </c>
      <c r="G119" s="105">
        <f t="shared" ref="G119:H119" si="116">G107</f>
        <v>96.9</v>
      </c>
      <c r="H119" s="105">
        <f t="shared" si="116"/>
        <v>20.790000000000003</v>
      </c>
      <c r="I119" s="10">
        <v>30</v>
      </c>
      <c r="J119" s="15">
        <v>1</v>
      </c>
      <c r="K119" s="15">
        <v>320</v>
      </c>
      <c r="L119" s="10">
        <v>1</v>
      </c>
      <c r="M119" s="248">
        <v>39.299999999999997</v>
      </c>
      <c r="N119" s="15">
        <f>'CDM Activity '!H200</f>
        <v>10695026.510774365</v>
      </c>
      <c r="O119" s="15">
        <v>705.6</v>
      </c>
      <c r="P119" s="105">
        <v>160.67500426280395</v>
      </c>
      <c r="Q119" s="30"/>
      <c r="R119" s="10">
        <f t="shared" si="64"/>
        <v>131553838.59780493</v>
      </c>
      <c r="S119" s="48">
        <f t="shared" si="60"/>
        <v>-5736490.2621950805</v>
      </c>
      <c r="T119" s="109">
        <f t="shared" si="61"/>
        <v>-5.0657585070668892E-2</v>
      </c>
      <c r="U119" s="13">
        <f t="shared" si="62"/>
        <v>5.0657585070668892E-2</v>
      </c>
    </row>
    <row r="120" spans="1:21" customFormat="1" x14ac:dyDescent="0.2">
      <c r="A120" s="49">
        <v>43039</v>
      </c>
      <c r="B120" s="6"/>
      <c r="C120" s="15"/>
      <c r="D120" s="6">
        <v>108245386</v>
      </c>
      <c r="E120" s="243">
        <v>22147304.149999999</v>
      </c>
      <c r="F120" s="15">
        <f t="shared" si="58"/>
        <v>130392690.15000001</v>
      </c>
      <c r="G120" s="105">
        <f t="shared" ref="G120:H120" si="117">G108</f>
        <v>273.46999999999997</v>
      </c>
      <c r="H120" s="105">
        <f t="shared" si="117"/>
        <v>0.51</v>
      </c>
      <c r="I120" s="10">
        <v>31</v>
      </c>
      <c r="J120" s="15">
        <v>1</v>
      </c>
      <c r="K120" s="15">
        <v>336</v>
      </c>
      <c r="L120" s="10">
        <v>1</v>
      </c>
      <c r="M120" s="248">
        <v>34.299999999999997</v>
      </c>
      <c r="N120" s="15">
        <f>'CDM Activity '!H201</f>
        <v>10857539.236487415</v>
      </c>
      <c r="O120" s="15">
        <v>705.6</v>
      </c>
      <c r="P120" s="105">
        <v>160.99287269124085</v>
      </c>
      <c r="Q120" s="30"/>
      <c r="R120" s="10">
        <f t="shared" si="64"/>
        <v>134555632.50231639</v>
      </c>
      <c r="S120" s="48">
        <f t="shared" si="60"/>
        <v>4162942.3523163795</v>
      </c>
      <c r="T120" s="109">
        <f t="shared" si="61"/>
        <v>3.8458381517678539E-2</v>
      </c>
      <c r="U120" s="13">
        <f t="shared" si="62"/>
        <v>3.8458381517678539E-2</v>
      </c>
    </row>
    <row r="121" spans="1:21" customFormat="1" x14ac:dyDescent="0.2">
      <c r="A121" s="49">
        <v>43069</v>
      </c>
      <c r="B121" s="6"/>
      <c r="C121" s="15"/>
      <c r="D121" s="6">
        <v>111845881</v>
      </c>
      <c r="E121" s="243">
        <v>23597020.309999999</v>
      </c>
      <c r="F121" s="15">
        <f t="shared" si="58"/>
        <v>135442901.31</v>
      </c>
      <c r="G121" s="105">
        <f t="shared" ref="G121:H121" si="118">G109</f>
        <v>439.9</v>
      </c>
      <c r="H121" s="105">
        <f t="shared" si="118"/>
        <v>0</v>
      </c>
      <c r="I121" s="10">
        <v>30</v>
      </c>
      <c r="J121" s="15">
        <v>1</v>
      </c>
      <c r="K121" s="15">
        <v>352</v>
      </c>
      <c r="L121" s="10">
        <v>1</v>
      </c>
      <c r="M121" s="248">
        <v>30.3</v>
      </c>
      <c r="N121" s="15">
        <f>'CDM Activity '!H202</f>
        <v>11020051.962200465</v>
      </c>
      <c r="O121" s="15">
        <v>705.6</v>
      </c>
      <c r="P121" s="105">
        <v>161.31136996881492</v>
      </c>
      <c r="Q121" s="30"/>
      <c r="R121" s="10">
        <f t="shared" si="64"/>
        <v>138299999.12495869</v>
      </c>
      <c r="S121" s="48">
        <f t="shared" si="60"/>
        <v>2857097.8149586916</v>
      </c>
      <c r="T121" s="109">
        <f t="shared" si="61"/>
        <v>2.5544953371673038E-2</v>
      </c>
      <c r="U121" s="13">
        <f t="shared" si="62"/>
        <v>2.5544953371673038E-2</v>
      </c>
    </row>
    <row r="122" spans="1:21" customFormat="1" x14ac:dyDescent="0.2">
      <c r="A122" s="49">
        <v>43100</v>
      </c>
      <c r="B122" s="6"/>
      <c r="C122" s="15"/>
      <c r="D122" s="6">
        <v>116335221</v>
      </c>
      <c r="E122" s="243">
        <v>25575347.579999998</v>
      </c>
      <c r="F122" s="15">
        <f t="shared" si="58"/>
        <v>141910568.57999998</v>
      </c>
      <c r="G122" s="105">
        <f t="shared" ref="G122:H122" si="119">G110</f>
        <v>640.46</v>
      </c>
      <c r="H122" s="105">
        <f t="shared" si="119"/>
        <v>0</v>
      </c>
      <c r="I122" s="10">
        <v>31</v>
      </c>
      <c r="J122" s="15">
        <v>0</v>
      </c>
      <c r="K122" s="15">
        <v>304</v>
      </c>
      <c r="L122" s="10">
        <v>1</v>
      </c>
      <c r="M122" s="248">
        <v>30.1</v>
      </c>
      <c r="N122" s="15">
        <f>'CDM Activity '!H203</f>
        <v>11182564.687913515</v>
      </c>
      <c r="O122" s="15">
        <v>705.6</v>
      </c>
      <c r="P122" s="105">
        <v>161.63049733959846</v>
      </c>
      <c r="Q122" s="30"/>
      <c r="R122" s="10">
        <f t="shared" si="64"/>
        <v>144572167.66701394</v>
      </c>
      <c r="S122" s="48">
        <f t="shared" si="60"/>
        <v>2661599.0870139599</v>
      </c>
      <c r="T122" s="109">
        <f t="shared" si="61"/>
        <v>2.2878704008427161E-2</v>
      </c>
      <c r="U122" s="13">
        <f t="shared" si="62"/>
        <v>2.2878704008427161E-2</v>
      </c>
    </row>
    <row r="123" spans="1:21" customFormat="1" x14ac:dyDescent="0.2">
      <c r="A123" s="49">
        <v>43131</v>
      </c>
      <c r="B123" s="6"/>
      <c r="C123" s="15"/>
      <c r="D123" s="6"/>
      <c r="E123" s="6"/>
      <c r="F123" s="6"/>
      <c r="G123" s="105">
        <f t="shared" ref="G123:H123" si="120">G111</f>
        <v>738.59000000000015</v>
      </c>
      <c r="H123" s="105">
        <f t="shared" si="120"/>
        <v>0</v>
      </c>
      <c r="I123" s="10">
        <v>31</v>
      </c>
      <c r="J123" s="15">
        <v>0</v>
      </c>
      <c r="K123" s="15">
        <v>352</v>
      </c>
      <c r="L123" s="10">
        <v>1</v>
      </c>
      <c r="M123" s="248">
        <f>AVERAGE(M111:M122)</f>
        <v>39.133333333333333</v>
      </c>
      <c r="N123" s="15">
        <f>'CDM Activity '!H204</f>
        <v>11171127.984005844</v>
      </c>
      <c r="O123" s="15">
        <v>705.6</v>
      </c>
      <c r="P123" s="105">
        <v>161.9238733332927</v>
      </c>
      <c r="Q123" s="30"/>
      <c r="R123" s="10">
        <f t="shared" si="64"/>
        <v>149045151.7926428</v>
      </c>
      <c r="S123" s="48"/>
      <c r="T123" s="161"/>
      <c r="U123" s="5">
        <f>AVERAGE(U3:U122)</f>
        <v>3.101359317832194E-2</v>
      </c>
    </row>
    <row r="124" spans="1:21" customFormat="1" x14ac:dyDescent="0.2">
      <c r="A124" s="49">
        <v>43159</v>
      </c>
      <c r="B124" s="6"/>
      <c r="C124" s="15"/>
      <c r="D124" s="6"/>
      <c r="E124" s="6"/>
      <c r="F124" s="6"/>
      <c r="G124" s="105">
        <f t="shared" ref="G124:H124" si="121">G112</f>
        <v>671.5200000000001</v>
      </c>
      <c r="H124" s="105">
        <f t="shared" si="121"/>
        <v>0</v>
      </c>
      <c r="I124" s="10">
        <v>28</v>
      </c>
      <c r="J124" s="15">
        <v>0</v>
      </c>
      <c r="K124" s="15">
        <v>304</v>
      </c>
      <c r="L124" s="10">
        <v>1</v>
      </c>
      <c r="M124" s="248">
        <f t="shared" ref="M124:M146" si="122">M123</f>
        <v>39.133333333333333</v>
      </c>
      <c r="N124" s="15">
        <f>'CDM Activity '!H205</f>
        <v>11159691.280098174</v>
      </c>
      <c r="O124" s="15">
        <v>705.6</v>
      </c>
      <c r="P124" s="105">
        <v>162.21778183462067</v>
      </c>
      <c r="Q124" s="30"/>
      <c r="R124" s="10">
        <f t="shared" si="64"/>
        <v>136014614.98119655</v>
      </c>
      <c r="S124" s="48"/>
      <c r="T124" s="161"/>
      <c r="U124" s="161"/>
    </row>
    <row r="125" spans="1:21" customFormat="1" x14ac:dyDescent="0.2">
      <c r="A125" s="49">
        <v>43190</v>
      </c>
      <c r="B125" s="6"/>
      <c r="C125" s="15"/>
      <c r="D125" s="6"/>
      <c r="E125" s="6"/>
      <c r="F125" s="6"/>
      <c r="G125" s="105">
        <f t="shared" ref="G125:H125" si="123">G113</f>
        <v>569.22</v>
      </c>
      <c r="H125" s="105">
        <f t="shared" si="123"/>
        <v>0</v>
      </c>
      <c r="I125" s="10">
        <v>31</v>
      </c>
      <c r="J125" s="15">
        <v>1</v>
      </c>
      <c r="K125" s="15">
        <v>336</v>
      </c>
      <c r="L125" s="10">
        <v>1</v>
      </c>
      <c r="M125" s="248">
        <f t="shared" si="122"/>
        <v>39.133333333333333</v>
      </c>
      <c r="N125" s="15">
        <f>'CDM Activity '!H206</f>
        <v>11148254.576190503</v>
      </c>
      <c r="O125" s="15">
        <v>705.6</v>
      </c>
      <c r="P125" s="105">
        <v>162.51222381013852</v>
      </c>
      <c r="Q125" s="30"/>
      <c r="R125" s="10">
        <f t="shared" si="64"/>
        <v>140176340.56102636</v>
      </c>
      <c r="S125" s="48"/>
      <c r="T125" s="161"/>
      <c r="U125" s="161"/>
    </row>
    <row r="126" spans="1:21" customFormat="1" x14ac:dyDescent="0.2">
      <c r="A126" s="49">
        <v>43220</v>
      </c>
      <c r="B126" s="6"/>
      <c r="C126" s="15"/>
      <c r="D126" s="6"/>
      <c r="E126" s="6"/>
      <c r="F126" s="6"/>
      <c r="G126" s="105">
        <f t="shared" ref="G126:H126" si="124">G114</f>
        <v>337.61</v>
      </c>
      <c r="H126" s="105">
        <f t="shared" si="124"/>
        <v>0.32</v>
      </c>
      <c r="I126" s="10">
        <v>30</v>
      </c>
      <c r="J126" s="15">
        <v>1</v>
      </c>
      <c r="K126" s="15">
        <v>336</v>
      </c>
      <c r="L126" s="10">
        <v>1</v>
      </c>
      <c r="M126" s="248">
        <f t="shared" si="122"/>
        <v>39.133333333333333</v>
      </c>
      <c r="N126" s="15">
        <f>'CDM Activity '!H207</f>
        <v>11136817.872282833</v>
      </c>
      <c r="O126" s="15">
        <v>705.6</v>
      </c>
      <c r="P126" s="105">
        <v>162.80720022815689</v>
      </c>
      <c r="Q126" s="30"/>
      <c r="R126" s="10">
        <f t="shared" si="64"/>
        <v>132472517.92485739</v>
      </c>
      <c r="S126" s="48"/>
      <c r="T126" s="161"/>
      <c r="U126" s="161"/>
    </row>
    <row r="127" spans="1:21" customFormat="1" x14ac:dyDescent="0.2">
      <c r="A127" s="49">
        <v>43251</v>
      </c>
      <c r="B127" s="6"/>
      <c r="C127" s="15"/>
      <c r="D127" s="6"/>
      <c r="E127" s="6"/>
      <c r="F127" s="6"/>
      <c r="G127" s="105">
        <f t="shared" ref="G127:H127" si="125">G115</f>
        <v>162.60999999999996</v>
      </c>
      <c r="H127" s="105">
        <f t="shared" si="125"/>
        <v>13.16</v>
      </c>
      <c r="I127" s="10">
        <v>31</v>
      </c>
      <c r="J127" s="15">
        <v>1</v>
      </c>
      <c r="K127" s="15">
        <v>352</v>
      </c>
      <c r="L127" s="10">
        <v>1</v>
      </c>
      <c r="M127" s="248">
        <f t="shared" si="122"/>
        <v>39.133333333333333</v>
      </c>
      <c r="N127" s="15">
        <f>'CDM Activity '!H208</f>
        <v>11125381.168375162</v>
      </c>
      <c r="O127" s="15">
        <v>705.6</v>
      </c>
      <c r="P127" s="105">
        <v>163.10271205874389</v>
      </c>
      <c r="Q127" s="30"/>
      <c r="R127" s="10">
        <f t="shared" si="64"/>
        <v>136082160.55843586</v>
      </c>
      <c r="S127" s="48"/>
      <c r="T127" s="161"/>
      <c r="U127" s="161"/>
    </row>
    <row r="128" spans="1:21" customFormat="1" x14ac:dyDescent="0.2">
      <c r="A128" s="49">
        <v>43281</v>
      </c>
      <c r="B128" s="6"/>
      <c r="C128" s="15"/>
      <c r="D128" s="6"/>
      <c r="E128" s="6"/>
      <c r="F128" s="6"/>
      <c r="G128" s="105">
        <f t="shared" ref="G128:H128" si="126">G116</f>
        <v>47.94</v>
      </c>
      <c r="H128" s="105">
        <f t="shared" si="126"/>
        <v>35.67</v>
      </c>
      <c r="I128" s="10">
        <v>30</v>
      </c>
      <c r="J128" s="15">
        <v>0</v>
      </c>
      <c r="K128" s="15">
        <v>336</v>
      </c>
      <c r="L128" s="10">
        <v>1</v>
      </c>
      <c r="M128" s="248">
        <f t="shared" si="122"/>
        <v>39.133333333333333</v>
      </c>
      <c r="N128" s="15">
        <f>'CDM Activity '!H209</f>
        <v>11113944.464467492</v>
      </c>
      <c r="O128" s="15">
        <v>705.6</v>
      </c>
      <c r="P128" s="105">
        <v>163.39876027372847</v>
      </c>
      <c r="Q128" s="30"/>
      <c r="R128" s="10">
        <f t="shared" si="64"/>
        <v>139854577.28558713</v>
      </c>
      <c r="S128" s="48"/>
      <c r="T128" s="161"/>
      <c r="U128" s="161"/>
    </row>
    <row r="129" spans="1:19" customFormat="1" x14ac:dyDescent="0.2">
      <c r="A129" s="49">
        <v>43312</v>
      </c>
      <c r="B129" s="6"/>
      <c r="C129" s="15"/>
      <c r="D129" s="6"/>
      <c r="E129" s="6"/>
      <c r="F129" s="6"/>
      <c r="G129" s="105">
        <f t="shared" ref="G129:H129" si="127">G117</f>
        <v>13.190000000000001</v>
      </c>
      <c r="H129" s="105">
        <f t="shared" si="127"/>
        <v>77.03</v>
      </c>
      <c r="I129" s="10">
        <v>31</v>
      </c>
      <c r="J129" s="15">
        <v>0</v>
      </c>
      <c r="K129" s="15">
        <v>336</v>
      </c>
      <c r="L129" s="10">
        <v>1</v>
      </c>
      <c r="M129" s="248">
        <f t="shared" si="122"/>
        <v>39.133333333333333</v>
      </c>
      <c r="N129" s="15">
        <f>'CDM Activity '!H210</f>
        <v>11102507.760559822</v>
      </c>
      <c r="O129" s="15">
        <v>705.6</v>
      </c>
      <c r="P129" s="105">
        <v>163.69534584670356</v>
      </c>
      <c r="Q129" s="30"/>
      <c r="R129" s="10">
        <f t="shared" si="64"/>
        <v>153933298.1261929</v>
      </c>
      <c r="S129" s="48"/>
    </row>
    <row r="130" spans="1:19" customFormat="1" x14ac:dyDescent="0.2">
      <c r="A130" s="49">
        <v>43343</v>
      </c>
      <c r="B130" s="6"/>
      <c r="C130" s="15"/>
      <c r="D130" s="6"/>
      <c r="E130" s="6"/>
      <c r="F130" s="6"/>
      <c r="G130" s="105">
        <f t="shared" ref="G130:H130" si="128">G118</f>
        <v>23.65</v>
      </c>
      <c r="H130" s="105">
        <f t="shared" si="128"/>
        <v>52.65</v>
      </c>
      <c r="I130" s="10">
        <v>31</v>
      </c>
      <c r="J130" s="15">
        <v>0</v>
      </c>
      <c r="K130" s="15">
        <v>352</v>
      </c>
      <c r="L130" s="10">
        <v>1</v>
      </c>
      <c r="M130" s="248">
        <f t="shared" si="122"/>
        <v>39.133333333333333</v>
      </c>
      <c r="N130" s="15">
        <f>'CDM Activity '!H211</f>
        <v>11091071.056652151</v>
      </c>
      <c r="O130" s="15">
        <v>705.6</v>
      </c>
      <c r="P130" s="105">
        <v>163.99246975302921</v>
      </c>
      <c r="Q130" s="30"/>
      <c r="R130" s="10">
        <f t="shared" si="64"/>
        <v>148242639.30265024</v>
      </c>
      <c r="S130" s="48"/>
    </row>
    <row r="131" spans="1:19" customFormat="1" x14ac:dyDescent="0.2">
      <c r="A131" s="49">
        <v>43373</v>
      </c>
      <c r="B131" s="6"/>
      <c r="C131" s="15"/>
      <c r="D131" s="6"/>
      <c r="E131" s="6"/>
      <c r="F131" s="6"/>
      <c r="G131" s="105">
        <f t="shared" ref="G131:H131" si="129">G119</f>
        <v>96.9</v>
      </c>
      <c r="H131" s="105">
        <f t="shared" si="129"/>
        <v>20.790000000000003</v>
      </c>
      <c r="I131" s="10">
        <v>30</v>
      </c>
      <c r="J131" s="15">
        <v>1</v>
      </c>
      <c r="K131" s="15">
        <v>304</v>
      </c>
      <c r="L131" s="10">
        <v>1</v>
      </c>
      <c r="M131" s="248">
        <f t="shared" si="122"/>
        <v>39.133333333333333</v>
      </c>
      <c r="N131" s="15">
        <f>'CDM Activity '!H212</f>
        <v>11079634.352744481</v>
      </c>
      <c r="O131" s="15">
        <v>705.6</v>
      </c>
      <c r="P131" s="105">
        <v>164.29013296983589</v>
      </c>
      <c r="Q131" s="30"/>
      <c r="R131" s="10">
        <f t="shared" si="64"/>
        <v>130154472.96093233</v>
      </c>
      <c r="S131" s="48"/>
    </row>
    <row r="132" spans="1:19" customFormat="1" x14ac:dyDescent="0.2">
      <c r="A132" s="49">
        <v>43404</v>
      </c>
      <c r="B132" s="6"/>
      <c r="C132" s="15"/>
      <c r="D132" s="6"/>
      <c r="E132" s="6"/>
      <c r="F132" s="6"/>
      <c r="G132" s="105">
        <f t="shared" ref="G132:H132" si="130">G120</f>
        <v>273.46999999999997</v>
      </c>
      <c r="H132" s="105">
        <f t="shared" si="130"/>
        <v>0.51</v>
      </c>
      <c r="I132" s="10">
        <v>31</v>
      </c>
      <c r="J132" s="15">
        <v>1</v>
      </c>
      <c r="K132" s="15">
        <v>352</v>
      </c>
      <c r="L132" s="10">
        <v>1</v>
      </c>
      <c r="M132" s="248">
        <f t="shared" si="122"/>
        <v>39.133333333333333</v>
      </c>
      <c r="N132" s="15">
        <f>'CDM Activity '!H213</f>
        <v>11068197.64883681</v>
      </c>
      <c r="O132" s="15">
        <v>705.6</v>
      </c>
      <c r="P132" s="105">
        <v>164.58833647602765</v>
      </c>
      <c r="Q132" s="30"/>
      <c r="R132" s="10">
        <f t="shared" ref="R132:R146" si="131">$Y$18+$Y$19*G132+$Y$20*H132+$Y$21*I132+$Y$22*J132+$Y$23*K132+$Y$24*L132+$Y$25*M132</f>
        <v>134849720.33292517</v>
      </c>
      <c r="S132" s="48"/>
    </row>
    <row r="133" spans="1:19" customFormat="1" x14ac:dyDescent="0.2">
      <c r="A133" s="49">
        <v>43434</v>
      </c>
      <c r="B133" s="6"/>
      <c r="C133" s="15"/>
      <c r="D133" s="6"/>
      <c r="E133" s="6"/>
      <c r="F133" s="6"/>
      <c r="G133" s="105">
        <f t="shared" ref="G133:H133" si="132">G121</f>
        <v>439.9</v>
      </c>
      <c r="H133" s="105">
        <f t="shared" si="132"/>
        <v>0</v>
      </c>
      <c r="I133" s="10">
        <v>30</v>
      </c>
      <c r="J133" s="15">
        <v>1</v>
      </c>
      <c r="K133" s="15">
        <v>336</v>
      </c>
      <c r="L133" s="10">
        <v>1</v>
      </c>
      <c r="M133" s="248">
        <f t="shared" si="122"/>
        <v>39.133333333333333</v>
      </c>
      <c r="N133" s="15">
        <f>'CDM Activity '!H214</f>
        <v>11056760.94492914</v>
      </c>
      <c r="O133" s="15">
        <v>705.6</v>
      </c>
      <c r="P133" s="105">
        <v>164.88708125228533</v>
      </c>
      <c r="Q133" s="30"/>
      <c r="R133" s="10">
        <f t="shared" si="131"/>
        <v>134769026.29029155</v>
      </c>
      <c r="S133" s="48"/>
    </row>
    <row r="134" spans="1:19" customFormat="1" x14ac:dyDescent="0.2">
      <c r="A134" s="49">
        <v>43465</v>
      </c>
      <c r="B134" s="6"/>
      <c r="C134" s="15"/>
      <c r="D134" s="6"/>
      <c r="E134" s="6"/>
      <c r="F134" s="6"/>
      <c r="G134" s="105">
        <f t="shared" ref="G134:H134" si="133">G122</f>
        <v>640.46</v>
      </c>
      <c r="H134" s="105">
        <f t="shared" si="133"/>
        <v>0</v>
      </c>
      <c r="I134" s="10">
        <v>31</v>
      </c>
      <c r="J134" s="15">
        <v>0</v>
      </c>
      <c r="K134" s="15">
        <v>304</v>
      </c>
      <c r="L134" s="10">
        <v>1</v>
      </c>
      <c r="M134" s="248">
        <f t="shared" si="122"/>
        <v>39.133333333333333</v>
      </c>
      <c r="N134" s="15">
        <f>'CDM Activity '!H215</f>
        <v>11045324.241021469</v>
      </c>
      <c r="O134" s="15">
        <v>705.6</v>
      </c>
      <c r="P134" s="105">
        <v>165.18636828106963</v>
      </c>
      <c r="Q134" s="30"/>
      <c r="R134" s="10">
        <f t="shared" si="131"/>
        <v>142432665.62774608</v>
      </c>
      <c r="S134" s="48"/>
    </row>
    <row r="135" spans="1:19" customFormat="1" x14ac:dyDescent="0.2">
      <c r="A135" s="49">
        <v>43496</v>
      </c>
      <c r="B135" s="6"/>
      <c r="C135" s="15"/>
      <c r="D135" s="6"/>
      <c r="E135" s="6"/>
      <c r="F135" s="6"/>
      <c r="G135" s="105">
        <f t="shared" ref="G135:H135" si="134">G123</f>
        <v>738.59000000000015</v>
      </c>
      <c r="H135" s="105">
        <f t="shared" si="134"/>
        <v>0</v>
      </c>
      <c r="I135" s="10">
        <v>31</v>
      </c>
      <c r="J135" s="15">
        <v>0</v>
      </c>
      <c r="K135" s="15">
        <v>352</v>
      </c>
      <c r="L135" s="10">
        <v>1</v>
      </c>
      <c r="M135" s="248">
        <f t="shared" si="122"/>
        <v>39.133333333333333</v>
      </c>
      <c r="N135" s="15">
        <f>'CDM Activity '!H216</f>
        <v>10973935.710179139</v>
      </c>
      <c r="O135" s="15">
        <v>705.6</v>
      </c>
      <c r="P135" s="105">
        <v>165.45918699825475</v>
      </c>
      <c r="Q135" s="30"/>
      <c r="R135" s="10">
        <f t="shared" si="131"/>
        <v>149045151.7926428</v>
      </c>
      <c r="S135" s="48"/>
    </row>
    <row r="136" spans="1:19" customFormat="1" x14ac:dyDescent="0.2">
      <c r="A136" s="49">
        <v>43524</v>
      </c>
      <c r="B136" s="6"/>
      <c r="C136" s="15"/>
      <c r="D136" s="6"/>
      <c r="E136" s="6"/>
      <c r="F136" s="6"/>
      <c r="G136" s="105">
        <f t="shared" ref="G136:H136" si="135">G124</f>
        <v>671.5200000000001</v>
      </c>
      <c r="H136" s="105">
        <f t="shared" si="135"/>
        <v>0</v>
      </c>
      <c r="I136" s="10">
        <v>28</v>
      </c>
      <c r="J136" s="15">
        <v>0</v>
      </c>
      <c r="K136" s="15">
        <v>304</v>
      </c>
      <c r="L136" s="10">
        <v>1</v>
      </c>
      <c r="M136" s="248">
        <f t="shared" si="122"/>
        <v>39.133333333333333</v>
      </c>
      <c r="N136" s="15">
        <f>'CDM Activity '!H217</f>
        <v>10902547.179336809</v>
      </c>
      <c r="O136" s="15">
        <v>705.6</v>
      </c>
      <c r="P136" s="105">
        <v>165.732456297732</v>
      </c>
      <c r="Q136" s="30"/>
      <c r="R136" s="10">
        <f t="shared" si="131"/>
        <v>136014614.98119655</v>
      </c>
      <c r="S136" s="48"/>
    </row>
    <row r="137" spans="1:19" customFormat="1" x14ac:dyDescent="0.2">
      <c r="A137" s="49">
        <v>43555</v>
      </c>
      <c r="B137" s="6"/>
      <c r="C137" s="15"/>
      <c r="D137" s="6"/>
      <c r="E137" s="6"/>
      <c r="F137" s="6"/>
      <c r="G137" s="105">
        <f t="shared" ref="G137:H137" si="136">G125</f>
        <v>569.22</v>
      </c>
      <c r="H137" s="105">
        <f t="shared" si="136"/>
        <v>0</v>
      </c>
      <c r="I137" s="10">
        <v>31</v>
      </c>
      <c r="J137" s="15">
        <v>1</v>
      </c>
      <c r="K137" s="15">
        <v>336</v>
      </c>
      <c r="L137" s="10">
        <v>1</v>
      </c>
      <c r="M137" s="248">
        <f t="shared" si="122"/>
        <v>39.133333333333333</v>
      </c>
      <c r="N137" s="15">
        <f>'CDM Activity '!H218</f>
        <v>10831158.648494478</v>
      </c>
      <c r="O137" s="15">
        <v>705.6</v>
      </c>
      <c r="P137" s="105">
        <v>166.00617692367464</v>
      </c>
      <c r="Q137" s="30"/>
      <c r="R137" s="10">
        <f t="shared" si="131"/>
        <v>140176340.56102636</v>
      </c>
      <c r="S137" s="48"/>
    </row>
    <row r="138" spans="1:19" customFormat="1" x14ac:dyDescent="0.2">
      <c r="A138" s="49">
        <v>43585</v>
      </c>
      <c r="B138" s="6"/>
      <c r="C138" s="15"/>
      <c r="D138" s="6"/>
      <c r="E138" s="6"/>
      <c r="F138" s="6"/>
      <c r="G138" s="105">
        <f t="shared" ref="G138:H138" si="137">G126</f>
        <v>337.61</v>
      </c>
      <c r="H138" s="105">
        <f t="shared" si="137"/>
        <v>0.32</v>
      </c>
      <c r="I138" s="10">
        <v>30</v>
      </c>
      <c r="J138" s="15">
        <v>1</v>
      </c>
      <c r="K138" s="15">
        <v>336</v>
      </c>
      <c r="L138" s="10">
        <v>1</v>
      </c>
      <c r="M138" s="248">
        <f t="shared" si="122"/>
        <v>39.133333333333333</v>
      </c>
      <c r="N138" s="15">
        <f>'CDM Activity '!H219</f>
        <v>10759770.117652148</v>
      </c>
      <c r="O138" s="15">
        <v>705.6</v>
      </c>
      <c r="P138" s="105">
        <v>166.28034962148504</v>
      </c>
      <c r="Q138" s="30"/>
      <c r="R138" s="10">
        <f t="shared" si="131"/>
        <v>132472517.92485739</v>
      </c>
      <c r="S138" s="48"/>
    </row>
    <row r="139" spans="1:19" customFormat="1" x14ac:dyDescent="0.2">
      <c r="A139" s="49">
        <v>43616</v>
      </c>
      <c r="B139" s="6"/>
      <c r="C139" s="15"/>
      <c r="D139" s="6"/>
      <c r="E139" s="6"/>
      <c r="F139" s="6"/>
      <c r="G139" s="105">
        <f t="shared" ref="G139:H139" si="138">G127</f>
        <v>162.60999999999996</v>
      </c>
      <c r="H139" s="105">
        <f t="shared" si="138"/>
        <v>13.16</v>
      </c>
      <c r="I139" s="10">
        <v>31</v>
      </c>
      <c r="J139" s="15">
        <v>1</v>
      </c>
      <c r="K139" s="15">
        <v>352</v>
      </c>
      <c r="L139" s="10">
        <v>1</v>
      </c>
      <c r="M139" s="248">
        <f t="shared" si="122"/>
        <v>39.133333333333333</v>
      </c>
      <c r="N139" s="15">
        <f>'CDM Activity '!H220</f>
        <v>10688381.586809818</v>
      </c>
      <c r="O139" s="15">
        <v>705.6</v>
      </c>
      <c r="P139" s="105">
        <v>166.55497513779665</v>
      </c>
      <c r="Q139" s="30"/>
      <c r="R139" s="10">
        <f t="shared" si="131"/>
        <v>136082160.55843586</v>
      </c>
      <c r="S139" s="48"/>
    </row>
    <row r="140" spans="1:19" customFormat="1" x14ac:dyDescent="0.2">
      <c r="A140" s="49">
        <v>43646</v>
      </c>
      <c r="B140" s="6"/>
      <c r="C140" s="15"/>
      <c r="D140" s="6"/>
      <c r="E140" s="6"/>
      <c r="F140" s="6"/>
      <c r="G140" s="105">
        <f t="shared" ref="G140:H140" si="139">G128</f>
        <v>47.94</v>
      </c>
      <c r="H140" s="105">
        <f t="shared" si="139"/>
        <v>35.67</v>
      </c>
      <c r="I140" s="10">
        <v>30</v>
      </c>
      <c r="J140" s="15">
        <v>0</v>
      </c>
      <c r="K140" s="15">
        <v>320</v>
      </c>
      <c r="L140" s="10">
        <v>1</v>
      </c>
      <c r="M140" s="248">
        <f t="shared" si="122"/>
        <v>39.133333333333333</v>
      </c>
      <c r="N140" s="15">
        <f>'CDM Activity '!H221</f>
        <v>10616993.055967487</v>
      </c>
      <c r="O140" s="15">
        <v>705.6</v>
      </c>
      <c r="P140" s="105">
        <v>166.83005422047603</v>
      </c>
      <c r="Q140" s="30"/>
      <c r="R140" s="10">
        <f t="shared" si="131"/>
        <v>138415737.44134793</v>
      </c>
      <c r="S140" s="48"/>
    </row>
    <row r="141" spans="1:19" customFormat="1" x14ac:dyDescent="0.2">
      <c r="A141" s="49">
        <v>43677</v>
      </c>
      <c r="B141" s="6"/>
      <c r="C141" s="15"/>
      <c r="D141" s="6"/>
      <c r="E141" s="6"/>
      <c r="F141" s="6"/>
      <c r="G141" s="105">
        <f t="shared" ref="G141:H141" si="140">G129</f>
        <v>13.190000000000001</v>
      </c>
      <c r="H141" s="105">
        <f t="shared" si="140"/>
        <v>77.03</v>
      </c>
      <c r="I141" s="10">
        <v>31</v>
      </c>
      <c r="J141" s="15">
        <v>0</v>
      </c>
      <c r="K141" s="15">
        <v>352</v>
      </c>
      <c r="L141" s="10">
        <v>1</v>
      </c>
      <c r="M141" s="248">
        <f t="shared" si="122"/>
        <v>39.133333333333333</v>
      </c>
      <c r="N141" s="15">
        <f>'CDM Activity '!H222</f>
        <v>10545604.525125157</v>
      </c>
      <c r="O141" s="15">
        <v>705.6</v>
      </c>
      <c r="P141" s="105">
        <v>167.1055876186249</v>
      </c>
      <c r="Q141" s="30"/>
      <c r="R141" s="10">
        <f t="shared" si="131"/>
        <v>155372137.97043207</v>
      </c>
      <c r="S141" s="48"/>
    </row>
    <row r="142" spans="1:19" customFormat="1" x14ac:dyDescent="0.2">
      <c r="A142" s="49">
        <v>43708</v>
      </c>
      <c r="B142" s="6"/>
      <c r="C142" s="15"/>
      <c r="D142" s="6"/>
      <c r="E142" s="6"/>
      <c r="F142" s="6"/>
      <c r="G142" s="105">
        <f t="shared" ref="G142:H142" si="141">G130</f>
        <v>23.65</v>
      </c>
      <c r="H142" s="105">
        <f t="shared" si="141"/>
        <v>52.65</v>
      </c>
      <c r="I142" s="10">
        <v>31</v>
      </c>
      <c r="J142" s="15">
        <v>0</v>
      </c>
      <c r="K142" s="15">
        <v>336</v>
      </c>
      <c r="L142" s="10">
        <v>1</v>
      </c>
      <c r="M142" s="248">
        <f t="shared" si="122"/>
        <v>39.133333333333333</v>
      </c>
      <c r="N142" s="15">
        <f>'CDM Activity '!H223</f>
        <v>10474215.994282827</v>
      </c>
      <c r="O142" s="15">
        <v>705.6</v>
      </c>
      <c r="P142" s="105">
        <v>167.3815760825822</v>
      </c>
      <c r="Q142" s="30"/>
      <c r="R142" s="10">
        <f t="shared" si="131"/>
        <v>146803799.45841107</v>
      </c>
      <c r="S142" s="48"/>
    </row>
    <row r="143" spans="1:19" customFormat="1" x14ac:dyDescent="0.2">
      <c r="A143" s="49">
        <v>43738</v>
      </c>
      <c r="B143" s="6"/>
      <c r="C143" s="49"/>
      <c r="D143" s="6"/>
      <c r="E143" s="6"/>
      <c r="F143" s="6"/>
      <c r="G143" s="105">
        <f t="shared" ref="G143:H143" si="142">G131</f>
        <v>96.9</v>
      </c>
      <c r="H143" s="105">
        <f t="shared" si="142"/>
        <v>20.790000000000003</v>
      </c>
      <c r="I143" s="10">
        <v>30</v>
      </c>
      <c r="J143" s="15">
        <v>1</v>
      </c>
      <c r="K143" s="15">
        <v>320</v>
      </c>
      <c r="L143" s="10">
        <v>1</v>
      </c>
      <c r="M143" s="248">
        <f t="shared" si="122"/>
        <v>39.133333333333333</v>
      </c>
      <c r="N143" s="15">
        <f>'CDM Activity '!H224</f>
        <v>10402827.463440496</v>
      </c>
      <c r="O143" s="15">
        <v>705.6</v>
      </c>
      <c r="P143" s="105">
        <v>167.65802036392614</v>
      </c>
      <c r="Q143" s="21"/>
      <c r="R143" s="10">
        <f t="shared" si="131"/>
        <v>131593312.8051715</v>
      </c>
      <c r="S143" s="48"/>
    </row>
    <row r="144" spans="1:19" customFormat="1" x14ac:dyDescent="0.2">
      <c r="A144" s="49">
        <v>43769</v>
      </c>
      <c r="B144" s="6"/>
      <c r="C144" s="49"/>
      <c r="D144" s="6"/>
      <c r="E144" s="6"/>
      <c r="F144" s="6"/>
      <c r="G144" s="105">
        <f t="shared" ref="G144:H144" si="143">G132</f>
        <v>273.46999999999997</v>
      </c>
      <c r="H144" s="105">
        <f t="shared" si="143"/>
        <v>0.51</v>
      </c>
      <c r="I144" s="10">
        <v>31</v>
      </c>
      <c r="J144" s="15">
        <v>1</v>
      </c>
      <c r="K144" s="15">
        <v>352</v>
      </c>
      <c r="L144" s="10">
        <v>1</v>
      </c>
      <c r="M144" s="248">
        <f t="shared" si="122"/>
        <v>39.133333333333333</v>
      </c>
      <c r="N144" s="15">
        <f>'CDM Activity '!H225</f>
        <v>10331438.932598166</v>
      </c>
      <c r="O144" s="15">
        <v>705.6</v>
      </c>
      <c r="P144" s="105">
        <v>167.93492121547615</v>
      </c>
      <c r="Q144" s="21"/>
      <c r="R144" s="10">
        <f t="shared" si="131"/>
        <v>134849720.33292517</v>
      </c>
      <c r="S144" s="48"/>
    </row>
    <row r="145" spans="1:21" customFormat="1" x14ac:dyDescent="0.2">
      <c r="A145" s="49">
        <v>43799</v>
      </c>
      <c r="B145" s="6"/>
      <c r="C145" s="49"/>
      <c r="D145" s="6"/>
      <c r="E145" s="6"/>
      <c r="F145" s="6"/>
      <c r="G145" s="105">
        <f t="shared" ref="G145:H145" si="144">G133</f>
        <v>439.9</v>
      </c>
      <c r="H145" s="105">
        <f t="shared" si="144"/>
        <v>0</v>
      </c>
      <c r="I145" s="10">
        <v>30</v>
      </c>
      <c r="J145" s="15">
        <v>1</v>
      </c>
      <c r="K145" s="15">
        <v>320</v>
      </c>
      <c r="L145" s="10">
        <v>1</v>
      </c>
      <c r="M145" s="248">
        <f t="shared" si="122"/>
        <v>39.133333333333333</v>
      </c>
      <c r="N145" s="15">
        <f>'CDM Activity '!H226</f>
        <v>10260050.401755836</v>
      </c>
      <c r="O145" s="15">
        <v>705.6</v>
      </c>
      <c r="P145" s="105">
        <v>168.21227939129508</v>
      </c>
      <c r="Q145" s="21"/>
      <c r="R145" s="10">
        <f t="shared" si="131"/>
        <v>133330186.44605233</v>
      </c>
      <c r="S145" s="48"/>
      <c r="T145" s="161"/>
      <c r="U145" s="161"/>
    </row>
    <row r="146" spans="1:21" customFormat="1" x14ac:dyDescent="0.2">
      <c r="A146" s="49">
        <v>43830</v>
      </c>
      <c r="B146" s="6"/>
      <c r="C146" s="49"/>
      <c r="D146" s="6"/>
      <c r="E146" s="6"/>
      <c r="F146" s="6"/>
      <c r="G146" s="105">
        <f t="shared" ref="G146:H146" si="145">G134</f>
        <v>640.46</v>
      </c>
      <c r="H146" s="105">
        <f t="shared" si="145"/>
        <v>0</v>
      </c>
      <c r="I146" s="10">
        <v>31</v>
      </c>
      <c r="J146" s="15">
        <v>0</v>
      </c>
      <c r="K146" s="15">
        <v>320</v>
      </c>
      <c r="L146" s="10">
        <v>1</v>
      </c>
      <c r="M146" s="248">
        <f t="shared" si="122"/>
        <v>39.133333333333333</v>
      </c>
      <c r="N146" s="15">
        <f>'CDM Activity '!H227</f>
        <v>10188661.870913506</v>
      </c>
      <c r="O146" s="15">
        <v>705.6</v>
      </c>
      <c r="P146" s="105">
        <v>168.49009564669103</v>
      </c>
      <c r="Q146" s="21"/>
      <c r="R146" s="10">
        <f t="shared" si="131"/>
        <v>143871505.47198525</v>
      </c>
      <c r="S146" s="48"/>
      <c r="T146" s="161"/>
      <c r="U146" s="161"/>
    </row>
    <row r="147" spans="1:21" customFormat="1" x14ac:dyDescent="0.2">
      <c r="A147" s="49"/>
      <c r="B147" s="6"/>
      <c r="C147" s="49"/>
      <c r="D147" s="6"/>
      <c r="E147" s="6"/>
      <c r="F147" s="6"/>
      <c r="G147" s="161"/>
      <c r="H147" s="161"/>
      <c r="I147" s="10"/>
      <c r="J147" s="10"/>
      <c r="K147" s="21"/>
      <c r="L147" s="10"/>
      <c r="M147" s="21"/>
      <c r="N147" s="21"/>
      <c r="O147" s="21"/>
      <c r="P147" s="31"/>
      <c r="Q147" s="21"/>
      <c r="R147" s="161"/>
      <c r="S147" s="161"/>
      <c r="T147" s="161"/>
      <c r="U147" s="161"/>
    </row>
    <row r="148" spans="1:21" customFormat="1" x14ac:dyDescent="0.2">
      <c r="A148" s="49"/>
      <c r="B148" s="6"/>
      <c r="C148" s="49"/>
      <c r="D148" s="6"/>
      <c r="E148" s="6"/>
      <c r="F148" s="6"/>
      <c r="G148" s="161"/>
      <c r="H148" s="161"/>
      <c r="I148" s="10"/>
      <c r="J148" s="10"/>
      <c r="K148" s="21"/>
      <c r="L148" s="10"/>
      <c r="M148" s="21"/>
      <c r="N148" s="21"/>
      <c r="O148" s="21"/>
      <c r="P148" s="31"/>
      <c r="Q148" s="21"/>
      <c r="R148" s="161"/>
      <c r="S148" s="161"/>
      <c r="T148" s="161"/>
      <c r="U148" s="161"/>
    </row>
    <row r="149" spans="1:21" customFormat="1" x14ac:dyDescent="0.2">
      <c r="A149" s="49"/>
      <c r="B149" s="6"/>
      <c r="C149" s="49"/>
      <c r="D149" s="6"/>
      <c r="E149" s="6"/>
      <c r="F149" s="6"/>
      <c r="G149" s="161"/>
      <c r="H149" s="161"/>
      <c r="I149" s="10"/>
      <c r="J149" s="10"/>
      <c r="K149" s="21"/>
      <c r="L149" s="10"/>
      <c r="M149" s="21"/>
      <c r="N149" s="21"/>
      <c r="O149" s="21"/>
      <c r="P149" s="31"/>
      <c r="Q149" s="21"/>
      <c r="R149" s="161"/>
      <c r="S149" s="161"/>
      <c r="T149" s="161"/>
      <c r="U149" s="161"/>
    </row>
    <row r="150" spans="1:21" customFormat="1" x14ac:dyDescent="0.2">
      <c r="A150" s="49"/>
      <c r="B150" s="6"/>
      <c r="C150" s="49"/>
      <c r="D150" s="6"/>
      <c r="E150" s="6"/>
      <c r="F150" s="6"/>
      <c r="G150" s="16"/>
      <c r="H150" s="54" t="s">
        <v>70</v>
      </c>
      <c r="I150" s="10"/>
      <c r="J150" s="10"/>
      <c r="K150" s="21"/>
      <c r="L150" s="10"/>
      <c r="M150" s="21"/>
      <c r="N150" s="111"/>
      <c r="O150" s="21"/>
      <c r="P150" s="31"/>
      <c r="Q150" s="21"/>
      <c r="R150" s="48">
        <f>SUM(R2:R146)</f>
        <v>20873506676.468281</v>
      </c>
      <c r="S150" s="161"/>
      <c r="T150" s="161"/>
      <c r="U150" s="161"/>
    </row>
    <row r="151" spans="1:21" customFormat="1" x14ac:dyDescent="0.2">
      <c r="A151" s="49"/>
      <c r="B151" s="6"/>
      <c r="C151" s="49"/>
      <c r="D151" s="6"/>
      <c r="E151" s="6"/>
      <c r="F151" s="6"/>
      <c r="G151" s="161"/>
      <c r="H151" s="161"/>
      <c r="I151" s="10"/>
      <c r="J151" s="10"/>
      <c r="K151" s="21"/>
      <c r="L151" s="10"/>
      <c r="M151" s="21"/>
      <c r="N151" s="21"/>
      <c r="O151" s="21"/>
      <c r="P151" s="31"/>
      <c r="Q151" s="21"/>
      <c r="R151" s="161"/>
      <c r="S151" s="161"/>
      <c r="T151" s="161"/>
      <c r="U151" s="161"/>
    </row>
    <row r="152" spans="1:21" customFormat="1" x14ac:dyDescent="0.2">
      <c r="A152" s="40">
        <v>2008</v>
      </c>
      <c r="B152" s="6"/>
      <c r="C152" s="40"/>
      <c r="D152" s="6">
        <f>SUM(D3:D14)</f>
        <v>1515917474.9300001</v>
      </c>
      <c r="E152" s="6">
        <f>SUM(E3:E14)</f>
        <v>297492850</v>
      </c>
      <c r="F152" s="6">
        <f>SUM(F3:F14)</f>
        <v>1813410324.9300001</v>
      </c>
      <c r="G152" s="161"/>
      <c r="H152" s="161"/>
      <c r="I152" s="161"/>
      <c r="J152" s="161"/>
      <c r="K152" s="21"/>
      <c r="L152" s="161"/>
      <c r="M152" s="21"/>
      <c r="N152" s="21"/>
      <c r="O152" s="21"/>
      <c r="P152" s="31"/>
      <c r="Q152" s="21"/>
      <c r="R152" s="6">
        <f>SUM(R3:R14)</f>
        <v>1798471338.075866</v>
      </c>
      <c r="S152" s="36">
        <f t="shared" ref="S152:S161" si="146">R152-F152</f>
        <v>-14938986.854134083</v>
      </c>
      <c r="T152" s="5">
        <f t="shared" ref="T152:T161" si="147">S152/D152</f>
        <v>-9.8547494182187681E-3</v>
      </c>
      <c r="U152" s="5">
        <f t="shared" ref="U152:U156" si="148">ABS(T152)</f>
        <v>9.8547494182187681E-3</v>
      </c>
    </row>
    <row r="153" spans="1:21" customFormat="1" x14ac:dyDescent="0.2">
      <c r="A153" s="50">
        <v>2009</v>
      </c>
      <c r="B153" s="6"/>
      <c r="C153" s="50"/>
      <c r="D153" s="6">
        <f>SUM(D15:D26)</f>
        <v>1408643619.3199999</v>
      </c>
      <c r="E153" s="6">
        <f>SUM(E15:E26)</f>
        <v>285044124</v>
      </c>
      <c r="F153" s="6">
        <f>SUM(F15:F26)</f>
        <v>1693687743.3199999</v>
      </c>
      <c r="G153" s="161"/>
      <c r="H153" s="161"/>
      <c r="I153" s="161"/>
      <c r="J153" s="161"/>
      <c r="K153" s="21"/>
      <c r="L153" s="161"/>
      <c r="M153" s="21"/>
      <c r="N153" s="21"/>
      <c r="O153" s="21"/>
      <c r="P153" s="31"/>
      <c r="Q153" s="21"/>
      <c r="R153" s="6">
        <f>SUM(R15:R26)</f>
        <v>1732475705.2379763</v>
      </c>
      <c r="S153" s="36">
        <f t="shared" si="146"/>
        <v>38787961.917976379</v>
      </c>
      <c r="T153" s="5">
        <f t="shared" si="147"/>
        <v>2.7535681407267969E-2</v>
      </c>
      <c r="U153" s="5">
        <f t="shared" si="148"/>
        <v>2.7535681407267969E-2</v>
      </c>
    </row>
    <row r="154" spans="1:21" customFormat="1" x14ac:dyDescent="0.2">
      <c r="A154" s="40">
        <v>2010</v>
      </c>
      <c r="B154" s="6"/>
      <c r="C154" s="40"/>
      <c r="D154" s="6">
        <f>SUM(D27:D38)</f>
        <v>1470488791.4399998</v>
      </c>
      <c r="E154" s="6">
        <f>SUM(E27:E38)</f>
        <v>291433060</v>
      </c>
      <c r="F154" s="6">
        <f>SUM(F27:F38)</f>
        <v>1761921851.4400001</v>
      </c>
      <c r="G154" s="161"/>
      <c r="H154" s="161"/>
      <c r="I154" s="161"/>
      <c r="J154" s="161"/>
      <c r="K154" s="21"/>
      <c r="L154" s="161"/>
      <c r="M154" s="21"/>
      <c r="N154" s="21"/>
      <c r="O154" s="21"/>
      <c r="P154" s="31"/>
      <c r="Q154" s="21"/>
      <c r="R154" s="6">
        <f>SUM(R27:R38)</f>
        <v>1741077819.2609749</v>
      </c>
      <c r="S154" s="36">
        <f t="shared" si="146"/>
        <v>-20844032.179025173</v>
      </c>
      <c r="T154" s="5">
        <f t="shared" si="147"/>
        <v>-1.4174900414312795E-2</v>
      </c>
      <c r="U154" s="5">
        <f t="shared" si="148"/>
        <v>1.4174900414312795E-2</v>
      </c>
    </row>
    <row r="155" spans="1:21" customFormat="1" x14ac:dyDescent="0.2">
      <c r="A155" s="40">
        <v>2011</v>
      </c>
      <c r="B155" s="6"/>
      <c r="C155" s="40"/>
      <c r="D155" s="6">
        <f>SUM(D39:D50)</f>
        <v>1473294837.73</v>
      </c>
      <c r="E155" s="6">
        <f>SUM(E39:E50)</f>
        <v>293737263</v>
      </c>
      <c r="F155" s="6">
        <f>SUM(F39:F50)</f>
        <v>1767032100.7299995</v>
      </c>
      <c r="G155" s="161"/>
      <c r="H155" s="161"/>
      <c r="I155" s="161"/>
      <c r="J155" s="161"/>
      <c r="K155" s="21"/>
      <c r="L155" s="161"/>
      <c r="M155" s="21"/>
      <c r="N155" s="21"/>
      <c r="O155" s="21"/>
      <c r="P155" s="31"/>
      <c r="Q155" s="21"/>
      <c r="R155" s="6">
        <f>SUM(R39:R50)</f>
        <v>1762530082.2400632</v>
      </c>
      <c r="S155" s="36">
        <f t="shared" si="146"/>
        <v>-4502018.4899363518</v>
      </c>
      <c r="T155" s="5">
        <f t="shared" si="147"/>
        <v>-3.0557484996505523E-3</v>
      </c>
      <c r="U155" s="5">
        <f t="shared" si="148"/>
        <v>3.0557484996505523E-3</v>
      </c>
    </row>
    <row r="156" spans="1:21" customFormat="1" x14ac:dyDescent="0.2">
      <c r="A156" s="40">
        <v>2012</v>
      </c>
      <c r="B156" s="6"/>
      <c r="C156" s="40"/>
      <c r="D156" s="6">
        <f>SUM(D51:D62)</f>
        <v>1481727956.7770286</v>
      </c>
      <c r="E156" s="6">
        <f>SUM(E51:E62)</f>
        <v>293429507</v>
      </c>
      <c r="F156" s="6">
        <f>SUM(F51:F62)</f>
        <v>1775157463.7770281</v>
      </c>
      <c r="G156" s="161"/>
      <c r="H156" s="161"/>
      <c r="I156" s="161"/>
      <c r="J156" s="161"/>
      <c r="K156" s="21"/>
      <c r="L156" s="161"/>
      <c r="M156" s="21"/>
      <c r="N156" s="21"/>
      <c r="O156" s="21"/>
      <c r="P156" s="31"/>
      <c r="Q156" s="21"/>
      <c r="R156" s="6">
        <f>SUM(R51:R62)</f>
        <v>1776049314.0252881</v>
      </c>
      <c r="S156" s="36">
        <f t="shared" si="146"/>
        <v>891850.24826002121</v>
      </c>
      <c r="T156" s="5">
        <f t="shared" si="147"/>
        <v>6.0189877917936016E-4</v>
      </c>
      <c r="U156" s="5">
        <f t="shared" si="148"/>
        <v>6.0189877917936016E-4</v>
      </c>
    </row>
    <row r="157" spans="1:21" customFormat="1" x14ac:dyDescent="0.2">
      <c r="A157" s="40">
        <v>2013</v>
      </c>
      <c r="B157" s="6"/>
      <c r="C157" s="40"/>
      <c r="D157" s="6">
        <f>SUM(D63:D74)</f>
        <v>1479631641</v>
      </c>
      <c r="E157" s="6">
        <f>SUM(E63:E74)</f>
        <v>301042483</v>
      </c>
      <c r="F157" s="6">
        <f>SUM(F63:F74)</f>
        <v>1780674124</v>
      </c>
      <c r="G157" s="161"/>
      <c r="H157" s="161"/>
      <c r="I157" s="161"/>
      <c r="J157" s="161"/>
      <c r="K157" s="21"/>
      <c r="L157" s="161"/>
      <c r="M157" s="21"/>
      <c r="N157" s="21"/>
      <c r="O157" s="21"/>
      <c r="P157" s="31"/>
      <c r="Q157" s="21"/>
      <c r="R157" s="6">
        <f>SUM(R63:R74)</f>
        <v>1773430879.6186125</v>
      </c>
      <c r="S157" s="36">
        <f t="shared" si="146"/>
        <v>-7243244.3813874722</v>
      </c>
      <c r="T157" s="5">
        <f t="shared" si="147"/>
        <v>-4.8953024392558745E-3</v>
      </c>
      <c r="U157" s="5">
        <f>ABS(T157)</f>
        <v>4.8953024392558745E-3</v>
      </c>
    </row>
    <row r="158" spans="1:21" customFormat="1" x14ac:dyDescent="0.2">
      <c r="A158" s="40">
        <v>2014</v>
      </c>
      <c r="B158" s="6"/>
      <c r="C158" s="40"/>
      <c r="D158" s="6">
        <f>SUM(D75:D86)</f>
        <v>1478604265.9999998</v>
      </c>
      <c r="E158" s="6">
        <f>SUM(E75:E86)</f>
        <v>303815429</v>
      </c>
      <c r="F158" s="6">
        <f>SUM(F75:F86)</f>
        <v>1782419695</v>
      </c>
      <c r="G158" s="161"/>
      <c r="H158" s="161"/>
      <c r="I158" s="161"/>
      <c r="J158" s="161"/>
      <c r="K158" s="21"/>
      <c r="L158" s="161"/>
      <c r="M158" s="21"/>
      <c r="N158" s="21"/>
      <c r="O158" s="21"/>
      <c r="P158" s="31"/>
      <c r="Q158" s="21"/>
      <c r="R158" s="6">
        <f>SUM(R75:R86)</f>
        <v>1783769164.5564604</v>
      </c>
      <c r="S158" s="36">
        <f t="shared" si="146"/>
        <v>1349469.5564603806</v>
      </c>
      <c r="T158" s="5">
        <f t="shared" si="147"/>
        <v>9.1266445491263099E-4</v>
      </c>
      <c r="U158" s="5">
        <f>ABS(T158)</f>
        <v>9.1266445491263099E-4</v>
      </c>
    </row>
    <row r="159" spans="1:21" customFormat="1" x14ac:dyDescent="0.2">
      <c r="A159" s="50">
        <v>2015</v>
      </c>
      <c r="B159" s="6"/>
      <c r="C159" s="40"/>
      <c r="D159" s="6">
        <f>SUM(D87:D98)</f>
        <v>1483863362.230386</v>
      </c>
      <c r="E159" s="6">
        <f>SUM(E87:E98)</f>
        <v>293516037.00000006</v>
      </c>
      <c r="F159" s="6">
        <f>SUM(F87:F98)</f>
        <v>1777379399.230386</v>
      </c>
      <c r="G159" s="161"/>
      <c r="H159" s="161"/>
      <c r="I159" s="161"/>
      <c r="J159" s="161"/>
      <c r="K159" s="21"/>
      <c r="L159" s="161"/>
      <c r="M159" s="21"/>
      <c r="N159" s="21"/>
      <c r="O159" s="21"/>
      <c r="P159" s="31"/>
      <c r="Q159" s="21"/>
      <c r="R159" s="6">
        <f>SUM(R87:R98)</f>
        <v>1794699582.5477185</v>
      </c>
      <c r="S159" s="36">
        <f t="shared" si="146"/>
        <v>17320183.317332506</v>
      </c>
      <c r="T159" s="5">
        <f t="shared" si="147"/>
        <v>1.1672357279108666E-2</v>
      </c>
      <c r="U159" s="5">
        <f>ABS(T159)</f>
        <v>1.1672357279108666E-2</v>
      </c>
    </row>
    <row r="160" spans="1:21" customFormat="1" x14ac:dyDescent="0.2">
      <c r="A160" s="40">
        <v>2016</v>
      </c>
      <c r="B160" s="6"/>
      <c r="C160" s="40"/>
      <c r="D160" s="6">
        <f>SUM(D99:D110)</f>
        <v>1424060763</v>
      </c>
      <c r="E160" s="6">
        <f>SUM(E99:E110)</f>
        <v>298126493</v>
      </c>
      <c r="F160" s="6">
        <f>SUM(F99:F110)</f>
        <v>1722187256.0000002</v>
      </c>
      <c r="G160" s="161"/>
      <c r="H160" s="161"/>
      <c r="I160" s="161"/>
      <c r="J160" s="161"/>
      <c r="K160" s="21"/>
      <c r="L160" s="161"/>
      <c r="M160" s="21"/>
      <c r="N160" s="21"/>
      <c r="O160" s="21"/>
      <c r="P160" s="31"/>
      <c r="Q160" s="21"/>
      <c r="R160" s="6">
        <f>SUM(R99:R110)</f>
        <v>1676921233.6718524</v>
      </c>
      <c r="S160" s="36">
        <f t="shared" si="146"/>
        <v>-45266022.328147888</v>
      </c>
      <c r="T160" s="5">
        <f t="shared" si="147"/>
        <v>-3.1786580674260094E-2</v>
      </c>
      <c r="U160" s="5">
        <f>ABS(T160)</f>
        <v>3.1786580674260094E-2</v>
      </c>
    </row>
    <row r="161" spans="1:25" x14ac:dyDescent="0.2">
      <c r="A161" s="50">
        <v>2017</v>
      </c>
      <c r="D161" s="6">
        <f>SUM(D111:D122)</f>
        <v>1357075175</v>
      </c>
      <c r="E161" s="6">
        <f>SUM(E111:E122)</f>
        <v>286507171.5518769</v>
      </c>
      <c r="F161" s="6">
        <f>SUM(F111:F122)</f>
        <v>1643582346.551877</v>
      </c>
      <c r="R161" s="6">
        <f>SUM(R111:R122)</f>
        <v>1678027185.7444844</v>
      </c>
      <c r="S161" s="36">
        <f t="shared" si="146"/>
        <v>34444839.192607403</v>
      </c>
      <c r="T161" s="5">
        <f t="shared" si="147"/>
        <v>2.5381673636913595E-2</v>
      </c>
      <c r="U161" s="5">
        <f>ABS(T161)</f>
        <v>2.5381673636913595E-2</v>
      </c>
    </row>
    <row r="162" spans="1:25" x14ac:dyDescent="0.2">
      <c r="A162" s="40">
        <v>2018</v>
      </c>
      <c r="R162" s="6">
        <f>SUM(R123:R134)</f>
        <v>1678027185.7444842</v>
      </c>
      <c r="S162" s="36"/>
      <c r="T162" s="5"/>
      <c r="U162" s="5"/>
    </row>
    <row r="163" spans="1:25" x14ac:dyDescent="0.2">
      <c r="A163" s="50">
        <v>2019</v>
      </c>
      <c r="M163" s="25"/>
      <c r="R163" s="6">
        <f>SUM(R135:R146)</f>
        <v>1678027185.7444842</v>
      </c>
      <c r="S163" s="36"/>
      <c r="T163" s="5"/>
      <c r="U163" s="5"/>
      <c r="V163" s="5"/>
      <c r="W163" s="5"/>
      <c r="X163" s="6"/>
      <c r="Y163" s="55"/>
    </row>
    <row r="164" spans="1:25" x14ac:dyDescent="0.2">
      <c r="R164" s="6"/>
      <c r="V164" s="5"/>
      <c r="W164" s="5"/>
      <c r="X164" s="6"/>
      <c r="Y164" s="55"/>
    </row>
    <row r="165" spans="1:25" x14ac:dyDescent="0.2">
      <c r="A165" s="110" t="s">
        <v>12</v>
      </c>
      <c r="D165" s="6">
        <f>SUM(D152:D161)</f>
        <v>14573307887.427416</v>
      </c>
      <c r="E165" s="6">
        <f t="shared" ref="E165:F165" si="149">SUM(E152:E161)</f>
        <v>2944144417.551877</v>
      </c>
      <c r="F165" s="6">
        <f t="shared" si="149"/>
        <v>17517452304.979294</v>
      </c>
      <c r="R165" s="6">
        <f t="shared" ref="R165" si="150">SUM(R152:R161)</f>
        <v>17517452304.979294</v>
      </c>
      <c r="S165" s="48">
        <f>R165-F165</f>
        <v>0</v>
      </c>
      <c r="V165" s="5"/>
      <c r="W165" s="5"/>
      <c r="X165" s="6"/>
      <c r="Y165" s="55"/>
    </row>
    <row r="166" spans="1:25" x14ac:dyDescent="0.2">
      <c r="V166" s="5"/>
      <c r="W166" s="5"/>
      <c r="X166" s="6"/>
      <c r="Y166" s="55"/>
    </row>
    <row r="167" spans="1:25" x14ac:dyDescent="0.2">
      <c r="R167" s="6">
        <f>SUM(R152:R163)</f>
        <v>20873506676.468262</v>
      </c>
      <c r="S167" s="48">
        <f>R150-R167</f>
        <v>0</v>
      </c>
      <c r="V167" s="5"/>
      <c r="W167" s="5"/>
      <c r="X167" s="6"/>
      <c r="Y167" s="55"/>
    </row>
    <row r="168" spans="1:25" x14ac:dyDescent="0.2">
      <c r="R168" s="16"/>
      <c r="S168" s="16" t="s">
        <v>65</v>
      </c>
      <c r="T168" s="16"/>
      <c r="U168" s="16"/>
      <c r="V168" s="5"/>
      <c r="W168" s="5"/>
      <c r="X168" s="6"/>
      <c r="Y168" s="55"/>
    </row>
    <row r="169" spans="1:25" x14ac:dyDescent="0.2">
      <c r="V169" s="6"/>
      <c r="W169" s="5"/>
      <c r="X169" s="6"/>
      <c r="Y169" s="55"/>
    </row>
    <row r="170" spans="1:25" x14ac:dyDescent="0.2">
      <c r="V170" s="6"/>
      <c r="W170" s="5"/>
      <c r="X170" s="6"/>
      <c r="Y170" s="55"/>
    </row>
    <row r="171" spans="1:25" x14ac:dyDescent="0.2">
      <c r="B171" s="40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V171" s="6"/>
      <c r="W171" s="5"/>
      <c r="X171" s="6"/>
      <c r="Y171" s="55"/>
    </row>
    <row r="172" spans="1:25" x14ac:dyDescent="0.2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V172" s="6"/>
      <c r="W172" s="5"/>
      <c r="X172" s="6"/>
      <c r="Y172" s="55"/>
    </row>
    <row r="173" spans="1:25" x14ac:dyDescent="0.2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V173" s="6"/>
      <c r="W173" s="5"/>
      <c r="X173" s="6"/>
      <c r="Y173" s="55"/>
    </row>
    <row r="174" spans="1:25" x14ac:dyDescent="0.2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V174" s="6"/>
      <c r="W174" s="5"/>
      <c r="X174" s="6"/>
      <c r="Y174" s="55"/>
    </row>
    <row r="175" spans="1:25" x14ac:dyDescent="0.2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V175" s="6"/>
      <c r="W175" s="5"/>
      <c r="X175" s="6"/>
      <c r="Y175" s="55"/>
    </row>
    <row r="176" spans="1:25" x14ac:dyDescent="0.2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23" x14ac:dyDescent="0.2">
      <c r="A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23" x14ac:dyDescent="0.2">
      <c r="A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23" x14ac:dyDescent="0.2">
      <c r="A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23" x14ac:dyDescent="0.2">
      <c r="A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V180"/>
      <c r="W180"/>
    </row>
    <row r="181" spans="1:23" x14ac:dyDescent="0.2">
      <c r="A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23" x14ac:dyDescent="0.2">
      <c r="A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23" x14ac:dyDescent="0.2">
      <c r="A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48"/>
    </row>
    <row r="184" spans="1:23" x14ac:dyDescent="0.2">
      <c r="A184"/>
    </row>
    <row r="185" spans="1:23" x14ac:dyDescent="0.2">
      <c r="A185"/>
      <c r="B185" s="4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23" x14ac:dyDescent="0.2">
      <c r="A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23" x14ac:dyDescent="0.2">
      <c r="A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23" x14ac:dyDescent="0.2">
      <c r="A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23" x14ac:dyDescent="0.2">
      <c r="A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23" x14ac:dyDescent="0.2">
      <c r="A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23" x14ac:dyDescent="0.2">
      <c r="A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23" x14ac:dyDescent="0.2">
      <c r="A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2:20" customFormat="1" x14ac:dyDescent="0.2"/>
    <row r="194" spans="2:20" customFormat="1" x14ac:dyDescent="0.2"/>
    <row r="195" spans="2:20" customFormat="1" x14ac:dyDescent="0.2"/>
    <row r="196" spans="2:20" customFormat="1" x14ac:dyDescent="0.2"/>
    <row r="197" spans="2:20" customFormat="1" x14ac:dyDescent="0.2"/>
    <row r="198" spans="2:20" x14ac:dyDescent="0.2">
      <c r="B198"/>
      <c r="C198"/>
      <c r="T198"/>
    </row>
    <row r="199" spans="2:20" x14ac:dyDescent="0.2">
      <c r="B199"/>
      <c r="C199"/>
      <c r="T199"/>
    </row>
    <row r="200" spans="2:20" x14ac:dyDescent="0.2">
      <c r="B200"/>
      <c r="C200"/>
      <c r="T200"/>
    </row>
    <row r="201" spans="2:20" x14ac:dyDescent="0.2">
      <c r="B201"/>
      <c r="C201"/>
      <c r="T201"/>
    </row>
    <row r="202" spans="2:20" x14ac:dyDescent="0.2">
      <c r="B202"/>
      <c r="C202"/>
      <c r="T202"/>
    </row>
    <row r="203" spans="2:20" x14ac:dyDescent="0.2">
      <c r="B203"/>
      <c r="C203"/>
      <c r="T203"/>
    </row>
    <row r="204" spans="2:20" x14ac:dyDescent="0.2">
      <c r="B204"/>
      <c r="C204"/>
      <c r="T204"/>
    </row>
    <row r="205" spans="2:20" x14ac:dyDescent="0.2">
      <c r="B205"/>
      <c r="C205"/>
      <c r="T205"/>
    </row>
    <row r="206" spans="2:20" x14ac:dyDescent="0.2">
      <c r="B206"/>
      <c r="C206"/>
      <c r="T206"/>
    </row>
    <row r="207" spans="2:20" x14ac:dyDescent="0.2">
      <c r="B207"/>
      <c r="C207"/>
      <c r="T207"/>
    </row>
    <row r="208" spans="2:20" x14ac:dyDescent="0.2">
      <c r="B208"/>
      <c r="C208"/>
      <c r="T208"/>
    </row>
    <row r="209" spans="4:19" x14ac:dyDescent="0.2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4:19" x14ac:dyDescent="0.2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</sheetData>
  <printOptions gridLines="1"/>
  <pageMargins left="0.38" right="0.75" top="0.73" bottom="0.74" header="0.5" footer="0.5"/>
  <pageSetup scale="15" orientation="landscape" r:id="rId1"/>
  <headerFooter alignWithMargins="0"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X109"/>
  <sheetViews>
    <sheetView topLeftCell="G55" workbookViewId="0">
      <selection activeCell="G86" sqref="G86"/>
    </sheetView>
  </sheetViews>
  <sheetFormatPr defaultRowHeight="12.75" x14ac:dyDescent="0.2"/>
  <cols>
    <col min="1" max="1" width="21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2.5703125" style="6" customWidth="1"/>
    <col min="13" max="13" width="11.28515625" style="6" customWidth="1"/>
    <col min="14" max="14" width="12.42578125" style="6" customWidth="1"/>
    <col min="15" max="15" width="16.85546875" style="6" bestFit="1" customWidth="1"/>
    <col min="16" max="18" width="16.85546875" style="6" customWidth="1"/>
    <col min="19" max="19" width="14.28515625" style="6" customWidth="1"/>
    <col min="20" max="20" width="12.7109375" style="6" bestFit="1" customWidth="1"/>
    <col min="21" max="21" width="11.7109375" style="6" bestFit="1" customWidth="1"/>
    <col min="22" max="22" width="14" style="6" customWidth="1"/>
    <col min="23" max="23" width="10.140625" style="6" bestFit="1" customWidth="1"/>
    <col min="24" max="24" width="12.7109375" style="6" bestFit="1" customWidth="1"/>
  </cols>
  <sheetData>
    <row r="2" spans="1:24" ht="51" x14ac:dyDescent="0.2">
      <c r="B2" s="2" t="s">
        <v>9</v>
      </c>
      <c r="C2" s="2" t="s">
        <v>10</v>
      </c>
      <c r="D2" s="2" t="s">
        <v>44</v>
      </c>
      <c r="E2" s="2" t="s">
        <v>11</v>
      </c>
      <c r="F2" s="2" t="s">
        <v>0</v>
      </c>
      <c r="G2" s="7" t="s">
        <v>3</v>
      </c>
      <c r="H2" s="45" t="s">
        <v>1</v>
      </c>
      <c r="I2" s="46" t="s">
        <v>61</v>
      </c>
      <c r="J2" s="238" t="s">
        <v>62</v>
      </c>
      <c r="K2" s="238" t="s">
        <v>63</v>
      </c>
      <c r="L2" s="116" t="s">
        <v>113</v>
      </c>
      <c r="M2" s="47" t="s">
        <v>66</v>
      </c>
      <c r="N2" s="47" t="s">
        <v>195</v>
      </c>
      <c r="O2" s="47" t="s">
        <v>2</v>
      </c>
      <c r="P2" s="120" t="s">
        <v>285</v>
      </c>
      <c r="Q2" s="120" t="s">
        <v>286</v>
      </c>
      <c r="R2" s="120" t="s">
        <v>287</v>
      </c>
      <c r="S2" s="120" t="s">
        <v>283</v>
      </c>
      <c r="U2" s="120" t="s">
        <v>284</v>
      </c>
      <c r="V2" s="116" t="s">
        <v>112</v>
      </c>
    </row>
    <row r="4" spans="1:24" x14ac:dyDescent="0.2">
      <c r="A4" s="16"/>
      <c r="B4" s="40" t="s">
        <v>46</v>
      </c>
    </row>
    <row r="5" spans="1:24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221">
        <f>'Purchased Power Model'!A154</f>
        <v>2010</v>
      </c>
      <c r="B6" s="6">
        <f>'Purchased Power Model'!F154</f>
        <v>1761921851.4400001</v>
      </c>
      <c r="C6" s="6">
        <f>'Purchased Power Model'!S154</f>
        <v>1748395386.5384984</v>
      </c>
      <c r="D6" s="36">
        <f t="shared" ref="D6:D13" si="0">C6-B6</f>
        <v>-13526464.901501656</v>
      </c>
      <c r="E6" s="5">
        <f t="shared" ref="E6:E13" si="1">D6/B6</f>
        <v>-7.6771083180826776E-3</v>
      </c>
      <c r="F6" s="22">
        <f t="shared" ref="F6:F13" si="2">1 +(B6-G6)/G6</f>
        <v>1.035895048178346</v>
      </c>
      <c r="G6" s="25">
        <f t="shared" ref="G6:G13" si="3">SUM(H6:S6)</f>
        <v>1700869074.0808105</v>
      </c>
      <c r="H6" s="25">
        <f t="shared" ref="H6:I13" si="4">H20+H30</f>
        <v>476486462.39498103</v>
      </c>
      <c r="I6" s="25">
        <f t="shared" si="4"/>
        <v>199237830.35864899</v>
      </c>
      <c r="J6" s="25">
        <f t="shared" ref="J6:P6" si="5">J20+J30</f>
        <v>486523861.41307795</v>
      </c>
      <c r="K6" s="25">
        <f t="shared" si="5"/>
        <v>250459340.058624</v>
      </c>
      <c r="L6" s="25">
        <f t="shared" si="5"/>
        <v>196557280.622706</v>
      </c>
      <c r="M6" s="25">
        <f t="shared" si="5"/>
        <v>11228686.4925451</v>
      </c>
      <c r="N6" s="25">
        <f t="shared" si="5"/>
        <v>175284.4</v>
      </c>
      <c r="O6" s="25">
        <f t="shared" si="5"/>
        <v>2609944.9105078499</v>
      </c>
      <c r="P6" s="25">
        <f t="shared" si="5"/>
        <v>373339</v>
      </c>
      <c r="Q6" s="25">
        <f t="shared" ref="Q6:R6" si="6">Q20+Q30</f>
        <v>13348829.459999999</v>
      </c>
      <c r="R6" s="25">
        <f t="shared" si="6"/>
        <v>50253229.850000001</v>
      </c>
      <c r="S6" s="25">
        <f>S20</f>
        <v>13614985.1197195</v>
      </c>
      <c r="V6" s="25">
        <f t="shared" ref="V6:V13" si="7">V20+V30</f>
        <v>43796746.469999999</v>
      </c>
    </row>
    <row r="7" spans="1:24" x14ac:dyDescent="0.2">
      <c r="A7" s="221">
        <f>'Purchased Power Model'!A155</f>
        <v>2011</v>
      </c>
      <c r="B7" s="6">
        <f>'Purchased Power Model'!F155</f>
        <v>1767032100.7299995</v>
      </c>
      <c r="C7" s="6">
        <f>'Purchased Power Model'!S155</f>
        <v>1768963448.1354213</v>
      </c>
      <c r="D7" s="36">
        <f t="shared" si="0"/>
        <v>1931347.4054217339</v>
      </c>
      <c r="E7" s="5">
        <f t="shared" si="1"/>
        <v>1.092989428219132E-3</v>
      </c>
      <c r="F7" s="22">
        <f t="shared" si="2"/>
        <v>1.0360871937936309</v>
      </c>
      <c r="G7" s="25">
        <f t="shared" si="3"/>
        <v>1705485900.5254331</v>
      </c>
      <c r="H7" s="25">
        <f t="shared" si="4"/>
        <v>478456723.38740706</v>
      </c>
      <c r="I7" s="25">
        <f t="shared" si="4"/>
        <v>194492494.32360297</v>
      </c>
      <c r="J7" s="25">
        <f t="shared" ref="J7:P13" si="8">J21+J31</f>
        <v>500487577.54214203</v>
      </c>
      <c r="K7" s="25">
        <f t="shared" si="8"/>
        <v>269851932.18712997</v>
      </c>
      <c r="L7" s="25">
        <f t="shared" si="8"/>
        <v>169195800.19187</v>
      </c>
      <c r="M7" s="25">
        <f t="shared" si="8"/>
        <v>11229392.51389375</v>
      </c>
      <c r="N7" s="25">
        <f t="shared" si="8"/>
        <v>164006.01</v>
      </c>
      <c r="O7" s="25">
        <f t="shared" si="8"/>
        <v>2512918.5874618399</v>
      </c>
      <c r="P7" s="25">
        <f t="shared" si="8"/>
        <v>373339</v>
      </c>
      <c r="Q7" s="25">
        <f t="shared" ref="Q7:R7" si="9">Q21+Q31</f>
        <v>13695349.587000001</v>
      </c>
      <c r="R7" s="25">
        <f t="shared" si="9"/>
        <v>51547773.450000003</v>
      </c>
      <c r="S7" s="25">
        <f t="shared" ref="S7:S13" si="10">S21</f>
        <v>13478593.7449254</v>
      </c>
      <c r="V7" s="25">
        <f t="shared" si="7"/>
        <v>46753740.939999998</v>
      </c>
    </row>
    <row r="8" spans="1:24" x14ac:dyDescent="0.2">
      <c r="A8" s="221">
        <f>'Purchased Power Model'!A156</f>
        <v>2012</v>
      </c>
      <c r="B8" s="6">
        <f>'Purchased Power Model'!F156</f>
        <v>1775157463.7770281</v>
      </c>
      <c r="C8" s="6">
        <f>'Purchased Power Model'!S156</f>
        <v>1787204459.9350173</v>
      </c>
      <c r="D8" s="36">
        <f t="shared" si="0"/>
        <v>12046996.157989264</v>
      </c>
      <c r="E8" s="5">
        <f t="shared" si="1"/>
        <v>6.7864380506035202E-3</v>
      </c>
      <c r="F8" s="22">
        <f t="shared" si="2"/>
        <v>1.0312050433546698</v>
      </c>
      <c r="G8" s="25">
        <f t="shared" si="3"/>
        <v>1721439858.3643131</v>
      </c>
      <c r="H8" s="25">
        <f t="shared" si="4"/>
        <v>479247117.86883599</v>
      </c>
      <c r="I8" s="25">
        <f t="shared" si="4"/>
        <v>194297828.73600498</v>
      </c>
      <c r="J8" s="25">
        <f t="shared" si="8"/>
        <v>501135344.831294</v>
      </c>
      <c r="K8" s="25">
        <f t="shared" si="8"/>
        <v>256008218.77028799</v>
      </c>
      <c r="L8" s="25">
        <f t="shared" si="8"/>
        <v>201189505.21250001</v>
      </c>
      <c r="M8" s="25">
        <f t="shared" si="8"/>
        <v>11359958.941223141</v>
      </c>
      <c r="N8" s="25">
        <f t="shared" si="8"/>
        <v>178406.38999999998</v>
      </c>
      <c r="O8" s="25">
        <f t="shared" si="8"/>
        <v>2457457.59674505</v>
      </c>
      <c r="P8" s="25">
        <f t="shared" si="8"/>
        <v>374823</v>
      </c>
      <c r="Q8" s="25">
        <f t="shared" ref="Q8:R8" si="11">Q22+Q32</f>
        <v>9863706.6199999992</v>
      </c>
      <c r="R8" s="25">
        <f t="shared" si="11"/>
        <v>52318961.540000007</v>
      </c>
      <c r="S8" s="25">
        <f t="shared" si="10"/>
        <v>13008528.857421899</v>
      </c>
      <c r="V8" s="25">
        <f t="shared" si="7"/>
        <v>45452655.189999998</v>
      </c>
    </row>
    <row r="9" spans="1:24" x14ac:dyDescent="0.2">
      <c r="A9" s="221">
        <f>'Purchased Power Model'!A157</f>
        <v>2013</v>
      </c>
      <c r="B9" s="6">
        <f>'Purchased Power Model'!F157</f>
        <v>1780674124</v>
      </c>
      <c r="C9" s="6">
        <f>'Purchased Power Model'!S157</f>
        <v>1778351375.4538741</v>
      </c>
      <c r="D9" s="36">
        <f t="shared" si="0"/>
        <v>-2322748.5461258888</v>
      </c>
      <c r="E9" s="5">
        <f t="shared" si="1"/>
        <v>-1.3044209015112801E-3</v>
      </c>
      <c r="F9" s="22">
        <f t="shared" si="2"/>
        <v>1.0201625089689035</v>
      </c>
      <c r="G9" s="25">
        <f t="shared" si="3"/>
        <v>1745480850.6928558</v>
      </c>
      <c r="H9" s="25">
        <f t="shared" si="4"/>
        <v>464848342.57999998</v>
      </c>
      <c r="I9" s="25">
        <f t="shared" si="4"/>
        <v>193717266.88</v>
      </c>
      <c r="J9" s="25">
        <f t="shared" si="8"/>
        <v>518348767.14387101</v>
      </c>
      <c r="K9" s="25">
        <f t="shared" si="8"/>
        <v>270280542.79000002</v>
      </c>
      <c r="L9" s="25">
        <f t="shared" si="8"/>
        <v>204906256.95999998</v>
      </c>
      <c r="M9" s="25">
        <f t="shared" si="8"/>
        <v>11262943.219999999</v>
      </c>
      <c r="N9" s="25">
        <f t="shared" si="8"/>
        <v>152803.15</v>
      </c>
      <c r="O9" s="25">
        <f t="shared" si="8"/>
        <v>2430644.8189845476</v>
      </c>
      <c r="P9" s="25">
        <f t="shared" si="8"/>
        <v>356273</v>
      </c>
      <c r="Q9" s="25">
        <f t="shared" ref="Q9:R9" si="12">Q23+Q33</f>
        <v>13883197</v>
      </c>
      <c r="R9" s="25">
        <f t="shared" si="12"/>
        <v>52117101.93</v>
      </c>
      <c r="S9" s="25">
        <f t="shared" si="10"/>
        <v>13176711.219999999</v>
      </c>
      <c r="U9" s="6">
        <f>U23</f>
        <v>45983609.929999992</v>
      </c>
      <c r="V9" s="25">
        <f t="shared" si="7"/>
        <v>43073849.080000006</v>
      </c>
    </row>
    <row r="10" spans="1:24" x14ac:dyDescent="0.2">
      <c r="A10" s="221">
        <f>'Purchased Power Model'!A158</f>
        <v>2014</v>
      </c>
      <c r="B10" s="6">
        <f>'Purchased Power Model'!F158</f>
        <v>1782419695</v>
      </c>
      <c r="C10" s="6">
        <f>'Purchased Power Model'!S158</f>
        <v>1769039132.9827464</v>
      </c>
      <c r="D10" s="36">
        <f t="shared" si="0"/>
        <v>-13380562.017253637</v>
      </c>
      <c r="E10" s="5">
        <f t="shared" si="1"/>
        <v>-7.5069648606265185E-3</v>
      </c>
      <c r="F10" s="22">
        <f t="shared" si="2"/>
        <v>1.0300442866551462</v>
      </c>
      <c r="G10" s="25">
        <f t="shared" si="3"/>
        <v>1730430155.3751984</v>
      </c>
      <c r="H10" s="25">
        <f t="shared" si="4"/>
        <v>477025968.10000002</v>
      </c>
      <c r="I10" s="25">
        <f t="shared" si="4"/>
        <v>198149244.67199999</v>
      </c>
      <c r="J10" s="25">
        <f t="shared" si="8"/>
        <v>494277241.77838707</v>
      </c>
      <c r="K10" s="25">
        <f t="shared" si="8"/>
        <v>263042175.85000002</v>
      </c>
      <c r="L10" s="25">
        <f t="shared" si="8"/>
        <v>205265394.56999999</v>
      </c>
      <c r="M10" s="25">
        <f t="shared" si="8"/>
        <v>11406115.66</v>
      </c>
      <c r="N10" s="25">
        <f t="shared" si="8"/>
        <v>146515.24000000002</v>
      </c>
      <c r="O10" s="25">
        <f t="shared" si="8"/>
        <v>2451441.9548110636</v>
      </c>
      <c r="P10" s="25">
        <f t="shared" si="8"/>
        <v>338022</v>
      </c>
      <c r="Q10" s="25">
        <f t="shared" ref="Q10:R10" si="13">Q24+Q34</f>
        <v>12996387</v>
      </c>
      <c r="R10" s="25">
        <f t="shared" si="13"/>
        <v>51485741.349999994</v>
      </c>
      <c r="S10" s="25">
        <f t="shared" si="10"/>
        <v>13845907.199999999</v>
      </c>
      <c r="U10" s="6">
        <f t="shared" ref="U10:U13" si="14">U24</f>
        <v>58781039.110000007</v>
      </c>
      <c r="V10" s="25">
        <f t="shared" si="7"/>
        <v>41667982.329999998</v>
      </c>
    </row>
    <row r="11" spans="1:24" x14ac:dyDescent="0.2">
      <c r="A11" s="221">
        <f>'Purchased Power Model'!A159</f>
        <v>2015</v>
      </c>
      <c r="B11" s="6">
        <f>'Purchased Power Model'!F159</f>
        <v>1777379399.230386</v>
      </c>
      <c r="C11" s="6">
        <f>'Purchased Power Model'!S159</f>
        <v>1793648359.1459024</v>
      </c>
      <c r="D11" s="36">
        <f t="shared" si="0"/>
        <v>16268959.915516376</v>
      </c>
      <c r="E11" s="5">
        <f t="shared" si="1"/>
        <v>9.1533411057655532E-3</v>
      </c>
      <c r="F11" s="22">
        <f t="shared" si="2"/>
        <v>1.0155378037361846</v>
      </c>
      <c r="G11" s="25">
        <f t="shared" si="3"/>
        <v>1750185362.5649092</v>
      </c>
      <c r="H11" s="25">
        <f t="shared" si="4"/>
        <v>486541295.97806096</v>
      </c>
      <c r="I11" s="25">
        <f t="shared" si="4"/>
        <v>203100575.02300143</v>
      </c>
      <c r="J11" s="25">
        <f t="shared" si="8"/>
        <v>485904145.62462068</v>
      </c>
      <c r="K11" s="25">
        <f t="shared" si="8"/>
        <v>263255329.52904668</v>
      </c>
      <c r="L11" s="25">
        <f t="shared" si="8"/>
        <v>207374361.59</v>
      </c>
      <c r="M11" s="25">
        <f t="shared" si="8"/>
        <v>11394265.718750002</v>
      </c>
      <c r="N11" s="25">
        <f t="shared" si="8"/>
        <v>142708.41887585534</v>
      </c>
      <c r="O11" s="25">
        <f t="shared" si="8"/>
        <v>2413613.7725536497</v>
      </c>
      <c r="P11" s="25">
        <f t="shared" si="8"/>
        <v>352067.78</v>
      </c>
      <c r="Q11" s="25">
        <f t="shared" ref="Q11:R11" si="15">Q25+Q35</f>
        <v>13819341.6</v>
      </c>
      <c r="R11" s="25">
        <f t="shared" si="15"/>
        <v>62339455.030000001</v>
      </c>
      <c r="S11" s="25">
        <f t="shared" si="10"/>
        <v>13548202.5</v>
      </c>
      <c r="U11" s="6">
        <f t="shared" si="14"/>
        <v>60363735.780000001</v>
      </c>
      <c r="V11" s="25">
        <f t="shared" si="7"/>
        <v>41569997.659999996</v>
      </c>
    </row>
    <row r="12" spans="1:24" x14ac:dyDescent="0.2">
      <c r="A12" s="221">
        <f>'Purchased Power Model'!A160</f>
        <v>2016</v>
      </c>
      <c r="B12" s="6">
        <f>'Purchased Power Model'!F160</f>
        <v>1722187256.0000002</v>
      </c>
      <c r="C12" s="6">
        <f>'Purchased Power Model'!S160</f>
        <v>1699432505.2365861</v>
      </c>
      <c r="D12" s="36">
        <f t="shared" si="0"/>
        <v>-22754750.763414145</v>
      </c>
      <c r="E12" s="5">
        <f t="shared" si="1"/>
        <v>-1.3212704184250532E-2</v>
      </c>
      <c r="F12" s="22">
        <f t="shared" si="2"/>
        <v>1.0271798679874404</v>
      </c>
      <c r="G12" s="25">
        <f t="shared" si="3"/>
        <v>1676617026.5528002</v>
      </c>
      <c r="H12" s="25">
        <f t="shared" si="4"/>
        <v>479944151.9611001</v>
      </c>
      <c r="I12" s="25">
        <f t="shared" si="4"/>
        <v>212807518.98150003</v>
      </c>
      <c r="J12" s="25">
        <f t="shared" si="8"/>
        <v>484199963.40020001</v>
      </c>
      <c r="K12" s="25">
        <f t="shared" si="8"/>
        <v>261804628.41999996</v>
      </c>
      <c r="L12" s="25">
        <f t="shared" si="8"/>
        <v>151250311.81999996</v>
      </c>
      <c r="M12" s="25">
        <f t="shared" si="8"/>
        <v>11108606.15000003</v>
      </c>
      <c r="N12" s="25">
        <f t="shared" si="8"/>
        <v>136701.00000000009</v>
      </c>
      <c r="O12" s="25">
        <f t="shared" si="8"/>
        <v>2346837.5999999996</v>
      </c>
      <c r="P12" s="25">
        <f t="shared" si="8"/>
        <v>380114.44</v>
      </c>
      <c r="Q12" s="25">
        <f t="shared" ref="Q12:R13" si="16">Q26+Q36</f>
        <v>13560291.5</v>
      </c>
      <c r="R12" s="25">
        <f t="shared" si="16"/>
        <v>46050289.200000003</v>
      </c>
      <c r="S12" s="25">
        <f t="shared" si="10"/>
        <v>13027612.079999994</v>
      </c>
      <c r="U12" s="6">
        <f t="shared" si="14"/>
        <v>61404043.760000005</v>
      </c>
      <c r="V12" s="25">
        <f t="shared" si="7"/>
        <v>42104477.210000001</v>
      </c>
    </row>
    <row r="13" spans="1:24" x14ac:dyDescent="0.2">
      <c r="A13" s="221">
        <f>'Purchased Power Model'!A161</f>
        <v>2017</v>
      </c>
      <c r="B13" s="6">
        <f>'Purchased Power Model'!F161</f>
        <v>1643582346.551877</v>
      </c>
      <c r="C13" s="6">
        <f>'Purchased Power Model'!S161</f>
        <v>1666337097.3152921</v>
      </c>
      <c r="D13" s="36">
        <f t="shared" si="0"/>
        <v>22754750.763415098</v>
      </c>
      <c r="E13" s="5">
        <f t="shared" si="1"/>
        <v>1.3844606454403094E-2</v>
      </c>
      <c r="F13" s="22">
        <f t="shared" si="2"/>
        <v>1.0293782012671415</v>
      </c>
      <c r="G13" s="25">
        <f t="shared" si="3"/>
        <v>1596674909.6966147</v>
      </c>
      <c r="H13" s="25">
        <f t="shared" si="4"/>
        <v>453855074.99999994</v>
      </c>
      <c r="I13" s="25">
        <f t="shared" si="4"/>
        <v>189005847.53</v>
      </c>
      <c r="J13" s="25">
        <f t="shared" si="8"/>
        <v>487037521.93633008</v>
      </c>
      <c r="K13" s="25">
        <f t="shared" si="8"/>
        <v>241351905.12511182</v>
      </c>
      <c r="L13" s="25">
        <f t="shared" si="8"/>
        <v>146226388.16</v>
      </c>
      <c r="M13" s="25">
        <f t="shared" si="8"/>
        <v>8378434.2200000007</v>
      </c>
      <c r="N13" s="25">
        <f t="shared" si="8"/>
        <v>126989</v>
      </c>
      <c r="O13" s="25">
        <f t="shared" si="8"/>
        <v>2273987.9970972422</v>
      </c>
      <c r="P13" s="25">
        <f t="shared" si="8"/>
        <v>347756.59287776717</v>
      </c>
      <c r="Q13" s="25">
        <f t="shared" si="16"/>
        <v>12191720.381133871</v>
      </c>
      <c r="R13" s="25">
        <f t="shared" si="16"/>
        <v>43274121.534063838</v>
      </c>
      <c r="S13" s="25">
        <f t="shared" si="10"/>
        <v>12605162.219999999</v>
      </c>
      <c r="U13" s="6">
        <f t="shared" si="14"/>
        <v>58104381.490000002</v>
      </c>
      <c r="V13" s="25">
        <f t="shared" si="7"/>
        <v>39682870.949999996</v>
      </c>
    </row>
    <row r="14" spans="1:24" x14ac:dyDescent="0.2">
      <c r="A14" s="221">
        <f>'Purchased Power Model'!A162</f>
        <v>2018</v>
      </c>
      <c r="B14" s="6"/>
      <c r="C14" s="19">
        <f>'Purchased Power Model'!S162</f>
        <v>1678027185.7444842</v>
      </c>
      <c r="D14" s="161"/>
      <c r="E14" s="161"/>
      <c r="F14" s="161"/>
      <c r="G14" s="19">
        <f>C14/$F$17</f>
        <v>1632026488.5282977</v>
      </c>
      <c r="H14"/>
      <c r="I14"/>
      <c r="J14"/>
      <c r="K14"/>
      <c r="L14"/>
      <c r="M14"/>
      <c r="N14"/>
      <c r="O14"/>
      <c r="P14"/>
      <c r="Q14"/>
      <c r="R14"/>
      <c r="S14"/>
      <c r="V14"/>
    </row>
    <row r="15" spans="1:24" x14ac:dyDescent="0.2">
      <c r="A15" s="221">
        <f>'Purchased Power Model'!A163</f>
        <v>2019</v>
      </c>
      <c r="B15" s="6"/>
      <c r="C15" s="19">
        <f>'Purchased Power Model'!S163</f>
        <v>1678027185.7444842</v>
      </c>
      <c r="D15" s="161"/>
      <c r="E15" s="161"/>
      <c r="F15" s="161"/>
      <c r="G15" s="19">
        <f>C15/$F$17</f>
        <v>1632026488.5282977</v>
      </c>
      <c r="H15"/>
      <c r="I15"/>
      <c r="J15"/>
      <c r="K15"/>
      <c r="L15"/>
      <c r="M15"/>
      <c r="N15"/>
      <c r="O15"/>
      <c r="P15"/>
      <c r="Q15"/>
      <c r="R15"/>
      <c r="S15"/>
      <c r="V15"/>
    </row>
    <row r="16" spans="1:24" x14ac:dyDescent="0.2"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V16" s="51"/>
    </row>
    <row r="17" spans="1:24" x14ac:dyDescent="0.2">
      <c r="A17" s="17" t="s">
        <v>16</v>
      </c>
      <c r="C17" s="53"/>
      <c r="D17" s="62"/>
      <c r="F17" s="22">
        <f>AVERAGE(F6:F13)</f>
        <v>1.0281862442426828</v>
      </c>
    </row>
    <row r="18" spans="1:24" x14ac:dyDescent="0.2">
      <c r="C18" s="53"/>
      <c r="D18" s="62"/>
    </row>
    <row r="19" spans="1:24" x14ac:dyDescent="0.2">
      <c r="A19" s="113" t="s">
        <v>171</v>
      </c>
      <c r="B19" s="161"/>
      <c r="C19" s="53"/>
      <c r="D19" s="62"/>
      <c r="E19" s="161"/>
      <c r="F19" s="161"/>
    </row>
    <row r="20" spans="1:24" x14ac:dyDescent="0.2">
      <c r="A20" s="221">
        <v>2010</v>
      </c>
      <c r="B20" s="221">
        <v>2010</v>
      </c>
      <c r="C20" s="221">
        <v>2010</v>
      </c>
      <c r="D20" s="221">
        <v>2010</v>
      </c>
      <c r="E20" s="5"/>
      <c r="F20" s="22"/>
      <c r="G20" s="25"/>
      <c r="H20" s="69">
        <v>396266835.39498103</v>
      </c>
      <c r="I20" s="69">
        <v>163479892.81864899</v>
      </c>
      <c r="J20" s="69">
        <v>426513755.56307799</v>
      </c>
      <c r="K20" s="69">
        <v>220917668.45862401</v>
      </c>
      <c r="L20" s="69">
        <v>196557280.622706</v>
      </c>
      <c r="M20" s="69">
        <v>9519205.9225450996</v>
      </c>
      <c r="O20" s="69">
        <v>2130241.9105078499</v>
      </c>
      <c r="S20" s="69">
        <v>13614985.1197195</v>
      </c>
      <c r="V20" s="69">
        <v>43796746.469999999</v>
      </c>
      <c r="W20"/>
      <c r="X20"/>
    </row>
    <row r="21" spans="1:24" x14ac:dyDescent="0.2">
      <c r="A21" s="221">
        <v>2011</v>
      </c>
      <c r="B21" s="221">
        <v>2011</v>
      </c>
      <c r="C21" s="221">
        <v>2011</v>
      </c>
      <c r="D21" s="221">
        <v>2011</v>
      </c>
      <c r="E21" s="5"/>
      <c r="F21" s="22"/>
      <c r="G21" s="25"/>
      <c r="H21" s="69">
        <v>396556720.36740702</v>
      </c>
      <c r="I21" s="69">
        <v>158322069.24360299</v>
      </c>
      <c r="J21" s="69">
        <v>437159036.082142</v>
      </c>
      <c r="K21" s="69">
        <v>240767174.87713</v>
      </c>
      <c r="L21" s="69">
        <v>169195800.19187</v>
      </c>
      <c r="M21" s="69">
        <v>9519485.5138937496</v>
      </c>
      <c r="O21" s="69">
        <v>2067610.5874618399</v>
      </c>
      <c r="S21" s="69">
        <v>13478593.7449254</v>
      </c>
      <c r="V21" s="69">
        <v>46753740.939999998</v>
      </c>
      <c r="W21"/>
      <c r="X21"/>
    </row>
    <row r="22" spans="1:24" x14ac:dyDescent="0.2">
      <c r="A22" s="221">
        <v>2012</v>
      </c>
      <c r="B22" s="221">
        <v>2012</v>
      </c>
      <c r="C22" s="221">
        <v>2012</v>
      </c>
      <c r="D22" s="221">
        <v>2012</v>
      </c>
      <c r="E22" s="5"/>
      <c r="F22" s="22"/>
      <c r="G22" s="25"/>
      <c r="H22" s="69">
        <v>399587578.131836</v>
      </c>
      <c r="I22" s="69">
        <v>158595034.37600499</v>
      </c>
      <c r="J22" s="69">
        <v>437401279.48903602</v>
      </c>
      <c r="K22" s="69">
        <v>226229939.170288</v>
      </c>
      <c r="L22" s="69">
        <v>201189505.21250001</v>
      </c>
      <c r="M22" s="69">
        <v>9645171.1912231408</v>
      </c>
      <c r="O22" s="69">
        <v>2015389.59674505</v>
      </c>
      <c r="S22" s="69">
        <v>13008528.857421899</v>
      </c>
      <c r="V22" s="69">
        <v>45452655.189999998</v>
      </c>
      <c r="W22"/>
      <c r="X22"/>
    </row>
    <row r="23" spans="1:24" x14ac:dyDescent="0.2">
      <c r="A23" s="221">
        <v>2013</v>
      </c>
      <c r="B23" s="221">
        <v>2013</v>
      </c>
      <c r="C23" s="221">
        <v>2013</v>
      </c>
      <c r="D23" s="221">
        <v>2013</v>
      </c>
      <c r="E23" s="5"/>
      <c r="F23" s="22"/>
      <c r="G23" s="25"/>
      <c r="H23" s="69">
        <v>384916687.52999997</v>
      </c>
      <c r="I23" s="69">
        <v>156590626.41999999</v>
      </c>
      <c r="J23" s="69">
        <v>452357522.44387102</v>
      </c>
      <c r="K23" s="69">
        <v>239339190.17000002</v>
      </c>
      <c r="L23" s="69">
        <v>204906256.95999998</v>
      </c>
      <c r="M23" s="69">
        <v>9566349.8299999982</v>
      </c>
      <c r="O23" s="69">
        <v>1988576.8189845479</v>
      </c>
      <c r="S23" s="69">
        <v>13176711.219999999</v>
      </c>
      <c r="U23" s="69">
        <v>45983609.929999992</v>
      </c>
      <c r="V23" s="69">
        <v>43073849.080000006</v>
      </c>
      <c r="W23"/>
      <c r="X23"/>
    </row>
    <row r="24" spans="1:24" x14ac:dyDescent="0.2">
      <c r="A24" s="221">
        <v>2014</v>
      </c>
      <c r="B24" s="221">
        <v>2014</v>
      </c>
      <c r="C24" s="221">
        <v>2014</v>
      </c>
      <c r="D24" s="221">
        <v>2014</v>
      </c>
      <c r="E24" s="5"/>
      <c r="F24" s="22"/>
      <c r="G24" s="25"/>
      <c r="H24" s="69">
        <v>395480270.08000004</v>
      </c>
      <c r="I24" s="69">
        <v>160543970.72</v>
      </c>
      <c r="J24" s="69">
        <v>426495390.96838707</v>
      </c>
      <c r="K24" s="69">
        <v>232446554.61000001</v>
      </c>
      <c r="L24" s="69">
        <v>205265394.56999999</v>
      </c>
      <c r="M24" s="69">
        <v>9696634.4700000007</v>
      </c>
      <c r="O24" s="69">
        <v>2009373.9548110634</v>
      </c>
      <c r="S24" s="69">
        <v>13845907.199999999</v>
      </c>
      <c r="U24" s="69">
        <v>58781039.110000007</v>
      </c>
      <c r="V24" s="69">
        <v>41667982.329999998</v>
      </c>
      <c r="W24"/>
      <c r="X24"/>
    </row>
    <row r="25" spans="1:24" x14ac:dyDescent="0.2">
      <c r="A25" s="221">
        <v>2015</v>
      </c>
      <c r="B25" s="221">
        <v>2015</v>
      </c>
      <c r="C25" s="221">
        <v>2015</v>
      </c>
      <c r="D25" s="221">
        <v>2015</v>
      </c>
      <c r="E25" s="5"/>
      <c r="F25" s="22"/>
      <c r="G25" s="25"/>
      <c r="H25" s="69">
        <v>401332021.95999998</v>
      </c>
      <c r="I25" s="69">
        <v>167151503.62</v>
      </c>
      <c r="J25" s="69">
        <v>436415952.41462064</v>
      </c>
      <c r="K25" s="69">
        <v>227449908.25904667</v>
      </c>
      <c r="L25" s="69">
        <v>207374361.59</v>
      </c>
      <c r="M25" s="69">
        <v>9696633.3400000017</v>
      </c>
      <c r="O25" s="69">
        <v>1973538.7725536495</v>
      </c>
      <c r="S25" s="69">
        <v>13548202.5</v>
      </c>
      <c r="U25" s="69">
        <v>60363735.780000001</v>
      </c>
      <c r="V25" s="69">
        <v>41569997.659999996</v>
      </c>
      <c r="W25"/>
      <c r="X25" s="55"/>
    </row>
    <row r="26" spans="1:24" x14ac:dyDescent="0.2">
      <c r="A26" s="221">
        <v>2016</v>
      </c>
      <c r="B26" s="221">
        <v>2016</v>
      </c>
      <c r="C26" s="221">
        <v>2016</v>
      </c>
      <c r="D26" s="221">
        <v>2016</v>
      </c>
      <c r="E26" s="5"/>
      <c r="F26" s="22"/>
      <c r="G26" s="25"/>
      <c r="H26" s="69">
        <v>396571029.72890007</v>
      </c>
      <c r="I26" s="69">
        <v>170125866.85190004</v>
      </c>
      <c r="J26" s="69">
        <v>416114898.05560005</v>
      </c>
      <c r="K26" s="69">
        <v>223127015.06999996</v>
      </c>
      <c r="L26" s="69">
        <v>151250311.81999996</v>
      </c>
      <c r="M26" s="69">
        <v>9646646.8700000253</v>
      </c>
      <c r="O26" s="69">
        <v>1926179.9999999995</v>
      </c>
      <c r="S26" s="69">
        <v>13027612.079999994</v>
      </c>
      <c r="U26" s="69">
        <v>61404043.760000005</v>
      </c>
      <c r="V26" s="69">
        <v>42104477.210000001</v>
      </c>
      <c r="W26"/>
      <c r="X26" s="55"/>
    </row>
    <row r="27" spans="1:24" x14ac:dyDescent="0.2">
      <c r="A27" s="221">
        <v>2017</v>
      </c>
      <c r="B27" s="221">
        <v>2017</v>
      </c>
      <c r="C27" s="221">
        <v>2017</v>
      </c>
      <c r="D27" s="221">
        <v>2017</v>
      </c>
      <c r="E27" s="5"/>
      <c r="F27" s="22"/>
      <c r="G27" s="25"/>
      <c r="H27" s="69">
        <v>374247658.30999994</v>
      </c>
      <c r="I27" s="69">
        <v>152251310.46000001</v>
      </c>
      <c r="J27" s="69">
        <v>424072679.95784116</v>
      </c>
      <c r="K27" s="69">
        <v>207211616.07262492</v>
      </c>
      <c r="L27" s="69">
        <v>146226388.16</v>
      </c>
      <c r="M27" s="69">
        <v>7627852.4800000004</v>
      </c>
      <c r="O27" s="69">
        <v>1855835.9970972422</v>
      </c>
      <c r="S27" s="69">
        <v>12605162.219999999</v>
      </c>
      <c r="U27" s="69">
        <v>58104381.490000002</v>
      </c>
      <c r="V27" s="69">
        <v>39682870.949999996</v>
      </c>
      <c r="W27"/>
      <c r="X27" s="55"/>
    </row>
    <row r="28" spans="1:24" x14ac:dyDescent="0.2">
      <c r="B28" s="161"/>
      <c r="C28" s="53"/>
      <c r="D28" s="62"/>
      <c r="E28" s="161"/>
      <c r="F28" s="161"/>
    </row>
    <row r="29" spans="1:24" x14ac:dyDescent="0.2">
      <c r="A29" s="113" t="s">
        <v>172</v>
      </c>
      <c r="B29" s="161"/>
      <c r="C29" s="53"/>
      <c r="D29" s="62"/>
      <c r="E29" s="161"/>
      <c r="F29" s="161"/>
      <c r="H29"/>
      <c r="I29"/>
      <c r="J29"/>
      <c r="K29"/>
      <c r="M29"/>
      <c r="N29"/>
      <c r="O29"/>
      <c r="P29"/>
      <c r="Q29"/>
      <c r="R29"/>
    </row>
    <row r="30" spans="1:24" x14ac:dyDescent="0.2">
      <c r="A30" s="221">
        <v>2010</v>
      </c>
      <c r="B30" s="161"/>
      <c r="C30" s="53"/>
      <c r="D30" s="62"/>
      <c r="E30" s="161"/>
      <c r="F30" s="161"/>
      <c r="H30" s="69">
        <v>80219627</v>
      </c>
      <c r="I30" s="69">
        <v>35757937.539999999</v>
      </c>
      <c r="J30" s="69">
        <v>60010105.849999994</v>
      </c>
      <c r="K30" s="69">
        <v>29541671.599999994</v>
      </c>
      <c r="M30" s="69">
        <v>1709480.57</v>
      </c>
      <c r="N30" s="69">
        <v>175284.4</v>
      </c>
      <c r="O30" s="69">
        <v>479703</v>
      </c>
      <c r="P30" s="69">
        <v>373339</v>
      </c>
      <c r="Q30" s="69">
        <v>13348829.459999999</v>
      </c>
      <c r="R30" s="69">
        <v>50253229.850000001</v>
      </c>
    </row>
    <row r="31" spans="1:24" x14ac:dyDescent="0.2">
      <c r="A31" s="221">
        <v>2011</v>
      </c>
      <c r="B31" s="161"/>
      <c r="C31" s="53"/>
      <c r="D31" s="62"/>
      <c r="E31" s="161"/>
      <c r="F31" s="161"/>
      <c r="H31" s="69">
        <v>81900003.020000011</v>
      </c>
      <c r="I31" s="69">
        <v>36170425.079999998</v>
      </c>
      <c r="J31" s="69">
        <v>63328541.460000016</v>
      </c>
      <c r="K31" s="69">
        <v>29084757.309999999</v>
      </c>
      <c r="M31" s="69">
        <v>1709907.0000000002</v>
      </c>
      <c r="N31" s="69">
        <v>164006.01</v>
      </c>
      <c r="O31" s="69">
        <v>445308</v>
      </c>
      <c r="P31" s="69">
        <v>373339</v>
      </c>
      <c r="Q31" s="69">
        <v>13695349.587000001</v>
      </c>
      <c r="R31" s="69">
        <v>51547773.450000003</v>
      </c>
    </row>
    <row r="32" spans="1:24" x14ac:dyDescent="0.2">
      <c r="A32" s="221">
        <v>2012</v>
      </c>
      <c r="B32" s="161"/>
      <c r="C32" s="53"/>
      <c r="D32" s="62"/>
      <c r="E32" s="161"/>
      <c r="F32" s="161"/>
      <c r="H32" s="69">
        <v>79659539.737000003</v>
      </c>
      <c r="I32" s="69">
        <v>35702794.359999992</v>
      </c>
      <c r="J32" s="69">
        <v>63734065.342257977</v>
      </c>
      <c r="K32" s="69">
        <v>29778279.600000001</v>
      </c>
      <c r="M32" s="69">
        <v>1714787.7500000002</v>
      </c>
      <c r="N32" s="69">
        <v>178406.38999999998</v>
      </c>
      <c r="O32" s="69">
        <v>442068</v>
      </c>
      <c r="P32" s="69">
        <v>374823</v>
      </c>
      <c r="Q32" s="69">
        <v>9863706.6199999992</v>
      </c>
      <c r="R32" s="69">
        <v>52318961.540000007</v>
      </c>
    </row>
    <row r="33" spans="1:22" x14ac:dyDescent="0.2">
      <c r="A33" s="221">
        <v>2013</v>
      </c>
      <c r="B33" s="161"/>
      <c r="C33" s="53"/>
      <c r="D33" s="62"/>
      <c r="E33" s="161"/>
      <c r="F33" s="161"/>
      <c r="H33" s="69">
        <v>79931655.050000012</v>
      </c>
      <c r="I33" s="69">
        <v>37126640.460000001</v>
      </c>
      <c r="J33" s="69">
        <v>65991244.699999988</v>
      </c>
      <c r="K33" s="69">
        <v>30941352.619999997</v>
      </c>
      <c r="M33" s="69">
        <v>1696593.3900000004</v>
      </c>
      <c r="N33" s="69">
        <v>152803.15</v>
      </c>
      <c r="O33" s="69">
        <v>442068</v>
      </c>
      <c r="P33" s="69">
        <v>356273</v>
      </c>
      <c r="Q33" s="69">
        <v>13883197</v>
      </c>
      <c r="R33" s="69">
        <v>52117101.93</v>
      </c>
    </row>
    <row r="34" spans="1:22" x14ac:dyDescent="0.2">
      <c r="A34" s="221">
        <v>2014</v>
      </c>
      <c r="B34" s="161"/>
      <c r="C34" s="53"/>
      <c r="D34" s="62"/>
      <c r="E34" s="161"/>
      <c r="F34" s="161"/>
      <c r="H34" s="69">
        <v>81545698.020000011</v>
      </c>
      <c r="I34" s="69">
        <v>37605273.952</v>
      </c>
      <c r="J34" s="69">
        <v>67781850.810000002</v>
      </c>
      <c r="K34" s="69">
        <v>30595621.239999998</v>
      </c>
      <c r="M34" s="69">
        <v>1709481.1900000002</v>
      </c>
      <c r="N34" s="69">
        <v>146515.24000000002</v>
      </c>
      <c r="O34" s="69">
        <v>442068</v>
      </c>
      <c r="P34" s="69">
        <v>338022</v>
      </c>
      <c r="Q34" s="69">
        <v>12996387</v>
      </c>
      <c r="R34" s="69">
        <v>51485741.349999994</v>
      </c>
    </row>
    <row r="35" spans="1:22" x14ac:dyDescent="0.2">
      <c r="A35" s="221">
        <v>2015</v>
      </c>
      <c r="B35" s="161"/>
      <c r="C35" s="53"/>
      <c r="D35" s="62"/>
      <c r="E35" s="161"/>
      <c r="F35" s="161"/>
      <c r="H35" s="230">
        <v>85209274.018060982</v>
      </c>
      <c r="I35" s="230">
        <v>35949071.403001435</v>
      </c>
      <c r="J35" s="230">
        <v>49488193.210000008</v>
      </c>
      <c r="K35" s="230">
        <v>35805421.270000003</v>
      </c>
      <c r="M35" s="230">
        <v>1697632.3787499999</v>
      </c>
      <c r="N35" s="230">
        <v>142708.41887585534</v>
      </c>
      <c r="O35" s="230">
        <v>440075</v>
      </c>
      <c r="P35" s="230">
        <v>352067.78</v>
      </c>
      <c r="Q35" s="230">
        <v>13819341.6</v>
      </c>
      <c r="R35" s="230">
        <v>62339455.030000001</v>
      </c>
    </row>
    <row r="36" spans="1:22" x14ac:dyDescent="0.2">
      <c r="A36" s="221">
        <v>2016</v>
      </c>
      <c r="B36" s="161"/>
      <c r="C36" s="53"/>
      <c r="D36" s="62"/>
      <c r="E36" s="161"/>
      <c r="F36" s="161"/>
      <c r="H36" s="230">
        <v>83373122.232199997</v>
      </c>
      <c r="I36" s="230">
        <v>42681652.129600003</v>
      </c>
      <c r="J36" s="230">
        <v>68085065.344599992</v>
      </c>
      <c r="K36" s="230">
        <v>38677613.350000001</v>
      </c>
      <c r="M36" s="230">
        <v>1461959.2800000047</v>
      </c>
      <c r="N36" s="230">
        <v>136701.00000000009</v>
      </c>
      <c r="O36" s="230">
        <v>420657.60000000033</v>
      </c>
      <c r="P36" s="230">
        <v>380114.44</v>
      </c>
      <c r="Q36" s="230">
        <v>13560291.5</v>
      </c>
      <c r="R36" s="230">
        <v>46050289.200000003</v>
      </c>
    </row>
    <row r="37" spans="1:22" x14ac:dyDescent="0.2">
      <c r="A37" s="221">
        <v>2017</v>
      </c>
      <c r="B37" s="161"/>
      <c r="C37" s="53"/>
      <c r="D37" s="62"/>
      <c r="E37" s="161"/>
      <c r="F37" s="161"/>
      <c r="H37" s="230">
        <v>79607416.689999983</v>
      </c>
      <c r="I37" s="230">
        <v>36754537.07</v>
      </c>
      <c r="J37" s="230">
        <v>62964841.97848893</v>
      </c>
      <c r="K37" s="230">
        <v>34140289.052486897</v>
      </c>
      <c r="M37" s="230">
        <v>750581.73999999987</v>
      </c>
      <c r="N37" s="230">
        <v>126989</v>
      </c>
      <c r="O37" s="230">
        <v>418152</v>
      </c>
      <c r="P37" s="230">
        <v>347756.59287776717</v>
      </c>
      <c r="Q37" s="230">
        <v>12191720.381133871</v>
      </c>
      <c r="R37" s="230">
        <v>43274121.534063838</v>
      </c>
    </row>
    <row r="38" spans="1:22" x14ac:dyDescent="0.2">
      <c r="B38" s="161"/>
      <c r="C38" s="53"/>
      <c r="D38" s="62"/>
      <c r="E38" s="161"/>
      <c r="F38" s="161"/>
    </row>
    <row r="39" spans="1:22" x14ac:dyDescent="0.2">
      <c r="A39" s="20" t="s">
        <v>18</v>
      </c>
      <c r="B39" s="12"/>
    </row>
    <row r="41" spans="1:22" x14ac:dyDescent="0.2">
      <c r="A41">
        <f>A6</f>
        <v>2010</v>
      </c>
      <c r="F41" s="22"/>
      <c r="H41" s="25">
        <f>H6/'Rate Class Customer Model'!B13</f>
        <v>8981.18962006945</v>
      </c>
      <c r="I41" s="25">
        <f>I6/'Rate Class Customer Model'!C13</f>
        <v>33807.142499853479</v>
      </c>
      <c r="J41" s="25">
        <f>J6/'Rate Class Customer Model'!D13</f>
        <v>606191.03302791389</v>
      </c>
      <c r="K41" s="25">
        <f>K6/'Rate Class Customer Model'!E13</f>
        <v>8079333.5502781933</v>
      </c>
      <c r="L41" s="25">
        <f>L6/'Rate Class Customer Model'!F13</f>
        <v>98278640.311352998</v>
      </c>
      <c r="M41" s="25">
        <f>M6/'Rate Class Customer Model'!G13</f>
        <v>738.80228262954233</v>
      </c>
      <c r="N41" s="25">
        <f>N6/'Rate Class Customer Model'!H13</f>
        <v>799.69159176969754</v>
      </c>
      <c r="O41" s="25">
        <f>O6/'Rate Class Customer Model'!I13</f>
        <v>4432.0864538447886</v>
      </c>
      <c r="P41" s="25">
        <f>P6/'Rate Class Customer Model'!J13</f>
        <v>373339</v>
      </c>
      <c r="Q41" s="25">
        <f>Q6/'Rate Class Customer Model'!K13</f>
        <v>13348829.459999999</v>
      </c>
      <c r="R41" s="25">
        <f>R6/'Rate Class Customer Model'!L13</f>
        <v>12563307.4625</v>
      </c>
      <c r="S41" s="25">
        <f>S6/'Rate Class Customer Model'!M13</f>
        <v>6807492.5598597499</v>
      </c>
      <c r="U41" s="25">
        <f>U6/'Rate Class Customer Model'!P13</f>
        <v>0</v>
      </c>
      <c r="V41" s="25">
        <f>V6/'Rate Class Customer Model'!Q13</f>
        <v>10949186.6175</v>
      </c>
    </row>
    <row r="42" spans="1:22" x14ac:dyDescent="0.2">
      <c r="A42">
        <v>2011</v>
      </c>
      <c r="F42" s="22"/>
      <c r="H42" s="25">
        <f>H7/'Rate Class Customer Model'!B14</f>
        <v>8857.1774420778183</v>
      </c>
      <c r="I42" s="25">
        <f>I7/'Rate Class Customer Model'!C14</f>
        <v>32785.457890876009</v>
      </c>
      <c r="J42" s="25">
        <f>J7/'Rate Class Customer Model'!D14</f>
        <v>608532.54019618337</v>
      </c>
      <c r="K42" s="25">
        <f>K7/'Rate Class Customer Model'!E14</f>
        <v>8177331.2783978777</v>
      </c>
      <c r="L42" s="25">
        <f>L7/'Rate Class Customer Model'!F14</f>
        <v>84597900.095935002</v>
      </c>
      <c r="M42" s="25">
        <f>M7/'Rate Class Customer Model'!G14</f>
        <v>735.70232999598716</v>
      </c>
      <c r="N42" s="25">
        <f>N7/'Rate Class Customer Model'!H14</f>
        <v>867.20351216302367</v>
      </c>
      <c r="O42" s="25">
        <f>O7/'Rate Class Customer Model'!I14</f>
        <v>4448.0371492377017</v>
      </c>
      <c r="P42" s="25">
        <f>P7/'Rate Class Customer Model'!J14</f>
        <v>373339</v>
      </c>
      <c r="Q42" s="25">
        <f>Q7/'Rate Class Customer Model'!K14</f>
        <v>13695349.587000001</v>
      </c>
      <c r="R42" s="25">
        <f>R7/'Rate Class Customer Model'!L14</f>
        <v>12886943.362500001</v>
      </c>
      <c r="S42" s="25">
        <f>S7/'Rate Class Customer Model'!M14</f>
        <v>6739296.8724627001</v>
      </c>
      <c r="U42" s="25">
        <f>U7/'Rate Class Customer Model'!P14</f>
        <v>0</v>
      </c>
      <c r="V42" s="25">
        <f>V7/'Rate Class Customer Model'!Q14</f>
        <v>11688435.234999999</v>
      </c>
    </row>
    <row r="43" spans="1:22" x14ac:dyDescent="0.2">
      <c r="A43">
        <v>2012</v>
      </c>
      <c r="F43" s="22"/>
      <c r="H43" s="25">
        <f>H8/'Rate Class Customer Model'!B15</f>
        <v>8772.0743109214818</v>
      </c>
      <c r="I43" s="25">
        <f>I8/'Rate Class Customer Model'!C15</f>
        <v>32489.02464997175</v>
      </c>
      <c r="J43" s="25">
        <f>J8/'Rate Class Customer Model'!D15</f>
        <v>597312.63413809647</v>
      </c>
      <c r="K43" s="25">
        <f>K8/'Rate Class Customer Model'!E15</f>
        <v>8000256.8365714997</v>
      </c>
      <c r="L43" s="25">
        <f>L8/'Rate Class Customer Model'!F15</f>
        <v>100594752.60625</v>
      </c>
      <c r="M43" s="25">
        <f>M8/'Rate Class Customer Model'!G15</f>
        <v>739.48437320812013</v>
      </c>
      <c r="N43" s="25">
        <f>N8/'Rate Class Customer Model'!H15</f>
        <v>1008.5322371824705</v>
      </c>
      <c r="O43" s="25">
        <f>O8/'Rate Class Customer Model'!I15</f>
        <v>4563.9476214041224</v>
      </c>
      <c r="P43" s="25">
        <f>P8/'Rate Class Customer Model'!J15</f>
        <v>374823</v>
      </c>
      <c r="Q43" s="25">
        <f>Q8/'Rate Class Customer Model'!K15</f>
        <v>9863706.6199999992</v>
      </c>
      <c r="R43" s="25">
        <f>R8/'Rate Class Customer Model'!L15</f>
        <v>13079740.385000002</v>
      </c>
      <c r="S43" s="25">
        <f>S8/'Rate Class Customer Model'!M15</f>
        <v>6504264.4287109496</v>
      </c>
      <c r="U43" s="25">
        <f>U8/'Rate Class Customer Model'!P15</f>
        <v>0</v>
      </c>
      <c r="V43" s="25">
        <f>V8/'Rate Class Customer Model'!Q15</f>
        <v>11363163.797499999</v>
      </c>
    </row>
    <row r="44" spans="1:22" x14ac:dyDescent="0.2">
      <c r="A44">
        <v>2013</v>
      </c>
      <c r="H44" s="25">
        <f>H9/'Rate Class Customer Model'!B16</f>
        <v>8441.0806639819912</v>
      </c>
      <c r="I44" s="25">
        <f>I9/'Rate Class Customer Model'!C16</f>
        <v>32262.640503708873</v>
      </c>
      <c r="J44" s="25">
        <f>J9/'Rate Class Customer Model'!D16</f>
        <v>617081.67418034689</v>
      </c>
      <c r="K44" s="25">
        <f>K9/'Rate Class Customer Model'!E16</f>
        <v>9162052.2979661021</v>
      </c>
      <c r="L44" s="25">
        <f>L9/'Rate Class Customer Model'!F16</f>
        <v>81962502.783999994</v>
      </c>
      <c r="M44" s="25">
        <f>M9/'Rate Class Customer Model'!G16</f>
        <v>728.84808398018117</v>
      </c>
      <c r="N44" s="25">
        <f>N9/'Rate Class Customer Model'!H16</f>
        <v>801.68606860883096</v>
      </c>
      <c r="O44" s="25">
        <f>O9/'Rate Class Customer Model'!I16</f>
        <v>4551.7693239411001</v>
      </c>
      <c r="P44" s="25">
        <f>P9/'Rate Class Customer Model'!J16</f>
        <v>356273</v>
      </c>
      <c r="Q44" s="25">
        <f>Q9/'Rate Class Customer Model'!K16</f>
        <v>13883197</v>
      </c>
      <c r="R44" s="25">
        <f>R9/'Rate Class Customer Model'!L16</f>
        <v>13029275.4825</v>
      </c>
      <c r="S44" s="25">
        <f>S9/'Rate Class Customer Model'!M16</f>
        <v>6588355.6099999994</v>
      </c>
      <c r="U44" s="25">
        <f>U9/'Rate Class Customer Model'!P16</f>
        <v>45983609.929999992</v>
      </c>
      <c r="V44" s="25">
        <f>V9/'Rate Class Customer Model'!Q16</f>
        <v>10768462.270000001</v>
      </c>
    </row>
    <row r="45" spans="1:22" x14ac:dyDescent="0.2">
      <c r="A45">
        <v>2014</v>
      </c>
      <c r="H45" s="25">
        <f>H10/'Rate Class Customer Model'!B17</f>
        <v>8600.791183436897</v>
      </c>
      <c r="I45" s="25">
        <f>I10/'Rate Class Customer Model'!C17</f>
        <v>32715.348553067852</v>
      </c>
      <c r="J45" s="25">
        <f>J10/'Rate Class Customer Model'!D17</f>
        <v>599123.55087832466</v>
      </c>
      <c r="K45" s="25">
        <f>K10/'Rate Class Customer Model'!E17</f>
        <v>9070419.8568965532</v>
      </c>
      <c r="L45" s="25">
        <f>L10/'Rate Class Customer Model'!F17</f>
        <v>82106157.827999994</v>
      </c>
      <c r="M45" s="25">
        <f>M10/'Rate Class Customer Model'!G17</f>
        <v>735.30566047393643</v>
      </c>
      <c r="N45" s="25">
        <f>N10/'Rate Class Customer Model'!H17</f>
        <v>777.18077941662534</v>
      </c>
      <c r="O45" s="25">
        <f>O10/'Rate Class Customer Model'!I17</f>
        <v>4616.6515156517207</v>
      </c>
      <c r="P45" s="25">
        <f>P10/'Rate Class Customer Model'!J17</f>
        <v>338022</v>
      </c>
      <c r="Q45" s="25">
        <f>Q10/'Rate Class Customer Model'!K17</f>
        <v>12996387</v>
      </c>
      <c r="R45" s="25">
        <f>R10/'Rate Class Customer Model'!L17</f>
        <v>12871435.337499999</v>
      </c>
      <c r="S45" s="25">
        <f>S10/'Rate Class Customer Model'!M17</f>
        <v>6922953.5999999996</v>
      </c>
      <c r="U45" s="25">
        <f>U10/'Rate Class Customer Model'!P17</f>
        <v>58781039.110000007</v>
      </c>
      <c r="V45" s="25">
        <f>V10/'Rate Class Customer Model'!Q17</f>
        <v>10416995.5825</v>
      </c>
    </row>
    <row r="46" spans="1:22" x14ac:dyDescent="0.2">
      <c r="A46">
        <f>A11</f>
        <v>2015</v>
      </c>
      <c r="B46" s="161"/>
      <c r="C46" s="161"/>
      <c r="D46" s="161"/>
      <c r="E46" s="161"/>
      <c r="F46" s="161"/>
      <c r="H46" s="25">
        <f>H11/'Rate Class Customer Model'!B18</f>
        <v>8700.3809899312964</v>
      </c>
      <c r="I46" s="25">
        <f>I11/'Rate Class Customer Model'!C18</f>
        <v>33029.318271172022</v>
      </c>
      <c r="J46" s="25">
        <f>J11/'Rate Class Customer Model'!D18</f>
        <v>601413.35486969049</v>
      </c>
      <c r="K46" s="25">
        <f>K11/'Rate Class Customer Model'!E18</f>
        <v>9077769.9837602302</v>
      </c>
      <c r="L46" s="25">
        <f>L11/'Rate Class Customer Model'!F18</f>
        <v>103687180.795</v>
      </c>
      <c r="M46" s="25">
        <f>M11/'Rate Class Customer Model'!G18</f>
        <v>733.29251335392746</v>
      </c>
      <c r="N46" s="25">
        <f>N11/'Rate Class Customer Model'!H18</f>
        <v>755.94276465802852</v>
      </c>
      <c r="O46" s="25">
        <f>O11/'Rate Class Customer Model'!I18</f>
        <v>4519.8759785648872</v>
      </c>
      <c r="P46" s="25">
        <f>P11/'Rate Class Customer Model'!J18</f>
        <v>352067.78</v>
      </c>
      <c r="Q46" s="25">
        <f>Q11/'Rate Class Customer Model'!K18</f>
        <v>13819341.6</v>
      </c>
      <c r="R46" s="25">
        <f>R11/'Rate Class Customer Model'!L18</f>
        <v>15584863.7575</v>
      </c>
      <c r="S46" s="25">
        <f>S11/'Rate Class Customer Model'!M18</f>
        <v>6774101.25</v>
      </c>
      <c r="U46" s="25">
        <f>U11/'Rate Class Customer Model'!P18</f>
        <v>60363735.780000001</v>
      </c>
      <c r="V46" s="25">
        <f>V11/'Rate Class Customer Model'!Q18</f>
        <v>10392499.414999999</v>
      </c>
    </row>
    <row r="47" spans="1:22" x14ac:dyDescent="0.2">
      <c r="A47">
        <f>A12</f>
        <v>2016</v>
      </c>
      <c r="B47" s="161"/>
      <c r="C47" s="161"/>
      <c r="D47" s="161"/>
      <c r="E47" s="161"/>
      <c r="F47" s="161"/>
      <c r="H47" s="25">
        <f>H12/'Rate Class Customer Model'!B19</f>
        <v>8485.4898194868856</v>
      </c>
      <c r="I47" s="25">
        <f>I12/'Rate Class Customer Model'!C19</f>
        <v>34099.854678323245</v>
      </c>
      <c r="J47" s="25">
        <f>J12/'Rate Class Customer Model'!D19</f>
        <v>600791.47141893243</v>
      </c>
      <c r="K47" s="25">
        <f>K12/'Rate Class Customer Model'!E19</f>
        <v>9186127.3129824549</v>
      </c>
      <c r="L47" s="25">
        <f>L12/'Rate Class Customer Model'!F19</f>
        <v>75625155.909999982</v>
      </c>
      <c r="M47" s="25">
        <f>M12/'Rate Class Customer Model'!G19</f>
        <v>706.38472275213212</v>
      </c>
      <c r="N47" s="25">
        <f>N12/'Rate Class Customer Model'!H19</f>
        <v>755.16518451336344</v>
      </c>
      <c r="O47" s="25">
        <f>O12/'Rate Class Customer Model'!I19</f>
        <v>4487.2611854684501</v>
      </c>
      <c r="P47" s="25">
        <f>P12/'Rate Class Customer Model'!J19</f>
        <v>380114.44</v>
      </c>
      <c r="Q47" s="25">
        <f>Q12/'Rate Class Customer Model'!K19</f>
        <v>13560291.5</v>
      </c>
      <c r="R47" s="25">
        <f>R12/'Rate Class Customer Model'!L19</f>
        <v>11512572.300000001</v>
      </c>
      <c r="S47" s="25">
        <f>S12/'Rate Class Customer Model'!M19</f>
        <v>6513806.0399999972</v>
      </c>
      <c r="U47" s="25">
        <f>U12/'Rate Class Customer Model'!P19</f>
        <v>61404043.760000005</v>
      </c>
      <c r="V47" s="25">
        <f>V12/'Rate Class Customer Model'!Q19</f>
        <v>10526119.3025</v>
      </c>
    </row>
    <row r="48" spans="1:22" x14ac:dyDescent="0.2">
      <c r="A48">
        <f>A13</f>
        <v>2017</v>
      </c>
      <c r="B48" s="161"/>
      <c r="C48" s="161"/>
      <c r="D48" s="161"/>
      <c r="E48" s="161"/>
      <c r="F48" s="161"/>
      <c r="H48" s="25">
        <f>H13/'Rate Class Customer Model'!B20</f>
        <v>7924.6235038369859</v>
      </c>
      <c r="I48" s="25">
        <f>I13/'Rate Class Customer Model'!C20</f>
        <v>30012.838035728462</v>
      </c>
      <c r="J48" s="25">
        <f>J13/'Rate Class Customer Model'!D20</f>
        <v>611856.1833370981</v>
      </c>
      <c r="K48" s="25">
        <f>K13/'Rate Class Customer Model'!E20</f>
        <v>8619710.8973254226</v>
      </c>
      <c r="L48" s="25">
        <f>L13/'Rate Class Customer Model'!F20</f>
        <v>73113194.079999998</v>
      </c>
      <c r="M48" s="25">
        <f>M13/'Rate Class Customer Model'!G20</f>
        <v>522.86783699450825</v>
      </c>
      <c r="N48" s="25">
        <f>N13/'Rate Class Customer Model'!H20</f>
        <v>755.88690476190482</v>
      </c>
      <c r="O48" s="25">
        <f>O13/'Rate Class Customer Model'!I20</f>
        <v>4557.0901745435713</v>
      </c>
      <c r="P48" s="25">
        <f>P13/'Rate Class Customer Model'!J20</f>
        <v>347756.59287776717</v>
      </c>
      <c r="Q48" s="25">
        <f>Q13/'Rate Class Customer Model'!K20</f>
        <v>12191720.381133871</v>
      </c>
      <c r="R48" s="25">
        <f>R13/'Rate Class Customer Model'!L20</f>
        <v>10818530.38351596</v>
      </c>
      <c r="S48" s="25">
        <f>S13/'Rate Class Customer Model'!M20</f>
        <v>6302581.1099999994</v>
      </c>
      <c r="U48" s="25">
        <f>U13/'Rate Class Customer Model'!P20</f>
        <v>58104381.490000002</v>
      </c>
      <c r="V48" s="25">
        <f>V13/'Rate Class Customer Model'!Q20</f>
        <v>9920717.7374999989</v>
      </c>
    </row>
    <row r="49" spans="1:22" x14ac:dyDescent="0.2">
      <c r="A49">
        <f>A14</f>
        <v>2018</v>
      </c>
      <c r="B49" s="161"/>
      <c r="C49" s="161"/>
      <c r="D49" s="161"/>
      <c r="E49" s="161"/>
      <c r="F49" s="161"/>
      <c r="H49" s="19">
        <f t="shared" ref="H49:P49" si="17">H48*H61</f>
        <v>7924.6235038369859</v>
      </c>
      <c r="I49" s="19">
        <f t="shared" si="17"/>
        <v>30012.838035728462</v>
      </c>
      <c r="J49" s="19">
        <f t="shared" si="17"/>
        <v>611856.1833370981</v>
      </c>
      <c r="K49" s="19">
        <f t="shared" si="17"/>
        <v>8619710.8973254226</v>
      </c>
      <c r="L49" s="19">
        <f t="shared" si="17"/>
        <v>73113194.079999998</v>
      </c>
      <c r="M49" s="19">
        <f t="shared" si="17"/>
        <v>522.86783699450825</v>
      </c>
      <c r="N49" s="19">
        <f t="shared" si="17"/>
        <v>755.88690476190482</v>
      </c>
      <c r="O49" s="19">
        <f t="shared" si="17"/>
        <v>4557.0901745435713</v>
      </c>
      <c r="P49" s="19">
        <f t="shared" si="17"/>
        <v>347756.59287776717</v>
      </c>
      <c r="Q49" s="19">
        <f t="shared" ref="Q49:R49" si="18">Q48*Q61</f>
        <v>12191720.381133871</v>
      </c>
      <c r="R49" s="19">
        <f t="shared" si="18"/>
        <v>10818530.38351596</v>
      </c>
      <c r="S49" s="19">
        <f>S48*S61</f>
        <v>6302581.1099999994</v>
      </c>
      <c r="U49" s="19">
        <f>U48*U61</f>
        <v>58104381.490000002</v>
      </c>
      <c r="V49" s="19">
        <f>V48*V61</f>
        <v>9920717.7374999989</v>
      </c>
    </row>
    <row r="50" spans="1:22" x14ac:dyDescent="0.2">
      <c r="A50">
        <f>A15</f>
        <v>2019</v>
      </c>
      <c r="B50" s="161"/>
      <c r="C50" s="161"/>
      <c r="D50" s="161"/>
      <c r="E50" s="161"/>
      <c r="F50" s="161"/>
      <c r="H50" s="19">
        <f t="shared" ref="H50:P50" si="19">H49*H61</f>
        <v>7924.6235038369859</v>
      </c>
      <c r="I50" s="19">
        <f t="shared" si="19"/>
        <v>30012.838035728462</v>
      </c>
      <c r="J50" s="19">
        <f t="shared" si="19"/>
        <v>611856.1833370981</v>
      </c>
      <c r="K50" s="19">
        <f t="shared" si="19"/>
        <v>8619710.8973254226</v>
      </c>
      <c r="L50" s="19">
        <f t="shared" si="19"/>
        <v>73113194.079999998</v>
      </c>
      <c r="M50" s="19">
        <f t="shared" si="19"/>
        <v>522.86783699450825</v>
      </c>
      <c r="N50" s="19">
        <f t="shared" si="19"/>
        <v>755.88690476190482</v>
      </c>
      <c r="O50" s="19">
        <f t="shared" si="19"/>
        <v>4557.0901745435713</v>
      </c>
      <c r="P50" s="19">
        <f t="shared" si="19"/>
        <v>347756.59287776717</v>
      </c>
      <c r="Q50" s="19">
        <f t="shared" ref="Q50:R50" si="20">Q49*Q61</f>
        <v>12191720.381133871</v>
      </c>
      <c r="R50" s="19">
        <f t="shared" si="20"/>
        <v>10818530.38351596</v>
      </c>
      <c r="S50" s="19">
        <f>S49*S61</f>
        <v>6302581.1099999994</v>
      </c>
      <c r="U50" s="19">
        <f>U49*U61</f>
        <v>58104381.490000002</v>
      </c>
      <c r="V50" s="19">
        <f>V49*V61</f>
        <v>9920717.7374999989</v>
      </c>
    </row>
    <row r="51" spans="1:22" x14ac:dyDescent="0.2">
      <c r="B51" s="161"/>
      <c r="C51" s="161"/>
      <c r="D51" s="161"/>
      <c r="E51" s="161"/>
      <c r="F51" s="161"/>
      <c r="H51"/>
      <c r="I51"/>
      <c r="J51"/>
      <c r="K51"/>
      <c r="L51"/>
      <c r="M51"/>
      <c r="N51"/>
      <c r="O51"/>
      <c r="P51"/>
      <c r="Q51"/>
      <c r="R51"/>
      <c r="S51"/>
      <c r="V51"/>
    </row>
    <row r="52" spans="1:22" x14ac:dyDescent="0.2">
      <c r="A52" s="70">
        <v>2010</v>
      </c>
      <c r="D52" s="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U52" s="75"/>
      <c r="V52" s="23"/>
    </row>
    <row r="53" spans="1:22" x14ac:dyDescent="0.2">
      <c r="A53" s="70">
        <v>2011</v>
      </c>
      <c r="D53" s="6"/>
      <c r="H53" s="23">
        <f t="shared" ref="H53:H58" si="21">H42/H41</f>
        <v>0.98619200982968747</v>
      </c>
      <c r="I53" s="23">
        <f t="shared" ref="I53:S53" si="22">I42/I41</f>
        <v>0.96977903089615169</v>
      </c>
      <c r="J53" s="23">
        <f t="shared" si="22"/>
        <v>1.0038626555668</v>
      </c>
      <c r="K53" s="23">
        <f t="shared" si="22"/>
        <v>1.0121294321505405</v>
      </c>
      <c r="L53" s="23">
        <f t="shared" si="22"/>
        <v>0.86079640324615259</v>
      </c>
      <c r="M53" s="23">
        <f t="shared" si="22"/>
        <v>0.99580408357358907</v>
      </c>
      <c r="N53" s="23">
        <f t="shared" si="22"/>
        <v>1.0844224462132006</v>
      </c>
      <c r="O53" s="23">
        <f t="shared" si="22"/>
        <v>1.003598913414488</v>
      </c>
      <c r="P53" s="23">
        <f t="shared" si="22"/>
        <v>1</v>
      </c>
      <c r="Q53" s="23">
        <f t="shared" si="22"/>
        <v>1.0259588399146424</v>
      </c>
      <c r="R53" s="23">
        <f t="shared" si="22"/>
        <v>1.0257604059254313</v>
      </c>
      <c r="S53" s="23">
        <f t="shared" si="22"/>
        <v>0.98998226045825388</v>
      </c>
      <c r="U53" s="23"/>
      <c r="V53" s="23">
        <f t="shared" ref="V53" si="23">V42/V41</f>
        <v>1.0675163044822402</v>
      </c>
    </row>
    <row r="54" spans="1:22" x14ac:dyDescent="0.2">
      <c r="A54" s="70">
        <v>2012</v>
      </c>
      <c r="D54" s="6"/>
      <c r="H54" s="23">
        <f t="shared" si="21"/>
        <v>0.99039161948455079</v>
      </c>
      <c r="I54" s="23">
        <f t="shared" ref="I54:S54" si="24">I43/I42</f>
        <v>0.99095839253211238</v>
      </c>
      <c r="J54" s="23">
        <f t="shared" si="24"/>
        <v>0.98156235646088907</v>
      </c>
      <c r="K54" s="23">
        <f t="shared" si="24"/>
        <v>0.97834569301427754</v>
      </c>
      <c r="L54" s="23">
        <f t="shared" si="24"/>
        <v>1.1890927847165755</v>
      </c>
      <c r="M54" s="23">
        <f t="shared" si="24"/>
        <v>1.0051407247985114</v>
      </c>
      <c r="N54" s="23">
        <f t="shared" si="24"/>
        <v>1.1629706557194832</v>
      </c>
      <c r="O54" s="23">
        <f t="shared" si="24"/>
        <v>1.0260587913898798</v>
      </c>
      <c r="P54" s="23">
        <f t="shared" si="24"/>
        <v>1.0039749396660944</v>
      </c>
      <c r="Q54" s="23">
        <f t="shared" si="24"/>
        <v>0.72022306238629341</v>
      </c>
      <c r="R54" s="23">
        <f t="shared" si="24"/>
        <v>1.0149606479268796</v>
      </c>
      <c r="S54" s="23">
        <f t="shared" si="24"/>
        <v>0.96512507933696889</v>
      </c>
      <c r="U54" s="23"/>
      <c r="V54" s="23">
        <f t="shared" ref="V54" si="25">V43/V42</f>
        <v>0.9721715156083508</v>
      </c>
    </row>
    <row r="55" spans="1:22" x14ac:dyDescent="0.2">
      <c r="A55" s="37">
        <v>2013</v>
      </c>
      <c r="B55" s="161"/>
      <c r="C55" s="161"/>
      <c r="D55" s="6"/>
      <c r="E55" s="161"/>
      <c r="F55" s="161"/>
      <c r="H55" s="23">
        <f t="shared" si="21"/>
        <v>0.96226734576023898</v>
      </c>
      <c r="I55" s="23">
        <f t="shared" ref="I55:S55" si="26">I44/I43</f>
        <v>0.99303198083962563</v>
      </c>
      <c r="J55" s="23">
        <f t="shared" si="26"/>
        <v>1.0330966380290558</v>
      </c>
      <c r="K55" s="23">
        <f t="shared" si="26"/>
        <v>1.1452197704558307</v>
      </c>
      <c r="L55" s="23">
        <f t="shared" si="26"/>
        <v>0.8147791078608172</v>
      </c>
      <c r="M55" s="23">
        <f t="shared" si="26"/>
        <v>0.98561661393628197</v>
      </c>
      <c r="N55" s="23">
        <f t="shared" si="26"/>
        <v>0.79490376118119521</v>
      </c>
      <c r="O55" s="23">
        <f t="shared" si="26"/>
        <v>0.99733163075625408</v>
      </c>
      <c r="P55" s="23">
        <f t="shared" si="26"/>
        <v>0.95050997404108073</v>
      </c>
      <c r="Q55" s="23">
        <f t="shared" si="26"/>
        <v>1.4075030345945145</v>
      </c>
      <c r="R55" s="23">
        <f t="shared" si="26"/>
        <v>0.99614175044652453</v>
      </c>
      <c r="S55" s="23">
        <f t="shared" si="26"/>
        <v>1.0129286227844392</v>
      </c>
      <c r="U55" s="23"/>
      <c r="V55" s="23">
        <f t="shared" ref="V55" si="27">V44/V43</f>
        <v>0.94766408914823197</v>
      </c>
    </row>
    <row r="56" spans="1:22" x14ac:dyDescent="0.2">
      <c r="A56" s="37">
        <v>2014</v>
      </c>
      <c r="B56" s="161"/>
      <c r="C56" s="161"/>
      <c r="D56" s="6"/>
      <c r="E56" s="161"/>
      <c r="F56" s="161"/>
      <c r="H56" s="23">
        <f t="shared" si="21"/>
        <v>1.0189206247176845</v>
      </c>
      <c r="I56" s="23">
        <f t="shared" ref="I56:S56" si="28">I45/I44</f>
        <v>1.0140319590179525</v>
      </c>
      <c r="J56" s="23">
        <f t="shared" si="28"/>
        <v>0.97089830397916854</v>
      </c>
      <c r="K56" s="23">
        <f t="shared" si="28"/>
        <v>0.98999869918993033</v>
      </c>
      <c r="L56" s="23">
        <f t="shared" si="28"/>
        <v>1.001752692257075</v>
      </c>
      <c r="M56" s="23">
        <f t="shared" si="28"/>
        <v>1.0088599759479244</v>
      </c>
      <c r="N56" s="23">
        <f t="shared" si="28"/>
        <v>0.96943281148102056</v>
      </c>
      <c r="O56" s="23">
        <f t="shared" si="28"/>
        <v>1.0142542794006184</v>
      </c>
      <c r="P56" s="23">
        <f t="shared" si="28"/>
        <v>0.94877243013082668</v>
      </c>
      <c r="Q56" s="23">
        <f t="shared" si="28"/>
        <v>0.93612350238925512</v>
      </c>
      <c r="R56" s="23">
        <f t="shared" si="28"/>
        <v>0.9878857312356315</v>
      </c>
      <c r="S56" s="23">
        <f t="shared" si="28"/>
        <v>1.0507862674401087</v>
      </c>
      <c r="U56" s="23">
        <f t="shared" ref="U56:V56" si="29">U45/U44</f>
        <v>1.278304143573793</v>
      </c>
      <c r="V56" s="23">
        <f t="shared" si="29"/>
        <v>0.96736147848340825</v>
      </c>
    </row>
    <row r="57" spans="1:22" x14ac:dyDescent="0.2">
      <c r="A57" s="70">
        <v>2015</v>
      </c>
      <c r="B57" s="161"/>
      <c r="C57" s="161"/>
      <c r="D57" s="6"/>
      <c r="E57" s="161"/>
      <c r="F57" s="161"/>
      <c r="H57" s="23">
        <f t="shared" si="21"/>
        <v>1.0115791447984677</v>
      </c>
      <c r="I57" s="23">
        <f t="shared" ref="I57:S57" si="30">I46/I45</f>
        <v>1.0095970158347809</v>
      </c>
      <c r="J57" s="23">
        <f t="shared" si="30"/>
        <v>1.0038219228538237</v>
      </c>
      <c r="K57" s="23">
        <f t="shared" si="30"/>
        <v>1.0008103403127573</v>
      </c>
      <c r="L57" s="23">
        <f t="shared" si="30"/>
        <v>1.2628429284464753</v>
      </c>
      <c r="M57" s="23">
        <f t="shared" si="30"/>
        <v>0.99726216289602421</v>
      </c>
      <c r="N57" s="23">
        <f t="shared" si="30"/>
        <v>0.9726730056621592</v>
      </c>
      <c r="O57" s="23">
        <f t="shared" si="30"/>
        <v>0.97903772100650488</v>
      </c>
      <c r="P57" s="23">
        <f t="shared" si="30"/>
        <v>1.0415528575063162</v>
      </c>
      <c r="Q57" s="23">
        <f t="shared" si="30"/>
        <v>1.0633217985891001</v>
      </c>
      <c r="R57" s="23">
        <f t="shared" si="30"/>
        <v>1.2108100882964175</v>
      </c>
      <c r="S57" s="23">
        <f t="shared" si="30"/>
        <v>0.97849872199056775</v>
      </c>
      <c r="U57" s="23">
        <f t="shared" ref="U57:V57" si="31">U46/U45</f>
        <v>1.0269252924746399</v>
      </c>
      <c r="V57" s="23">
        <f t="shared" si="31"/>
        <v>0.99764844217260173</v>
      </c>
    </row>
    <row r="58" spans="1:22" x14ac:dyDescent="0.2">
      <c r="A58" s="70">
        <v>2016</v>
      </c>
      <c r="B58" s="161"/>
      <c r="C58" s="161"/>
      <c r="D58" s="6"/>
      <c r="E58" s="161"/>
      <c r="F58" s="161"/>
      <c r="H58" s="23">
        <f t="shared" si="21"/>
        <v>0.97530094708575421</v>
      </c>
      <c r="I58" s="23">
        <f t="shared" ref="H58:S59" si="32">I47/I46</f>
        <v>1.0324117015786423</v>
      </c>
      <c r="J58" s="23">
        <f t="shared" si="32"/>
        <v>0.99896596334996113</v>
      </c>
      <c r="K58" s="23">
        <f t="shared" si="32"/>
        <v>1.0119365581432522</v>
      </c>
      <c r="L58" s="23">
        <f t="shared" si="32"/>
        <v>0.7293587821576375</v>
      </c>
      <c r="M58" s="23">
        <f t="shared" si="32"/>
        <v>0.96330551572288026</v>
      </c>
      <c r="N58" s="23">
        <f t="shared" si="32"/>
        <v>0.99897137695997817</v>
      </c>
      <c r="O58" s="23">
        <f t="shared" si="32"/>
        <v>0.99278413981907687</v>
      </c>
      <c r="P58" s="23">
        <f t="shared" si="32"/>
        <v>1.0796626717730318</v>
      </c>
      <c r="Q58" s="23">
        <f t="shared" si="32"/>
        <v>0.98125452662665202</v>
      </c>
      <c r="R58" s="23">
        <f t="shared" si="32"/>
        <v>0.73870214582143745</v>
      </c>
      <c r="S58" s="23">
        <f t="shared" si="32"/>
        <v>0.96157494545863142</v>
      </c>
      <c r="U58" s="23">
        <f t="shared" ref="U58:V58" si="33">U47/U46</f>
        <v>1.0172339893573101</v>
      </c>
      <c r="V58" s="23">
        <f t="shared" si="33"/>
        <v>1.0128573389484286</v>
      </c>
    </row>
    <row r="59" spans="1:22" x14ac:dyDescent="0.2">
      <c r="A59" s="70">
        <v>2017</v>
      </c>
      <c r="B59" s="161"/>
      <c r="C59" s="161"/>
      <c r="D59" s="6"/>
      <c r="E59" s="161"/>
      <c r="F59" s="161"/>
      <c r="H59" s="23">
        <f t="shared" si="32"/>
        <v>0.93390289451978681</v>
      </c>
      <c r="I59" s="23">
        <f t="shared" si="32"/>
        <v>0.8801456287380357</v>
      </c>
      <c r="J59" s="23">
        <f t="shared" si="32"/>
        <v>1.0184168924569341</v>
      </c>
      <c r="K59" s="23">
        <f t="shared" si="32"/>
        <v>0.9383400211690367</v>
      </c>
      <c r="L59" s="23">
        <f t="shared" si="32"/>
        <v>0.96678404428032627</v>
      </c>
      <c r="M59" s="23">
        <f t="shared" si="32"/>
        <v>0.74020264050639828</v>
      </c>
      <c r="N59" s="23">
        <f t="shared" si="32"/>
        <v>1.0009557117612704</v>
      </c>
      <c r="O59" s="23">
        <f t="shared" si="32"/>
        <v>1.0155616056629946</v>
      </c>
      <c r="P59" s="23">
        <f t="shared" si="32"/>
        <v>0.91487340727641697</v>
      </c>
      <c r="Q59" s="23">
        <f t="shared" si="32"/>
        <v>0.89907509592503021</v>
      </c>
      <c r="R59" s="23">
        <f t="shared" si="32"/>
        <v>0.93971443580128122</v>
      </c>
      <c r="S59" s="23">
        <f t="shared" si="32"/>
        <v>0.96757273263850552</v>
      </c>
      <c r="U59" s="23"/>
      <c r="V59" s="23"/>
    </row>
    <row r="60" spans="1:22" x14ac:dyDescent="0.2">
      <c r="A60" s="3"/>
      <c r="D60" s="6"/>
      <c r="E60" s="6"/>
      <c r="F60" s="6"/>
    </row>
    <row r="61" spans="1:22" x14ac:dyDescent="0.2">
      <c r="A61" t="s">
        <v>21</v>
      </c>
      <c r="D61" s="6"/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3">
        <v>1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U61" s="23">
        <v>1</v>
      </c>
      <c r="V61" s="23">
        <v>1</v>
      </c>
    </row>
    <row r="62" spans="1:22" x14ac:dyDescent="0.2">
      <c r="A62" s="3"/>
      <c r="D62" s="6"/>
      <c r="H62" s="12"/>
      <c r="I62" s="12"/>
      <c r="K62" s="11"/>
      <c r="L62" s="11"/>
      <c r="M62" s="11"/>
      <c r="N62" s="11"/>
      <c r="O62" s="11"/>
      <c r="P62" s="11"/>
      <c r="Q62" s="11"/>
      <c r="R62" s="11"/>
    </row>
    <row r="63" spans="1:22" x14ac:dyDescent="0.2">
      <c r="A63" t="s">
        <v>17</v>
      </c>
      <c r="D63" s="6"/>
      <c r="H63" s="23">
        <f>GEOMEAN(H53:H59)</f>
        <v>0.98227924441763093</v>
      </c>
      <c r="I63" s="23">
        <f t="shared" ref="I63:V63" si="34">GEOMEAN(I53:I59)</f>
        <v>0.98313710151561395</v>
      </c>
      <c r="J63" s="23">
        <f t="shared" si="34"/>
        <v>1.0013297530438721</v>
      </c>
      <c r="K63" s="23">
        <f t="shared" si="34"/>
        <v>1.0092917827383547</v>
      </c>
      <c r="L63" s="23">
        <f t="shared" si="34"/>
        <v>0.95862353763340202</v>
      </c>
      <c r="M63" s="23">
        <f t="shared" si="34"/>
        <v>0.95181371206949117</v>
      </c>
      <c r="N63" s="23">
        <f t="shared" si="34"/>
        <v>0.99198452873871434</v>
      </c>
      <c r="O63" s="23">
        <f t="shared" si="34"/>
        <v>1.0039813107639</v>
      </c>
      <c r="P63" s="23">
        <f t="shared" si="34"/>
        <v>0.98991066164978769</v>
      </c>
      <c r="Q63" s="23">
        <f t="shared" si="34"/>
        <v>0.98713043937136291</v>
      </c>
      <c r="R63" s="23">
        <f t="shared" si="34"/>
        <v>0.97886650649519846</v>
      </c>
      <c r="S63" s="23">
        <f t="shared" si="34"/>
        <v>0.98905115076053862</v>
      </c>
      <c r="T63" s="23"/>
      <c r="U63" s="23">
        <f t="shared" si="34"/>
        <v>1.1011960291832519</v>
      </c>
      <c r="V63" s="23">
        <f t="shared" si="34"/>
        <v>0.99345394421071231</v>
      </c>
    </row>
    <row r="64" spans="1:22" x14ac:dyDescent="0.2">
      <c r="D64" s="6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V64" s="23"/>
    </row>
    <row r="65" spans="1:22" x14ac:dyDescent="0.2">
      <c r="A65" s="17" t="s">
        <v>48</v>
      </c>
    </row>
    <row r="66" spans="1:22" x14ac:dyDescent="0.2">
      <c r="A66" s="17">
        <v>2018</v>
      </c>
      <c r="G66" s="6">
        <f>SUM(H66:S66)</f>
        <v>1601537023.6876438</v>
      </c>
      <c r="H66" s="6">
        <f>H49*'Rate Class Customer Model'!B21</f>
        <v>459391243.72947484</v>
      </c>
      <c r="I66" s="6">
        <f>I49*'Rate Class Customer Model'!C21</f>
        <v>191292506.06746426</v>
      </c>
      <c r="J66" s="6">
        <f>J49*'Rate Class Customer Model'!D21</f>
        <v>488381569.65300667</v>
      </c>
      <c r="K66" s="6">
        <f>K49*'Rate Class Customer Model'!E21</f>
        <v>236985785.159668</v>
      </c>
      <c r="L66" s="6">
        <f>L49*'Rate Class Customer Model'!F21</f>
        <v>146226388.16</v>
      </c>
      <c r="M66" s="6">
        <f>M49*'Rate Class Customer Model'!G21</f>
        <v>8439793.1928569693</v>
      </c>
      <c r="N66" s="6">
        <f>N49*'Rate Class Customer Model'!H21</f>
        <v>126989.00000000001</v>
      </c>
      <c r="O66" s="6">
        <f>O49*'Rate Class Customer Model'!I21</f>
        <v>2273987.9970972422</v>
      </c>
      <c r="P66" s="6">
        <f>P49*'Rate Class Customer Model'!K21</f>
        <v>347756.59287776717</v>
      </c>
      <c r="Q66" s="6">
        <f>Q49*'Rate Class Customer Model'!K21</f>
        <v>12191720.381133871</v>
      </c>
      <c r="R66" s="6">
        <f>R49*'Rate Class Customer Model'!L21</f>
        <v>43274121.534063838</v>
      </c>
      <c r="S66" s="6">
        <f>S49*'Rate Class Customer Model'!M21</f>
        <v>12605162.219999999</v>
      </c>
      <c r="U66" s="6">
        <f>U49*'Rate Class Customer Model'!P21</f>
        <v>58104381.490000002</v>
      </c>
      <c r="V66" s="6">
        <f>V49*'Rate Class Customer Model'!Q21</f>
        <v>39682870.949999996</v>
      </c>
    </row>
    <row r="67" spans="1:22" x14ac:dyDescent="0.2">
      <c r="A67" s="17">
        <v>2019</v>
      </c>
      <c r="G67" s="6">
        <f>SUM(H67:S67)</f>
        <v>1606577475.9121997</v>
      </c>
      <c r="H67" s="6">
        <f>H50*'Rate Class Customer Model'!B22</f>
        <v>464994943.18822759</v>
      </c>
      <c r="I67" s="6">
        <f>I50*'Rate Class Customer Model'!C22</f>
        <v>193606829.39591402</v>
      </c>
      <c r="J67" s="6">
        <f>J50*'Rate Class Customer Model'!D22</f>
        <v>489729326.45611572</v>
      </c>
      <c r="K67" s="6">
        <f>K50*'Rate Class Customer Model'!E22</f>
        <v>232698649.46220735</v>
      </c>
      <c r="L67" s="6">
        <f>L50*'Rate Class Customer Model'!F22</f>
        <v>146226388.16</v>
      </c>
      <c r="M67" s="6">
        <f>M50*'Rate Class Customer Model'!G22</f>
        <v>8501601.5245620497</v>
      </c>
      <c r="N67" s="6">
        <f>N50*'Rate Class Customer Model'!H22</f>
        <v>126989.00000000001</v>
      </c>
      <c r="O67" s="6">
        <f>O50*'Rate Class Customer Model'!I22</f>
        <v>2273987.9970972422</v>
      </c>
      <c r="P67" s="6">
        <f>P50*'Rate Class Customer Model'!K22</f>
        <v>347756.59287776717</v>
      </c>
      <c r="Q67" s="6">
        <f>Q50*'Rate Class Customer Model'!K22</f>
        <v>12191720.381133871</v>
      </c>
      <c r="R67" s="6">
        <f>R50*'Rate Class Customer Model'!L22</f>
        <v>43274121.534063838</v>
      </c>
      <c r="S67" s="6">
        <f>S50*'Rate Class Customer Model'!M22</f>
        <v>12605162.219999999</v>
      </c>
      <c r="U67" s="6">
        <f>U50*'Rate Class Customer Model'!P22</f>
        <v>58104381.490000002</v>
      </c>
      <c r="V67" s="6">
        <f>V50*'Rate Class Customer Model'!Q22</f>
        <v>39682870.949999996</v>
      </c>
    </row>
    <row r="69" spans="1:22" x14ac:dyDescent="0.2">
      <c r="A69" s="17" t="s">
        <v>47</v>
      </c>
      <c r="T69" s="6" t="s">
        <v>20</v>
      </c>
    </row>
    <row r="70" spans="1:22" x14ac:dyDescent="0.2">
      <c r="A70" s="17">
        <v>2018</v>
      </c>
      <c r="G70" s="19">
        <f>G14</f>
        <v>1632026488.5282977</v>
      </c>
      <c r="H70" s="6">
        <f t="shared" ref="H70:S70" si="35">H66+H78-H85</f>
        <v>462090269.53014374</v>
      </c>
      <c r="I70" s="6">
        <f t="shared" si="35"/>
        <v>190021845.86862719</v>
      </c>
      <c r="J70" s="6">
        <f t="shared" si="35"/>
        <v>492875293.95718992</v>
      </c>
      <c r="K70" s="6">
        <f t="shared" si="35"/>
        <v>235543174.07176879</v>
      </c>
      <c r="L70" s="6">
        <f t="shared" si="35"/>
        <v>145628457.4468382</v>
      </c>
      <c r="M70" s="6">
        <f t="shared" si="35"/>
        <v>5151174.2704671035</v>
      </c>
      <c r="N70" s="6">
        <f t="shared" si="35"/>
        <v>126989.00000000001</v>
      </c>
      <c r="O70" s="6">
        <f t="shared" si="35"/>
        <v>2273987.9970972422</v>
      </c>
      <c r="P70" s="6">
        <f t="shared" si="35"/>
        <v>347756.59287776717</v>
      </c>
      <c r="Q70" s="6">
        <f t="shared" si="35"/>
        <v>12191720.381133871</v>
      </c>
      <c r="R70" s="6">
        <f t="shared" si="35"/>
        <v>43274121.534063838</v>
      </c>
      <c r="S70" s="6">
        <f t="shared" si="35"/>
        <v>12605162.219999999</v>
      </c>
      <c r="T70" s="6">
        <f>SUM(H70:S70)</f>
        <v>1602129952.8702075</v>
      </c>
      <c r="U70" s="6">
        <f>G70-T70</f>
        <v>29896535.658090115</v>
      </c>
    </row>
    <row r="71" spans="1:22" x14ac:dyDescent="0.2">
      <c r="A71" s="17">
        <v>2019</v>
      </c>
      <c r="B71" s="161"/>
      <c r="C71" s="161"/>
      <c r="D71" s="161"/>
      <c r="E71" s="161"/>
      <c r="F71" s="161"/>
      <c r="G71" s="19">
        <f>G15</f>
        <v>1632026488.5282977</v>
      </c>
      <c r="H71" s="6">
        <f t="shared" ref="H71:S71" si="36">H67+H79-H86</f>
        <v>461453715.88431841</v>
      </c>
      <c r="I71" s="6">
        <f t="shared" si="36"/>
        <v>193967011.30428866</v>
      </c>
      <c r="J71" s="6">
        <f t="shared" si="36"/>
        <v>491288356.1165024</v>
      </c>
      <c r="K71" s="6">
        <f t="shared" si="36"/>
        <v>229378990.2350671</v>
      </c>
      <c r="L71" s="6">
        <f t="shared" si="36"/>
        <v>145141006.46077192</v>
      </c>
      <c r="M71" s="6">
        <f t="shared" si="36"/>
        <v>3798280.8279070696</v>
      </c>
      <c r="N71" s="6">
        <f t="shared" si="36"/>
        <v>126989.00000000001</v>
      </c>
      <c r="O71" s="6">
        <f t="shared" si="36"/>
        <v>2273987.9970972422</v>
      </c>
      <c r="P71" s="6">
        <f t="shared" si="36"/>
        <v>347756.59287776717</v>
      </c>
      <c r="Q71" s="6">
        <f t="shared" si="36"/>
        <v>12191720.381133871</v>
      </c>
      <c r="R71" s="6">
        <f t="shared" si="36"/>
        <v>43274121.534063838</v>
      </c>
      <c r="S71" s="6">
        <f t="shared" si="36"/>
        <v>12605162.219999999</v>
      </c>
      <c r="T71" s="6">
        <f>SUM(H71:S71)</f>
        <v>1595847098.5540283</v>
      </c>
      <c r="U71" s="6">
        <f>G71-T71</f>
        <v>36179389.97426939</v>
      </c>
    </row>
    <row r="73" spans="1:22" x14ac:dyDescent="0.2">
      <c r="A73" t="s">
        <v>49</v>
      </c>
      <c r="H73" s="112">
        <f>(100%+J73)/2</f>
        <v>0.73977685635363388</v>
      </c>
      <c r="I73" s="52">
        <f>H73</f>
        <v>0.73977685635363388</v>
      </c>
      <c r="J73" s="52">
        <v>0.47955371270726771</v>
      </c>
      <c r="K73" s="52">
        <v>0.22849704086909819</v>
      </c>
      <c r="L73" s="52">
        <v>0</v>
      </c>
      <c r="M73" s="52">
        <v>0</v>
      </c>
      <c r="N73" s="52"/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6" t="s">
        <v>20</v>
      </c>
      <c r="V73"/>
    </row>
    <row r="74" spans="1:22" x14ac:dyDescent="0.2">
      <c r="A74" s="17">
        <v>2018</v>
      </c>
      <c r="G74" s="6">
        <f>G70-G66</f>
        <v>30489464.840653896</v>
      </c>
      <c r="H74" s="6">
        <f t="shared" ref="H74:M75" si="37">H66*H$73</f>
        <v>339847010.12257695</v>
      </c>
      <c r="I74" s="6">
        <f t="shared" si="37"/>
        <v>141513768.78259715</v>
      </c>
      <c r="J74" s="6">
        <f t="shared" si="37"/>
        <v>234205194.94490242</v>
      </c>
      <c r="K74" s="6">
        <f t="shared" si="37"/>
        <v>54150550.637023985</v>
      </c>
      <c r="L74" s="6">
        <f t="shared" si="37"/>
        <v>0</v>
      </c>
      <c r="M74" s="6">
        <f t="shared" si="37"/>
        <v>0</v>
      </c>
      <c r="O74" s="6">
        <f t="shared" ref="O74:S75" si="38">O66*O$73</f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>SUM(H74:S74)</f>
        <v>769716524.4871006</v>
      </c>
    </row>
    <row r="75" spans="1:22" x14ac:dyDescent="0.2">
      <c r="A75" s="17">
        <v>2019</v>
      </c>
      <c r="G75" s="6">
        <f>G71-G67</f>
        <v>25449012.616097927</v>
      </c>
      <c r="H75" s="6">
        <f t="shared" si="37"/>
        <v>343992497.29212362</v>
      </c>
      <c r="I75" s="6">
        <f t="shared" si="37"/>
        <v>143225851.61910358</v>
      </c>
      <c r="J75" s="6">
        <f t="shared" si="37"/>
        <v>234851516.72365984</v>
      </c>
      <c r="K75" s="6">
        <f t="shared" si="37"/>
        <v>53170952.816349946</v>
      </c>
      <c r="L75" s="6">
        <f t="shared" si="37"/>
        <v>0</v>
      </c>
      <c r="M75" s="6">
        <f t="shared" si="37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>SUM(H75:S75)</f>
        <v>775240818.45123708</v>
      </c>
    </row>
    <row r="76" spans="1:22" ht="12" customHeight="1" x14ac:dyDescent="0.2"/>
    <row r="77" spans="1:22" x14ac:dyDescent="0.2">
      <c r="A77" t="s">
        <v>50</v>
      </c>
    </row>
    <row r="78" spans="1:22" x14ac:dyDescent="0.2">
      <c r="A78" s="17">
        <v>2018</v>
      </c>
      <c r="H78" s="6">
        <f t="shared" ref="H78:M78" si="39">H74/$T$74*$G$74</f>
        <v>13461778.637581149</v>
      </c>
      <c r="I78" s="6">
        <f t="shared" si="39"/>
        <v>5605543.0025235591</v>
      </c>
      <c r="J78" s="6">
        <f t="shared" si="39"/>
        <v>9277170.0094776452</v>
      </c>
      <c r="K78" s="6">
        <f t="shared" si="39"/>
        <v>2144973.1910715401</v>
      </c>
      <c r="L78" s="6">
        <f t="shared" si="39"/>
        <v>0</v>
      </c>
      <c r="M78" s="6">
        <f t="shared" si="39"/>
        <v>0</v>
      </c>
      <c r="O78" s="6">
        <f>O74/$T$74*$G$74</f>
        <v>0</v>
      </c>
      <c r="S78" s="6">
        <f>S74/$T$74*$G$74</f>
        <v>0</v>
      </c>
      <c r="T78" s="6">
        <f>SUM(H78:S78)</f>
        <v>30489464.840653893</v>
      </c>
    </row>
    <row r="79" spans="1:22" x14ac:dyDescent="0.2">
      <c r="A79" s="17">
        <v>2019</v>
      </c>
      <c r="G79" s="24"/>
      <c r="H79" s="6">
        <f t="shared" ref="H79:M79" si="40">H75/$T$75*$G$75</f>
        <v>11292322.585541118</v>
      </c>
      <c r="I79" s="6">
        <f t="shared" si="40"/>
        <v>4701708.7052869182</v>
      </c>
      <c r="J79" s="6">
        <f t="shared" si="40"/>
        <v>7709525.9560124557</v>
      </c>
      <c r="K79" s="6">
        <f t="shared" si="40"/>
        <v>1745455.3692574312</v>
      </c>
      <c r="L79" s="6">
        <f t="shared" si="40"/>
        <v>0</v>
      </c>
      <c r="M79" s="6">
        <f t="shared" si="40"/>
        <v>0</v>
      </c>
      <c r="O79" s="6">
        <f>O75/$T$75*$G$75</f>
        <v>0</v>
      </c>
      <c r="S79" s="6">
        <f>S75/$T$75*$G$75</f>
        <v>0</v>
      </c>
      <c r="T79" s="6">
        <f>SUM(H79:S79)</f>
        <v>25449012.616097923</v>
      </c>
    </row>
    <row r="80" spans="1:22" x14ac:dyDescent="0.2">
      <c r="G80" s="24"/>
    </row>
    <row r="81" spans="1:22" x14ac:dyDescent="0.2">
      <c r="A81" s="113" t="s">
        <v>305</v>
      </c>
    </row>
    <row r="82" spans="1:22" x14ac:dyDescent="0.2">
      <c r="A82" s="17">
        <v>2018</v>
      </c>
      <c r="B82" s="161"/>
      <c r="C82" s="161"/>
      <c r="D82" s="161"/>
      <c r="E82" s="161"/>
      <c r="F82" s="161"/>
      <c r="H82" s="112">
        <v>0.36</v>
      </c>
      <c r="I82" s="52">
        <v>0.23</v>
      </c>
      <c r="J82" s="52">
        <v>0.16</v>
      </c>
      <c r="K82" s="52">
        <v>0.12</v>
      </c>
      <c r="L82" s="52">
        <v>0.02</v>
      </c>
      <c r="M82" s="52">
        <v>0.11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78">
        <v>0</v>
      </c>
      <c r="T82" s="253">
        <f>SUM(H82:S82)</f>
        <v>1</v>
      </c>
      <c r="V82"/>
    </row>
    <row r="83" spans="1:22" x14ac:dyDescent="0.2">
      <c r="A83" s="17">
        <v>2019</v>
      </c>
      <c r="B83" s="161"/>
      <c r="C83" s="161"/>
      <c r="D83" s="161"/>
      <c r="E83" s="161"/>
      <c r="F83" s="161"/>
      <c r="H83" s="112">
        <v>0.41</v>
      </c>
      <c r="I83" s="52">
        <v>0.12</v>
      </c>
      <c r="J83" s="52">
        <v>0.17</v>
      </c>
      <c r="K83" s="52">
        <v>0.14000000000000001</v>
      </c>
      <c r="L83" s="52">
        <v>0.03</v>
      </c>
      <c r="M83" s="52">
        <v>0.13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78">
        <v>0</v>
      </c>
      <c r="T83" s="253">
        <f>SUM(H83:S83)</f>
        <v>1</v>
      </c>
      <c r="V83"/>
    </row>
    <row r="84" spans="1:22" x14ac:dyDescent="0.2">
      <c r="A84" s="113" t="s">
        <v>306</v>
      </c>
      <c r="B84" s="161"/>
      <c r="C84" s="161"/>
      <c r="D84" s="161"/>
      <c r="E84" s="161"/>
      <c r="F84" s="161"/>
      <c r="H84"/>
      <c r="I84"/>
      <c r="J84"/>
      <c r="K84"/>
      <c r="L84"/>
      <c r="M84"/>
      <c r="N84"/>
      <c r="O84"/>
      <c r="P84"/>
      <c r="Q84"/>
      <c r="R84"/>
      <c r="S84"/>
      <c r="V84"/>
    </row>
    <row r="85" spans="1:22" x14ac:dyDescent="0.2">
      <c r="A85" s="17">
        <v>2018</v>
      </c>
      <c r="G85" s="6">
        <f>'CDM Activity '!U7*0.5+'CDM Activity '!U8*0.5</f>
        <v>29896535.65808969</v>
      </c>
      <c r="H85" s="6">
        <f>$G$85*H82</f>
        <v>10762752.836912287</v>
      </c>
      <c r="I85" s="6">
        <f t="shared" ref="I85:S85" si="41">$G$85*I82</f>
        <v>6876203.2013606289</v>
      </c>
      <c r="J85" s="6">
        <f t="shared" si="41"/>
        <v>4783445.7052943502</v>
      </c>
      <c r="K85" s="6">
        <f t="shared" si="41"/>
        <v>3587584.2789707626</v>
      </c>
      <c r="L85" s="6">
        <f t="shared" si="41"/>
        <v>597930.71316179377</v>
      </c>
      <c r="M85" s="6">
        <f t="shared" si="41"/>
        <v>3288618.9223898659</v>
      </c>
      <c r="N85" s="6">
        <f t="shared" si="41"/>
        <v>0</v>
      </c>
      <c r="O85" s="6">
        <f t="shared" si="41"/>
        <v>0</v>
      </c>
      <c r="P85" s="6">
        <f t="shared" si="41"/>
        <v>0</v>
      </c>
      <c r="Q85" s="6">
        <f t="shared" ref="Q85:R85" si="42">$G$85*Q82</f>
        <v>0</v>
      </c>
      <c r="R85" s="6">
        <f t="shared" si="42"/>
        <v>0</v>
      </c>
      <c r="S85" s="6">
        <f t="shared" si="41"/>
        <v>0</v>
      </c>
      <c r="T85" s="6">
        <f>SUM(H85:S85)</f>
        <v>29896535.658089686</v>
      </c>
      <c r="U85" s="6">
        <f>G85-T85</f>
        <v>0</v>
      </c>
      <c r="V85"/>
    </row>
    <row r="86" spans="1:22" x14ac:dyDescent="0.2">
      <c r="A86" s="17">
        <v>2019</v>
      </c>
      <c r="G86" s="6">
        <f>'CDM Activity '!V7*0.5+'CDM Activity '!V8+'CDM Activity '!V9*0.5</f>
        <v>36179389.974269077</v>
      </c>
      <c r="H86" s="6">
        <f>$G$86*H83</f>
        <v>14833549.889450321</v>
      </c>
      <c r="I86" s="6">
        <f t="shared" ref="I86:S86" si="43">$G$86*I83</f>
        <v>4341526.7969122892</v>
      </c>
      <c r="J86" s="6">
        <f t="shared" si="43"/>
        <v>6150496.2956257435</v>
      </c>
      <c r="K86" s="6">
        <f t="shared" si="43"/>
        <v>5065114.5963976709</v>
      </c>
      <c r="L86" s="6">
        <f t="shared" si="43"/>
        <v>1085381.6992280723</v>
      </c>
      <c r="M86" s="6">
        <f>$G$86*M83</f>
        <v>4703320.6966549801</v>
      </c>
      <c r="N86" s="6">
        <f t="shared" si="43"/>
        <v>0</v>
      </c>
      <c r="O86" s="6">
        <f t="shared" si="43"/>
        <v>0</v>
      </c>
      <c r="P86" s="6">
        <f t="shared" si="43"/>
        <v>0</v>
      </c>
      <c r="Q86" s="6">
        <f t="shared" si="43"/>
        <v>0</v>
      </c>
      <c r="R86" s="6">
        <f t="shared" si="43"/>
        <v>0</v>
      </c>
      <c r="S86" s="6">
        <f t="shared" si="43"/>
        <v>0</v>
      </c>
      <c r="T86" s="6">
        <f>SUM(H86:S86)</f>
        <v>36179389.974269077</v>
      </c>
      <c r="U86" s="6">
        <f>G86-T86</f>
        <v>0</v>
      </c>
      <c r="V86"/>
    </row>
    <row r="87" spans="1:22" x14ac:dyDescent="0.2">
      <c r="A87" s="17"/>
      <c r="B87" s="161"/>
      <c r="C87" s="161"/>
      <c r="D87" s="161"/>
      <c r="E87" s="161"/>
      <c r="F87" s="161"/>
    </row>
    <row r="88" spans="1:22" x14ac:dyDescent="0.2">
      <c r="A88" s="17"/>
      <c r="B88" s="161"/>
      <c r="C88" s="161"/>
      <c r="D88" s="161"/>
      <c r="E88" s="161"/>
      <c r="F88" s="161"/>
    </row>
    <row r="89" spans="1:22" x14ac:dyDescent="0.2">
      <c r="A89" s="17"/>
      <c r="B89" s="161"/>
      <c r="C89" s="161"/>
      <c r="D89" s="161"/>
      <c r="E89" s="161"/>
      <c r="F89" s="161"/>
    </row>
    <row r="90" spans="1:22" x14ac:dyDescent="0.2">
      <c r="A90" s="17"/>
      <c r="B90" s="161"/>
      <c r="C90" s="161"/>
      <c r="D90" s="161"/>
      <c r="E90" s="161"/>
      <c r="F90" s="161"/>
    </row>
    <row r="92" spans="1:22" x14ac:dyDescent="0.2">
      <c r="A92" s="113" t="s">
        <v>116</v>
      </c>
    </row>
    <row r="93" spans="1:22" x14ac:dyDescent="0.2">
      <c r="A93" s="17">
        <v>2018</v>
      </c>
      <c r="B93" s="17"/>
      <c r="C93" s="17"/>
      <c r="D93" s="17"/>
      <c r="E93" s="17"/>
      <c r="F93" s="17"/>
      <c r="G93" s="17"/>
      <c r="S93" s="6">
        <f>U66</f>
        <v>58104381.490000002</v>
      </c>
    </row>
    <row r="94" spans="1:22" x14ac:dyDescent="0.2">
      <c r="A94" s="17">
        <v>2019</v>
      </c>
      <c r="S94" s="6">
        <f>S93</f>
        <v>58104381.490000002</v>
      </c>
    </row>
    <row r="98" spans="2:24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</sheetData>
  <phoneticPr fontId="0" type="noConversion"/>
  <pageMargins left="0.38" right="0.75" top="0.73" bottom="0.74" header="0.5" footer="0.5"/>
  <pageSetup scale="62" orientation="landscape" r:id="rId1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V88"/>
  <sheetViews>
    <sheetView topLeftCell="A32" workbookViewId="0">
      <selection activeCell="S71" sqref="S70:S71"/>
    </sheetView>
  </sheetViews>
  <sheetFormatPr defaultRowHeight="12.75" x14ac:dyDescent="0.2"/>
  <cols>
    <col min="1" max="1" width="11" customWidth="1"/>
    <col min="2" max="2" width="15" style="6" customWidth="1"/>
    <col min="3" max="3" width="14.140625" style="6" bestFit="1" customWidth="1"/>
    <col min="4" max="4" width="17.85546875" style="6" bestFit="1" customWidth="1"/>
    <col min="5" max="5" width="17.5703125" style="6" customWidth="1"/>
    <col min="6" max="7" width="12.5703125" style="6" customWidth="1"/>
    <col min="8" max="9" width="11.28515625" style="6" customWidth="1"/>
    <col min="10" max="11" width="11.5703125" style="6" customWidth="1"/>
    <col min="12" max="12" width="12.7109375" style="6" bestFit="1" customWidth="1"/>
    <col min="13" max="13" width="12.7109375" style="6" customWidth="1"/>
    <col min="14" max="14" width="12.7109375" style="6" bestFit="1" customWidth="1"/>
    <col min="15" max="15" width="11.7109375" style="6" bestFit="1" customWidth="1"/>
    <col min="16" max="18" width="11.7109375" style="6" customWidth="1"/>
    <col min="19" max="19" width="10.7109375" style="6" bestFit="1" customWidth="1"/>
    <col min="20" max="21" width="9.140625" style="6" customWidth="1"/>
  </cols>
  <sheetData>
    <row r="2" spans="1:21" ht="52.5" customHeight="1" x14ac:dyDescent="0.2"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&gt; 50 to 999 kW</v>
      </c>
      <c r="E2" s="9" t="str">
        <f>'Rate Class Energy Model'!K2</f>
        <v>General Service &gt; 1000 to 4999 kW</v>
      </c>
      <c r="F2" s="9" t="str">
        <f>'Rate Class Energy Model'!L2</f>
        <v>Large User</v>
      </c>
      <c r="G2" s="9" t="str">
        <f>'Rate Class Energy Model'!M2</f>
        <v>Street Lights</v>
      </c>
      <c r="H2" s="9" t="str">
        <f>'Rate Class Energy Model'!N2</f>
        <v>Sentinel Lights</v>
      </c>
      <c r="I2" s="9" t="str">
        <f>'Rate Class Energy Model'!O2</f>
        <v xml:space="preserve">Unmetered Loads </v>
      </c>
      <c r="J2" s="9" t="str">
        <f>'Rate Class Energy Model'!P2</f>
        <v>Embedded Distributors -BPI - BCP</v>
      </c>
      <c r="K2" s="9" t="str">
        <f>'Rate Class Energy Model'!Q2</f>
        <v>Embedded Distributors - Hydro One #1, BCP</v>
      </c>
      <c r="L2" s="9" t="str">
        <f>'Rate Class Energy Model'!R2</f>
        <v>Embedded Distributors - Hydro One #2, BCP</v>
      </c>
      <c r="M2" s="9" t="str">
        <f>'Rate Class Energy Model'!S2</f>
        <v>Embedded Distributors - Hydro One, CND</v>
      </c>
      <c r="N2" s="6" t="s">
        <v>12</v>
      </c>
      <c r="P2" s="9" t="str">
        <f>'Rate Class Energy Model'!U2</f>
        <v>Embedded Distributors -Waterloo - CND</v>
      </c>
      <c r="Q2" s="9" t="str">
        <f>'Rate Class Energy Model'!V2</f>
        <v>Direct Market Participant</v>
      </c>
    </row>
    <row r="3" spans="1:21" hidden="1" x14ac:dyDescent="0.2">
      <c r="A3" s="4"/>
      <c r="B3" s="39"/>
      <c r="C3" s="39"/>
      <c r="D3" s="39"/>
      <c r="E3" s="39"/>
      <c r="F3" s="39"/>
      <c r="G3" s="39"/>
      <c r="H3" s="39"/>
      <c r="I3" s="39"/>
      <c r="J3" s="39"/>
      <c r="K3" s="39"/>
      <c r="L3" s="69"/>
      <c r="M3" s="69"/>
      <c r="N3" s="38"/>
    </row>
    <row r="4" spans="1:21" hidden="1" x14ac:dyDescent="0.2">
      <c r="A4" s="4">
        <v>2000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69"/>
      <c r="M4" s="69"/>
      <c r="N4" s="38">
        <f>SUM(B4:J4)</f>
        <v>0</v>
      </c>
    </row>
    <row r="5" spans="1:21" hidden="1" x14ac:dyDescent="0.2">
      <c r="A5" s="4">
        <v>2001</v>
      </c>
      <c r="B5" s="39" t="e">
        <f>(#REF!+#REF!)/2</f>
        <v>#REF!</v>
      </c>
      <c r="C5" s="39" t="e">
        <f>(#REF!+#REF!)/2</f>
        <v>#REF!</v>
      </c>
      <c r="D5" s="39" t="e">
        <f>(#REF!+#REF!)/2</f>
        <v>#REF!</v>
      </c>
      <c r="E5" s="39" t="e">
        <f>(#REF!+#REF!)/2</f>
        <v>#REF!</v>
      </c>
      <c r="F5" s="39" t="e">
        <f>(#REF!+#REF!)/2</f>
        <v>#REF!</v>
      </c>
      <c r="G5" s="39" t="e">
        <f>(#REF!+#REF!)/2</f>
        <v>#REF!</v>
      </c>
      <c r="H5" s="39" t="e">
        <f>(#REF!+#REF!)/2</f>
        <v>#REF!</v>
      </c>
      <c r="I5" s="39"/>
      <c r="J5" s="39" t="e">
        <f>(#REF!+#REF!)/2</f>
        <v>#REF!</v>
      </c>
      <c r="K5" s="39"/>
      <c r="L5" s="39" t="e">
        <f>(#REF!+#REF!)/2</f>
        <v>#REF!</v>
      </c>
      <c r="M5" s="39" t="e">
        <f>(#REF!+#REF!)/2</f>
        <v>#REF!</v>
      </c>
      <c r="N5" s="38" t="e">
        <f t="shared" ref="N5:N22" si="0">SUM(B5:M5)</f>
        <v>#REF!</v>
      </c>
      <c r="S5" s="6" t="e">
        <f t="shared" ref="S5:S10" si="1">B5+C5+D5+E5+F5+L5</f>
        <v>#REF!</v>
      </c>
    </row>
    <row r="6" spans="1:21" hidden="1" x14ac:dyDescent="0.2">
      <c r="A6" s="4">
        <v>2002</v>
      </c>
      <c r="B6" s="39" t="e">
        <f>(#REF!+#REF!)/2</f>
        <v>#REF!</v>
      </c>
      <c r="C6" s="39" t="e">
        <f>(#REF!+#REF!)/2</f>
        <v>#REF!</v>
      </c>
      <c r="D6" s="39" t="e">
        <f>(#REF!+#REF!)/2</f>
        <v>#REF!</v>
      </c>
      <c r="E6" s="39" t="e">
        <f>(#REF!+#REF!)/2</f>
        <v>#REF!</v>
      </c>
      <c r="F6" s="39" t="e">
        <f>(#REF!+#REF!)/2</f>
        <v>#REF!</v>
      </c>
      <c r="G6" s="39" t="e">
        <f>(#REF!+#REF!)/2</f>
        <v>#REF!</v>
      </c>
      <c r="H6" s="39">
        <v>0</v>
      </c>
      <c r="I6" s="39"/>
      <c r="J6" s="39" t="e">
        <f>(#REF!+#REF!)/2</f>
        <v>#REF!</v>
      </c>
      <c r="K6" s="39"/>
      <c r="L6" s="39" t="e">
        <f>(#REF!+#REF!)/2</f>
        <v>#REF!</v>
      </c>
      <c r="M6" s="39" t="e">
        <f>(#REF!+#REF!)/2</f>
        <v>#REF!</v>
      </c>
      <c r="N6" s="38" t="e">
        <f t="shared" si="0"/>
        <v>#REF!</v>
      </c>
      <c r="S6" s="6" t="e">
        <f t="shared" si="1"/>
        <v>#REF!</v>
      </c>
    </row>
    <row r="7" spans="1:21" hidden="1" x14ac:dyDescent="0.2">
      <c r="A7" s="4">
        <v>2003</v>
      </c>
      <c r="B7" s="39" t="e">
        <f>(#REF!+#REF!)/2</f>
        <v>#REF!</v>
      </c>
      <c r="C7" s="39" t="e">
        <f>(#REF!+#REF!)/2</f>
        <v>#REF!</v>
      </c>
      <c r="D7" s="39" t="e">
        <f>(#REF!+#REF!)/2</f>
        <v>#REF!</v>
      </c>
      <c r="E7" s="39" t="e">
        <f>(#REF!+#REF!)/2</f>
        <v>#REF!</v>
      </c>
      <c r="F7" s="39" t="e">
        <f>(#REF!+#REF!)/2</f>
        <v>#REF!</v>
      </c>
      <c r="G7" s="39" t="e">
        <f>(#REF!+#REF!)/2</f>
        <v>#REF!</v>
      </c>
      <c r="H7" s="39" t="e">
        <f>(#REF!+#REF!)/2</f>
        <v>#REF!</v>
      </c>
      <c r="I7" s="39"/>
      <c r="J7" s="39" t="e">
        <f>(#REF!+#REF!)/2</f>
        <v>#REF!</v>
      </c>
      <c r="K7" s="39"/>
      <c r="L7" s="39" t="e">
        <f>(#REF!+#REF!)/2</f>
        <v>#REF!</v>
      </c>
      <c r="M7" s="39" t="e">
        <f>(#REF!+#REF!)/2</f>
        <v>#REF!</v>
      </c>
      <c r="N7" s="38" t="e">
        <f t="shared" si="0"/>
        <v>#REF!</v>
      </c>
      <c r="S7" s="6" t="e">
        <f t="shared" si="1"/>
        <v>#REF!</v>
      </c>
    </row>
    <row r="8" spans="1:21" hidden="1" x14ac:dyDescent="0.2">
      <c r="A8" s="4">
        <v>2004</v>
      </c>
      <c r="B8" s="39" t="e">
        <f>(#REF!+#REF!)/2</f>
        <v>#REF!</v>
      </c>
      <c r="C8" s="39" t="e">
        <f>(#REF!+#REF!)/2</f>
        <v>#REF!</v>
      </c>
      <c r="D8" s="39" t="e">
        <f>(#REF!+#REF!)/2</f>
        <v>#REF!</v>
      </c>
      <c r="E8" s="39" t="e">
        <f>(#REF!+#REF!)/2</f>
        <v>#REF!</v>
      </c>
      <c r="F8" s="39" t="e">
        <f>(#REF!+#REF!)/2</f>
        <v>#REF!</v>
      </c>
      <c r="G8" s="39" t="e">
        <f>(#REF!+#REF!)/2</f>
        <v>#REF!</v>
      </c>
      <c r="H8" s="39" t="e">
        <f>(#REF!+#REF!)/2</f>
        <v>#REF!</v>
      </c>
      <c r="I8" s="39"/>
      <c r="J8" s="39" t="e">
        <f>(#REF!+#REF!)/2</f>
        <v>#REF!</v>
      </c>
      <c r="K8" s="39"/>
      <c r="L8" s="39" t="e">
        <f>(#REF!+#REF!)/2</f>
        <v>#REF!</v>
      </c>
      <c r="M8" s="39" t="e">
        <f>(#REF!+#REF!)/2</f>
        <v>#REF!</v>
      </c>
      <c r="N8" s="38" t="e">
        <f t="shared" si="0"/>
        <v>#REF!</v>
      </c>
      <c r="S8" s="6" t="e">
        <f t="shared" si="1"/>
        <v>#REF!</v>
      </c>
    </row>
    <row r="9" spans="1:21" hidden="1" x14ac:dyDescent="0.2">
      <c r="A9" s="4">
        <v>2005</v>
      </c>
      <c r="B9" s="39" t="e">
        <f>(#REF!+#REF!)/2</f>
        <v>#REF!</v>
      </c>
      <c r="C9" s="39" t="e">
        <f>(#REF!+#REF!)/2</f>
        <v>#REF!</v>
      </c>
      <c r="D9" s="39" t="e">
        <f>(#REF!+#REF!)/2</f>
        <v>#REF!</v>
      </c>
      <c r="E9" s="39" t="e">
        <f>(#REF!+#REF!)/2</f>
        <v>#REF!</v>
      </c>
      <c r="F9" s="39" t="e">
        <f>(#REF!+#REF!)/2</f>
        <v>#REF!</v>
      </c>
      <c r="G9" s="39" t="e">
        <f>(#REF!+#REF!)/2</f>
        <v>#REF!</v>
      </c>
      <c r="H9" s="39" t="e">
        <f>(#REF!+#REF!)/2</f>
        <v>#REF!</v>
      </c>
      <c r="I9" s="39"/>
      <c r="J9" s="39" t="e">
        <f>(#REF!+#REF!)/2</f>
        <v>#REF!</v>
      </c>
      <c r="K9" s="39"/>
      <c r="L9" s="39" t="e">
        <f>(#REF!+#REF!)/2</f>
        <v>#REF!</v>
      </c>
      <c r="M9" s="39" t="e">
        <f>(#REF!+#REF!)/2</f>
        <v>#REF!</v>
      </c>
      <c r="N9" s="38" t="e">
        <f t="shared" si="0"/>
        <v>#REF!</v>
      </c>
      <c r="S9" s="6" t="e">
        <f t="shared" si="1"/>
        <v>#REF!</v>
      </c>
    </row>
    <row r="10" spans="1:21" hidden="1" x14ac:dyDescent="0.2">
      <c r="A10" s="4">
        <v>2006</v>
      </c>
      <c r="B10" s="39" t="e">
        <f>(#REF!+#REF!)/2</f>
        <v>#REF!</v>
      </c>
      <c r="C10" s="39" t="e">
        <f>(#REF!+#REF!)/2</f>
        <v>#REF!</v>
      </c>
      <c r="D10" s="39" t="e">
        <f>(#REF!+#REF!)/2</f>
        <v>#REF!</v>
      </c>
      <c r="E10" s="39" t="e">
        <f>(#REF!+#REF!)/2</f>
        <v>#REF!</v>
      </c>
      <c r="F10" s="39" t="e">
        <f>(#REF!+#REF!)/2</f>
        <v>#REF!</v>
      </c>
      <c r="G10" s="39">
        <v>1</v>
      </c>
      <c r="H10" s="39" t="e">
        <f>(#REF!+#REF!)/2</f>
        <v>#REF!</v>
      </c>
      <c r="I10" s="39"/>
      <c r="J10" s="39" t="e">
        <f>#REF!</f>
        <v>#REF!</v>
      </c>
      <c r="K10" s="39"/>
      <c r="L10" s="39" t="e">
        <f>(#REF!+#REF!)/2</f>
        <v>#REF!</v>
      </c>
      <c r="M10" s="39" t="e">
        <f>(#REF!+#REF!)/2</f>
        <v>#REF!</v>
      </c>
      <c r="N10" s="38" t="e">
        <f t="shared" si="0"/>
        <v>#REF!</v>
      </c>
      <c r="S10" s="6" t="e">
        <f t="shared" si="1"/>
        <v>#REF!</v>
      </c>
    </row>
    <row r="11" spans="1:21" x14ac:dyDescent="0.2">
      <c r="A11" s="4">
        <v>2008</v>
      </c>
      <c r="B11" s="246">
        <f t="shared" ref="B11:B20" si="2">(B44+B45)/2</f>
        <v>51351</v>
      </c>
      <c r="C11" s="246">
        <f t="shared" ref="C11:M11" si="3">(C44+C45)/2</f>
        <v>5651.5</v>
      </c>
      <c r="D11" s="246">
        <f t="shared" si="3"/>
        <v>776.5</v>
      </c>
      <c r="E11" s="246">
        <f t="shared" si="3"/>
        <v>33</v>
      </c>
      <c r="F11" s="246">
        <f t="shared" si="3"/>
        <v>2</v>
      </c>
      <c r="G11" s="246">
        <f t="shared" si="3"/>
        <v>15005.5</v>
      </c>
      <c r="H11" s="246">
        <f t="shared" si="3"/>
        <v>138.5</v>
      </c>
      <c r="I11" s="246">
        <f t="shared" si="3"/>
        <v>511.5</v>
      </c>
      <c r="J11" s="246">
        <f t="shared" si="3"/>
        <v>1</v>
      </c>
      <c r="K11" s="246">
        <f t="shared" si="3"/>
        <v>1</v>
      </c>
      <c r="L11" s="246">
        <f t="shared" si="3"/>
        <v>4</v>
      </c>
      <c r="M11" s="246">
        <f t="shared" si="3"/>
        <v>2</v>
      </c>
      <c r="N11" s="25">
        <f t="shared" si="0"/>
        <v>73477.5</v>
      </c>
      <c r="P11" s="39">
        <f>P44</f>
        <v>1</v>
      </c>
      <c r="Q11" s="39">
        <f>Q44</f>
        <v>4</v>
      </c>
      <c r="S11" s="6">
        <f t="shared" ref="S11:S22" si="4">B11+C11+D11+E11+F11+L11+G11+K11</f>
        <v>72824.5</v>
      </c>
      <c r="T11" s="6">
        <f t="shared" ref="T11:T22" si="5">N11-M11-G11</f>
        <v>58470</v>
      </c>
      <c r="U11" s="55">
        <f t="shared" ref="U11:U22" si="6">N11-G11-H11-I11+P11+Q11</f>
        <v>57827</v>
      </c>
    </row>
    <row r="12" spans="1:21" x14ac:dyDescent="0.2">
      <c r="A12" s="4">
        <v>2009</v>
      </c>
      <c r="B12" s="246">
        <f t="shared" si="2"/>
        <v>51969.5</v>
      </c>
      <c r="C12" s="246">
        <f t="shared" ref="C12:M12" si="7">(C45+C46)/2</f>
        <v>5789</v>
      </c>
      <c r="D12" s="246">
        <f t="shared" si="7"/>
        <v>785.625</v>
      </c>
      <c r="E12" s="246">
        <f t="shared" si="7"/>
        <v>31.5</v>
      </c>
      <c r="F12" s="246">
        <f t="shared" si="7"/>
        <v>2</v>
      </c>
      <c r="G12" s="246">
        <f t="shared" si="7"/>
        <v>15099.5</v>
      </c>
      <c r="H12" s="246">
        <f t="shared" si="7"/>
        <v>179.125</v>
      </c>
      <c r="I12" s="246">
        <f t="shared" si="7"/>
        <v>550.375</v>
      </c>
      <c r="J12" s="246">
        <f t="shared" si="7"/>
        <v>1</v>
      </c>
      <c r="K12" s="246">
        <f t="shared" si="7"/>
        <v>1</v>
      </c>
      <c r="L12" s="246">
        <f t="shared" si="7"/>
        <v>4</v>
      </c>
      <c r="M12" s="246">
        <f t="shared" si="7"/>
        <v>2</v>
      </c>
      <c r="N12" s="25">
        <f t="shared" si="0"/>
        <v>74414.625</v>
      </c>
      <c r="P12" s="39">
        <f t="shared" ref="P12:Q12" si="8">P45</f>
        <v>1</v>
      </c>
      <c r="Q12" s="39">
        <f t="shared" si="8"/>
        <v>4</v>
      </c>
      <c r="S12" s="6">
        <f t="shared" si="4"/>
        <v>73682.125</v>
      </c>
      <c r="T12" s="6">
        <f t="shared" si="5"/>
        <v>59313.125</v>
      </c>
      <c r="U12" s="55">
        <f t="shared" si="6"/>
        <v>58590.625</v>
      </c>
    </row>
    <row r="13" spans="1:21" x14ac:dyDescent="0.2">
      <c r="A13" s="4">
        <v>2010</v>
      </c>
      <c r="B13" s="246">
        <f t="shared" si="2"/>
        <v>53053.824999999997</v>
      </c>
      <c r="C13" s="246">
        <f t="shared" ref="C13:M13" si="9">(C46+C47)/2</f>
        <v>5893.3649999999998</v>
      </c>
      <c r="D13" s="246">
        <f t="shared" si="9"/>
        <v>802.59165000000007</v>
      </c>
      <c r="E13" s="246">
        <f t="shared" si="9"/>
        <v>31</v>
      </c>
      <c r="F13" s="246">
        <f t="shared" si="9"/>
        <v>2</v>
      </c>
      <c r="G13" s="246">
        <f t="shared" si="9"/>
        <v>15198.5</v>
      </c>
      <c r="H13" s="246">
        <f t="shared" si="9"/>
        <v>219.19</v>
      </c>
      <c r="I13" s="246">
        <f t="shared" si="9"/>
        <v>588.875</v>
      </c>
      <c r="J13" s="246">
        <f t="shared" si="9"/>
        <v>1</v>
      </c>
      <c r="K13" s="246">
        <f t="shared" si="9"/>
        <v>1</v>
      </c>
      <c r="L13" s="246">
        <f t="shared" si="9"/>
        <v>4</v>
      </c>
      <c r="M13" s="246">
        <f t="shared" si="9"/>
        <v>2</v>
      </c>
      <c r="N13" s="25">
        <f t="shared" si="0"/>
        <v>75797.346649999992</v>
      </c>
      <c r="P13" s="39">
        <f t="shared" ref="P13:Q13" si="10">P46</f>
        <v>1</v>
      </c>
      <c r="Q13" s="39">
        <f t="shared" si="10"/>
        <v>4</v>
      </c>
      <c r="S13" s="6">
        <f t="shared" si="4"/>
        <v>74986.28164999999</v>
      </c>
      <c r="T13" s="6">
        <f t="shared" si="5"/>
        <v>60596.846649999992</v>
      </c>
      <c r="U13" s="55">
        <f t="shared" si="6"/>
        <v>59795.78164999999</v>
      </c>
    </row>
    <row r="14" spans="1:21" x14ac:dyDescent="0.2">
      <c r="A14" s="4">
        <v>2011</v>
      </c>
      <c r="B14" s="246">
        <f t="shared" si="2"/>
        <v>54019.096548117159</v>
      </c>
      <c r="C14" s="246">
        <f t="shared" ref="C14:M14" si="11">(C47+C48)/2</f>
        <v>5932.2793346659046</v>
      </c>
      <c r="D14" s="246">
        <f t="shared" si="11"/>
        <v>822.44998333333342</v>
      </c>
      <c r="E14" s="246">
        <f t="shared" si="11"/>
        <v>33</v>
      </c>
      <c r="F14" s="246">
        <f t="shared" si="11"/>
        <v>2</v>
      </c>
      <c r="G14" s="246">
        <f t="shared" si="11"/>
        <v>15263.5</v>
      </c>
      <c r="H14" s="246">
        <f t="shared" si="11"/>
        <v>189.12055555555554</v>
      </c>
      <c r="I14" s="246">
        <f t="shared" si="11"/>
        <v>564.95000000000005</v>
      </c>
      <c r="J14" s="246">
        <f t="shared" si="11"/>
        <v>1</v>
      </c>
      <c r="K14" s="246">
        <f t="shared" si="11"/>
        <v>1</v>
      </c>
      <c r="L14" s="246">
        <f t="shared" si="11"/>
        <v>4</v>
      </c>
      <c r="M14" s="246">
        <f t="shared" si="11"/>
        <v>2</v>
      </c>
      <c r="N14" s="25">
        <f t="shared" si="0"/>
        <v>76834.396421671932</v>
      </c>
      <c r="P14" s="39">
        <f t="shared" ref="P14:Q14" si="12">P47</f>
        <v>1</v>
      </c>
      <c r="Q14" s="39">
        <f t="shared" si="12"/>
        <v>4</v>
      </c>
      <c r="S14" s="6">
        <f t="shared" si="4"/>
        <v>76077.325866116385</v>
      </c>
      <c r="T14" s="6">
        <f t="shared" si="5"/>
        <v>61568.896421671932</v>
      </c>
      <c r="U14" s="55">
        <f t="shared" si="6"/>
        <v>60821.825866116378</v>
      </c>
    </row>
    <row r="15" spans="1:21" x14ac:dyDescent="0.2">
      <c r="A15" s="4">
        <v>2012</v>
      </c>
      <c r="B15" s="246">
        <f t="shared" si="2"/>
        <v>54633.271548117154</v>
      </c>
      <c r="C15" s="246">
        <f t="shared" ref="C15:M15" si="13">(C48+C49)/2</f>
        <v>5980.4143346659048</v>
      </c>
      <c r="D15" s="246">
        <f t="shared" si="13"/>
        <v>838.98333333333335</v>
      </c>
      <c r="E15" s="246">
        <f t="shared" si="13"/>
        <v>32</v>
      </c>
      <c r="F15" s="246">
        <f t="shared" si="13"/>
        <v>2</v>
      </c>
      <c r="G15" s="246">
        <f t="shared" si="13"/>
        <v>15362</v>
      </c>
      <c r="H15" s="246">
        <f t="shared" si="13"/>
        <v>176.89706230751005</v>
      </c>
      <c r="I15" s="246">
        <f t="shared" si="13"/>
        <v>538.45000000000005</v>
      </c>
      <c r="J15" s="246">
        <f t="shared" si="13"/>
        <v>1</v>
      </c>
      <c r="K15" s="246">
        <f t="shared" si="13"/>
        <v>1</v>
      </c>
      <c r="L15" s="246">
        <f t="shared" si="13"/>
        <v>4</v>
      </c>
      <c r="M15" s="246">
        <f t="shared" si="13"/>
        <v>2</v>
      </c>
      <c r="N15" s="25">
        <f t="shared" si="0"/>
        <v>77572.016278423907</v>
      </c>
      <c r="P15" s="39">
        <f t="shared" ref="P15:Q15" si="14">P48</f>
        <v>1</v>
      </c>
      <c r="Q15" s="39">
        <f t="shared" si="14"/>
        <v>4</v>
      </c>
      <c r="S15" s="6">
        <f t="shared" si="4"/>
        <v>76853.669216116396</v>
      </c>
      <c r="T15" s="6">
        <f t="shared" si="5"/>
        <v>62208.016278423907</v>
      </c>
      <c r="U15" s="55">
        <f t="shared" si="6"/>
        <v>61499.669216116403</v>
      </c>
    </row>
    <row r="16" spans="1:21" x14ac:dyDescent="0.2">
      <c r="A16" s="4">
        <v>2013</v>
      </c>
      <c r="B16" s="246">
        <f t="shared" si="2"/>
        <v>55069.766666666663</v>
      </c>
      <c r="C16" s="246">
        <f t="shared" ref="C16:M16" si="15">(C49+C50)/2</f>
        <v>6004.383517763541</v>
      </c>
      <c r="D16" s="246">
        <f t="shared" si="15"/>
        <v>840.00026063386156</v>
      </c>
      <c r="E16" s="246">
        <f t="shared" si="15"/>
        <v>29.5</v>
      </c>
      <c r="F16" s="246">
        <f t="shared" si="15"/>
        <v>2.5</v>
      </c>
      <c r="G16" s="246">
        <f t="shared" si="15"/>
        <v>15453.073785272187</v>
      </c>
      <c r="H16" s="246">
        <f t="shared" si="15"/>
        <v>190.6022269604359</v>
      </c>
      <c r="I16" s="246">
        <f t="shared" si="15"/>
        <v>534</v>
      </c>
      <c r="J16" s="246">
        <f t="shared" si="15"/>
        <v>1</v>
      </c>
      <c r="K16" s="246">
        <f t="shared" si="15"/>
        <v>1</v>
      </c>
      <c r="L16" s="246">
        <f t="shared" si="15"/>
        <v>4</v>
      </c>
      <c r="M16" s="246">
        <f t="shared" si="15"/>
        <v>2</v>
      </c>
      <c r="N16" s="25">
        <f t="shared" si="0"/>
        <v>78131.826457296687</v>
      </c>
      <c r="P16" s="39">
        <f t="shared" ref="P16:Q16" si="16">P49</f>
        <v>1</v>
      </c>
      <c r="Q16" s="39">
        <f t="shared" si="16"/>
        <v>4</v>
      </c>
      <c r="S16" s="6">
        <f t="shared" si="4"/>
        <v>77404.224230336258</v>
      </c>
      <c r="T16" s="6">
        <f t="shared" si="5"/>
        <v>62676.7526720245</v>
      </c>
      <c r="U16" s="55">
        <f t="shared" si="6"/>
        <v>61959.150445064064</v>
      </c>
    </row>
    <row r="17" spans="1:22" x14ac:dyDescent="0.2">
      <c r="A17" s="4">
        <v>2014</v>
      </c>
      <c r="B17" s="246">
        <f t="shared" si="2"/>
        <v>55463.033333333333</v>
      </c>
      <c r="C17" s="246">
        <f t="shared" ref="C17:M17" si="17">(C50+C51)/2</f>
        <v>6056.767035527082</v>
      </c>
      <c r="D17" s="246">
        <f t="shared" si="17"/>
        <v>825.00052126772312</v>
      </c>
      <c r="E17" s="246">
        <f t="shared" si="17"/>
        <v>29</v>
      </c>
      <c r="F17" s="246">
        <f t="shared" si="17"/>
        <v>2.5</v>
      </c>
      <c r="G17" s="246">
        <f t="shared" si="17"/>
        <v>15512.073785272187</v>
      </c>
      <c r="H17" s="246">
        <f t="shared" si="17"/>
        <v>188.52144041696278</v>
      </c>
      <c r="I17" s="246">
        <f t="shared" si="17"/>
        <v>531</v>
      </c>
      <c r="J17" s="246">
        <f t="shared" si="17"/>
        <v>1</v>
      </c>
      <c r="K17" s="246">
        <f t="shared" si="17"/>
        <v>1</v>
      </c>
      <c r="L17" s="246">
        <f t="shared" si="17"/>
        <v>4</v>
      </c>
      <c r="M17" s="246">
        <f t="shared" si="17"/>
        <v>2</v>
      </c>
      <c r="N17" s="25">
        <f t="shared" si="0"/>
        <v>78615.89611581729</v>
      </c>
      <c r="P17" s="39">
        <f t="shared" ref="P17:Q17" si="18">P50</f>
        <v>1</v>
      </c>
      <c r="Q17" s="39">
        <f t="shared" si="18"/>
        <v>4</v>
      </c>
      <c r="S17" s="6">
        <f t="shared" si="4"/>
        <v>77893.374675400322</v>
      </c>
      <c r="T17" s="6">
        <f t="shared" si="5"/>
        <v>63101.822330545103</v>
      </c>
      <c r="U17" s="55">
        <f t="shared" si="6"/>
        <v>62389.300890128143</v>
      </c>
    </row>
    <row r="18" spans="1:22" x14ac:dyDescent="0.2">
      <c r="A18" s="4">
        <v>2015</v>
      </c>
      <c r="B18" s="246">
        <f t="shared" si="2"/>
        <v>55921.837967914442</v>
      </c>
      <c r="C18" s="246">
        <f t="shared" ref="C18:M18" si="19">(C51+C52)/2</f>
        <v>6149.0998196068595</v>
      </c>
      <c r="D18" s="246">
        <f t="shared" si="19"/>
        <v>807.93707304671102</v>
      </c>
      <c r="E18" s="246">
        <f t="shared" si="19"/>
        <v>29</v>
      </c>
      <c r="F18" s="246">
        <f t="shared" si="19"/>
        <v>2</v>
      </c>
      <c r="G18" s="246">
        <f t="shared" si="19"/>
        <v>15538.5</v>
      </c>
      <c r="H18" s="246">
        <f t="shared" si="19"/>
        <v>188.78204217010187</v>
      </c>
      <c r="I18" s="246">
        <f t="shared" si="19"/>
        <v>534</v>
      </c>
      <c r="J18" s="246">
        <f t="shared" si="19"/>
        <v>1</v>
      </c>
      <c r="K18" s="246">
        <f t="shared" si="19"/>
        <v>1</v>
      </c>
      <c r="L18" s="246">
        <f t="shared" si="19"/>
        <v>4</v>
      </c>
      <c r="M18" s="246">
        <f t="shared" si="19"/>
        <v>2</v>
      </c>
      <c r="N18" s="25">
        <f t="shared" si="0"/>
        <v>79179.156902738119</v>
      </c>
      <c r="P18" s="39">
        <f t="shared" ref="P18:Q18" si="20">P51</f>
        <v>1</v>
      </c>
      <c r="Q18" s="39">
        <f t="shared" si="20"/>
        <v>4</v>
      </c>
      <c r="S18" s="6">
        <f t="shared" si="4"/>
        <v>78453.374860568016</v>
      </c>
      <c r="T18" s="6">
        <f t="shared" si="5"/>
        <v>63638.656902738119</v>
      </c>
      <c r="U18" s="55">
        <f t="shared" si="6"/>
        <v>62922.874860568016</v>
      </c>
    </row>
    <row r="19" spans="1:22" x14ac:dyDescent="0.2">
      <c r="A19" s="4">
        <v>2016</v>
      </c>
      <c r="B19" s="246">
        <f t="shared" si="2"/>
        <v>56560.571301247772</v>
      </c>
      <c r="C19" s="246">
        <f t="shared" ref="C19:M20" si="21">(C52+C53)/2</f>
        <v>6240.7163018433184</v>
      </c>
      <c r="D19" s="246">
        <f t="shared" si="21"/>
        <v>805.93681241284958</v>
      </c>
      <c r="E19" s="246">
        <f t="shared" si="21"/>
        <v>28.5</v>
      </c>
      <c r="F19" s="246">
        <f t="shared" si="21"/>
        <v>2</v>
      </c>
      <c r="G19" s="246">
        <f t="shared" si="21"/>
        <v>15726</v>
      </c>
      <c r="H19" s="246">
        <f t="shared" si="21"/>
        <v>181.02132196162046</v>
      </c>
      <c r="I19" s="246">
        <f t="shared" si="21"/>
        <v>523</v>
      </c>
      <c r="J19" s="246">
        <f t="shared" si="21"/>
        <v>1</v>
      </c>
      <c r="K19" s="246">
        <f t="shared" si="21"/>
        <v>1</v>
      </c>
      <c r="L19" s="246">
        <f t="shared" si="21"/>
        <v>4</v>
      </c>
      <c r="M19" s="246">
        <f t="shared" si="21"/>
        <v>2</v>
      </c>
      <c r="N19" s="25">
        <f t="shared" si="0"/>
        <v>80075.745737465564</v>
      </c>
      <c r="P19" s="39">
        <f t="shared" ref="P19:Q19" si="22">P52</f>
        <v>1</v>
      </c>
      <c r="Q19" s="39">
        <f t="shared" si="22"/>
        <v>4</v>
      </c>
      <c r="S19" s="6">
        <f t="shared" si="4"/>
        <v>79368.724415503937</v>
      </c>
      <c r="T19" s="6">
        <f t="shared" si="5"/>
        <v>64347.745737465564</v>
      </c>
      <c r="U19" s="55">
        <f t="shared" si="6"/>
        <v>63650.724415503944</v>
      </c>
    </row>
    <row r="20" spans="1:22" x14ac:dyDescent="0.2">
      <c r="A20" s="4">
        <v>2017</v>
      </c>
      <c r="B20" s="246">
        <f t="shared" si="2"/>
        <v>57271.5</v>
      </c>
      <c r="C20" s="246">
        <f t="shared" si="21"/>
        <v>6297.5</v>
      </c>
      <c r="D20" s="246">
        <f t="shared" si="21"/>
        <v>796</v>
      </c>
      <c r="E20" s="246">
        <f t="shared" si="21"/>
        <v>28</v>
      </c>
      <c r="F20" s="246">
        <f t="shared" si="21"/>
        <v>2</v>
      </c>
      <c r="G20" s="246">
        <f t="shared" si="21"/>
        <v>16024</v>
      </c>
      <c r="H20" s="246">
        <f t="shared" si="21"/>
        <v>168</v>
      </c>
      <c r="I20" s="246">
        <f t="shared" si="21"/>
        <v>499</v>
      </c>
      <c r="J20" s="246">
        <f t="shared" si="21"/>
        <v>1</v>
      </c>
      <c r="K20" s="246">
        <f t="shared" si="21"/>
        <v>1</v>
      </c>
      <c r="L20" s="246">
        <f t="shared" si="21"/>
        <v>4</v>
      </c>
      <c r="M20" s="246">
        <f t="shared" si="21"/>
        <v>2</v>
      </c>
      <c r="N20" s="25">
        <f t="shared" si="0"/>
        <v>81094</v>
      </c>
      <c r="P20" s="39">
        <f t="shared" ref="P20:Q20" si="23">P53</f>
        <v>1</v>
      </c>
      <c r="Q20" s="39">
        <f t="shared" si="23"/>
        <v>4</v>
      </c>
      <c r="S20" s="6">
        <f t="shared" si="4"/>
        <v>80424</v>
      </c>
      <c r="T20" s="6">
        <f t="shared" si="5"/>
        <v>65068</v>
      </c>
      <c r="U20" s="55">
        <f t="shared" si="6"/>
        <v>64408</v>
      </c>
    </row>
    <row r="21" spans="1:22" x14ac:dyDescent="0.2">
      <c r="A21" s="4">
        <v>2018</v>
      </c>
      <c r="B21" s="19">
        <f t="shared" ref="B21:M21" si="24">B20*B36</f>
        <v>57970.103375516119</v>
      </c>
      <c r="C21" s="19">
        <f t="shared" si="24"/>
        <v>6373.6893471967605</v>
      </c>
      <c r="D21" s="19">
        <f t="shared" si="24"/>
        <v>798.19667260588278</v>
      </c>
      <c r="E21" s="19">
        <f t="shared" si="24"/>
        <v>27.493472574956247</v>
      </c>
      <c r="F21" s="19">
        <f t="shared" si="24"/>
        <v>2</v>
      </c>
      <c r="G21" s="19">
        <f t="shared" si="24"/>
        <v>16141.350826567697</v>
      </c>
      <c r="H21" s="19">
        <f t="shared" si="24"/>
        <v>168</v>
      </c>
      <c r="I21" s="19">
        <f t="shared" si="24"/>
        <v>499</v>
      </c>
      <c r="J21" s="19">
        <f t="shared" si="24"/>
        <v>1</v>
      </c>
      <c r="K21" s="19">
        <f t="shared" si="24"/>
        <v>1</v>
      </c>
      <c r="L21" s="19">
        <f t="shared" si="24"/>
        <v>4</v>
      </c>
      <c r="M21" s="19">
        <f t="shared" si="24"/>
        <v>2</v>
      </c>
      <c r="N21" s="19">
        <f t="shared" si="0"/>
        <v>81987.833694461413</v>
      </c>
      <c r="P21" s="19">
        <f>P20*P36</f>
        <v>1</v>
      </c>
      <c r="Q21" s="19">
        <f>Q20*Q36</f>
        <v>4</v>
      </c>
      <c r="S21" s="6">
        <f t="shared" si="4"/>
        <v>81317.833694461413</v>
      </c>
      <c r="T21" s="6">
        <f t="shared" si="5"/>
        <v>65844.482867893719</v>
      </c>
      <c r="U21" s="55">
        <f t="shared" si="6"/>
        <v>65184.482867893719</v>
      </c>
      <c r="V21">
        <f>U21/U11</f>
        <v>1.1272326571998152</v>
      </c>
    </row>
    <row r="22" spans="1:22" x14ac:dyDescent="0.2">
      <c r="A22" s="4">
        <v>2019</v>
      </c>
      <c r="B22" s="19">
        <f t="shared" ref="B22:M22" si="25">B21*B36</f>
        <v>58677.228383541995</v>
      </c>
      <c r="C22" s="19">
        <f t="shared" si="25"/>
        <v>6450.8004596378669</v>
      </c>
      <c r="D22" s="19">
        <f t="shared" si="25"/>
        <v>800.39940723505379</v>
      </c>
      <c r="E22" s="19">
        <f t="shared" si="25"/>
        <v>26.996108365352548</v>
      </c>
      <c r="F22" s="19">
        <f t="shared" si="25"/>
        <v>2</v>
      </c>
      <c r="G22" s="19">
        <f t="shared" si="25"/>
        <v>16259.561065048532</v>
      </c>
      <c r="H22" s="19">
        <f t="shared" si="25"/>
        <v>168</v>
      </c>
      <c r="I22" s="19">
        <f t="shared" si="25"/>
        <v>499</v>
      </c>
      <c r="J22" s="19">
        <f t="shared" si="25"/>
        <v>1</v>
      </c>
      <c r="K22" s="19">
        <f t="shared" si="25"/>
        <v>1</v>
      </c>
      <c r="L22" s="19">
        <f t="shared" si="25"/>
        <v>4</v>
      </c>
      <c r="M22" s="19">
        <f t="shared" si="25"/>
        <v>2</v>
      </c>
      <c r="N22" s="19">
        <f t="shared" si="0"/>
        <v>82891.985423828795</v>
      </c>
      <c r="P22" s="19">
        <f>P21*P36</f>
        <v>1</v>
      </c>
      <c r="Q22" s="19">
        <f>Q21*Q36</f>
        <v>4</v>
      </c>
      <c r="S22" s="6">
        <f t="shared" si="4"/>
        <v>82221.985423828795</v>
      </c>
      <c r="T22" s="6">
        <f t="shared" si="5"/>
        <v>66630.424358780263</v>
      </c>
      <c r="U22" s="55">
        <f t="shared" si="6"/>
        <v>65970.424358780263</v>
      </c>
      <c r="V22">
        <f>U22/U12</f>
        <v>1.1259552933388279</v>
      </c>
    </row>
    <row r="23" spans="1:22" x14ac:dyDescent="0.2">
      <c r="A23" s="18"/>
    </row>
    <row r="24" spans="1:22" x14ac:dyDescent="0.2">
      <c r="A24" s="17" t="s">
        <v>45</v>
      </c>
      <c r="B24" s="5"/>
      <c r="C24" s="5"/>
      <c r="D24" s="5"/>
      <c r="E24" s="5"/>
      <c r="F24" s="5"/>
      <c r="G24" s="5"/>
      <c r="H24" s="22"/>
      <c r="I24" s="22"/>
      <c r="J24" s="5"/>
      <c r="K24" s="5"/>
    </row>
    <row r="25" spans="1:22" x14ac:dyDescent="0.2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22" x14ac:dyDescent="0.2">
      <c r="A26" s="4">
        <v>2009</v>
      </c>
      <c r="B26" s="22">
        <f t="shared" ref="B26:K26" si="26">B12/B11</f>
        <v>1.0120445560943312</v>
      </c>
      <c r="C26" s="22">
        <f t="shared" si="26"/>
        <v>1.0243298239405467</v>
      </c>
      <c r="D26" s="22">
        <f t="shared" si="26"/>
        <v>1.0117514488087573</v>
      </c>
      <c r="E26" s="22">
        <f t="shared" si="26"/>
        <v>0.95454545454545459</v>
      </c>
      <c r="F26" s="22">
        <f t="shared" si="26"/>
        <v>1</v>
      </c>
      <c r="G26" s="22">
        <f t="shared" si="26"/>
        <v>1.0062643697310987</v>
      </c>
      <c r="H26" s="22">
        <f t="shared" si="26"/>
        <v>1.2933212996389891</v>
      </c>
      <c r="I26" s="22">
        <f t="shared" si="26"/>
        <v>1.076001955034213</v>
      </c>
      <c r="J26" s="22">
        <f t="shared" si="26"/>
        <v>1</v>
      </c>
      <c r="K26" s="22">
        <f t="shared" si="26"/>
        <v>1</v>
      </c>
    </row>
    <row r="27" spans="1:22" x14ac:dyDescent="0.2">
      <c r="A27" s="4">
        <v>2010</v>
      </c>
      <c r="B27" s="22">
        <f t="shared" ref="B27:B34" si="27">B13/B12</f>
        <v>1.0208646417610328</v>
      </c>
      <c r="C27" s="22">
        <f t="shared" ref="C27:M27" si="28">C13/C12</f>
        <v>1.0180281568491967</v>
      </c>
      <c r="D27" s="22">
        <f t="shared" si="28"/>
        <v>1.0215963723150359</v>
      </c>
      <c r="E27" s="22">
        <f t="shared" si="28"/>
        <v>0.98412698412698407</v>
      </c>
      <c r="F27" s="22">
        <f t="shared" si="28"/>
        <v>1</v>
      </c>
      <c r="G27" s="22">
        <f t="shared" si="28"/>
        <v>1.0065565084936587</v>
      </c>
      <c r="H27" s="22">
        <f t="shared" si="28"/>
        <v>1.2236706210746686</v>
      </c>
      <c r="I27" s="22">
        <f t="shared" si="28"/>
        <v>1.0699523052464228</v>
      </c>
      <c r="J27" s="22">
        <f t="shared" si="28"/>
        <v>1</v>
      </c>
      <c r="K27" s="22">
        <f t="shared" si="28"/>
        <v>1</v>
      </c>
      <c r="L27" s="22">
        <f t="shared" si="28"/>
        <v>1</v>
      </c>
      <c r="M27" s="22">
        <f t="shared" si="28"/>
        <v>1</v>
      </c>
      <c r="P27" s="22">
        <f t="shared" ref="P27:Q33" si="29">P13/P12</f>
        <v>1</v>
      </c>
      <c r="Q27" s="22">
        <f t="shared" si="29"/>
        <v>1</v>
      </c>
    </row>
    <row r="28" spans="1:22" x14ac:dyDescent="0.2">
      <c r="A28" s="4">
        <v>2011</v>
      </c>
      <c r="B28" s="22">
        <f t="shared" si="27"/>
        <v>1.0181941933143777</v>
      </c>
      <c r="C28" s="22">
        <f t="shared" ref="C28:M28" si="30">C14/C13</f>
        <v>1.0066030756055164</v>
      </c>
      <c r="D28" s="22">
        <f t="shared" si="30"/>
        <v>1.024742760946159</v>
      </c>
      <c r="E28" s="22">
        <f t="shared" si="30"/>
        <v>1.064516129032258</v>
      </c>
      <c r="F28" s="22">
        <f t="shared" si="30"/>
        <v>1</v>
      </c>
      <c r="G28" s="22">
        <f t="shared" si="30"/>
        <v>1.0042767378359707</v>
      </c>
      <c r="H28" s="74">
        <f t="shared" si="30"/>
        <v>0.86281561912293236</v>
      </c>
      <c r="I28" s="74">
        <f t="shared" si="30"/>
        <v>0.95937168329441735</v>
      </c>
      <c r="J28" s="74">
        <f t="shared" si="30"/>
        <v>1</v>
      </c>
      <c r="K28" s="74">
        <f t="shared" si="30"/>
        <v>1</v>
      </c>
      <c r="L28" s="22">
        <f t="shared" si="30"/>
        <v>1</v>
      </c>
      <c r="M28" s="22">
        <f t="shared" si="30"/>
        <v>1</v>
      </c>
      <c r="P28" s="22">
        <f t="shared" si="29"/>
        <v>1</v>
      </c>
      <c r="Q28" s="22">
        <f t="shared" si="29"/>
        <v>1</v>
      </c>
    </row>
    <row r="29" spans="1:22" x14ac:dyDescent="0.2">
      <c r="A29" s="4">
        <v>2012</v>
      </c>
      <c r="B29" s="22">
        <f t="shared" si="27"/>
        <v>1.011369590371674</v>
      </c>
      <c r="C29" s="22">
        <f t="shared" ref="C29:M29" si="31">C15/C14</f>
        <v>1.0081140818367602</v>
      </c>
      <c r="D29" s="22">
        <f t="shared" si="31"/>
        <v>1.0201025598334763</v>
      </c>
      <c r="E29" s="22">
        <f t="shared" si="31"/>
        <v>0.96969696969696972</v>
      </c>
      <c r="F29" s="22">
        <f t="shared" si="31"/>
        <v>1</v>
      </c>
      <c r="G29" s="22">
        <f t="shared" si="31"/>
        <v>1.0064533036328496</v>
      </c>
      <c r="H29" s="22">
        <f t="shared" si="31"/>
        <v>0.93536665957786513</v>
      </c>
      <c r="I29" s="22">
        <f t="shared" si="31"/>
        <v>0.95309319408797244</v>
      </c>
      <c r="J29" s="22">
        <f t="shared" si="31"/>
        <v>1</v>
      </c>
      <c r="K29" s="22">
        <f t="shared" si="31"/>
        <v>1</v>
      </c>
      <c r="L29" s="22">
        <f t="shared" si="31"/>
        <v>1</v>
      </c>
      <c r="M29" s="22">
        <f t="shared" si="31"/>
        <v>1</v>
      </c>
      <c r="P29" s="22">
        <f t="shared" si="29"/>
        <v>1</v>
      </c>
      <c r="Q29" s="22">
        <f t="shared" si="29"/>
        <v>1</v>
      </c>
    </row>
    <row r="30" spans="1:22" x14ac:dyDescent="0.2">
      <c r="A30" s="4">
        <v>2013</v>
      </c>
      <c r="B30" s="22">
        <f t="shared" si="27"/>
        <v>1.0079895475079701</v>
      </c>
      <c r="C30" s="22">
        <f t="shared" ref="C30:M30" si="32">C16/C15</f>
        <v>1.0040079469007184</v>
      </c>
      <c r="D30" s="22">
        <f t="shared" si="32"/>
        <v>1.0012120947581735</v>
      </c>
      <c r="E30" s="22">
        <f t="shared" si="32"/>
        <v>0.921875</v>
      </c>
      <c r="F30" s="22">
        <f t="shared" si="32"/>
        <v>1.25</v>
      </c>
      <c r="G30" s="22">
        <f t="shared" si="32"/>
        <v>1.0059285109537943</v>
      </c>
      <c r="H30" s="22">
        <f t="shared" si="32"/>
        <v>1.0774753660357648</v>
      </c>
      <c r="I30" s="22">
        <f t="shared" si="32"/>
        <v>0.99173553719008256</v>
      </c>
      <c r="J30" s="22">
        <f t="shared" si="32"/>
        <v>1</v>
      </c>
      <c r="K30" s="22">
        <f t="shared" si="32"/>
        <v>1</v>
      </c>
      <c r="L30" s="22">
        <f t="shared" si="32"/>
        <v>1</v>
      </c>
      <c r="M30" s="22">
        <f t="shared" si="32"/>
        <v>1</v>
      </c>
      <c r="P30" s="22">
        <f t="shared" si="29"/>
        <v>1</v>
      </c>
      <c r="Q30" s="22">
        <f t="shared" si="29"/>
        <v>1</v>
      </c>
    </row>
    <row r="31" spans="1:22" x14ac:dyDescent="0.2">
      <c r="A31" s="4">
        <v>2014</v>
      </c>
      <c r="B31" s="22">
        <f t="shared" si="27"/>
        <v>1.0071412444698937</v>
      </c>
      <c r="C31" s="22">
        <f t="shared" ref="C31:M31" si="33">C17/C16</f>
        <v>1.0087242125038429</v>
      </c>
      <c r="D31" s="22">
        <f t="shared" si="33"/>
        <v>0.98214317296185161</v>
      </c>
      <c r="E31" s="22">
        <f t="shared" si="33"/>
        <v>0.98305084745762716</v>
      </c>
      <c r="F31" s="22">
        <f t="shared" si="33"/>
        <v>1</v>
      </c>
      <c r="G31" s="22">
        <f t="shared" si="33"/>
        <v>1.0038180106314014</v>
      </c>
      <c r="H31" s="22">
        <f t="shared" si="33"/>
        <v>0.98908309427095498</v>
      </c>
      <c r="I31" s="22">
        <f t="shared" si="33"/>
        <v>0.9943820224719101</v>
      </c>
      <c r="J31" s="22">
        <f t="shared" si="33"/>
        <v>1</v>
      </c>
      <c r="K31" s="22">
        <f t="shared" si="33"/>
        <v>1</v>
      </c>
      <c r="L31" s="22">
        <f t="shared" si="33"/>
        <v>1</v>
      </c>
      <c r="M31" s="22">
        <f t="shared" si="33"/>
        <v>1</v>
      </c>
      <c r="P31" s="22">
        <f t="shared" si="29"/>
        <v>1</v>
      </c>
      <c r="Q31" s="22">
        <f t="shared" si="29"/>
        <v>1</v>
      </c>
    </row>
    <row r="32" spans="1:22" x14ac:dyDescent="0.2">
      <c r="A32" s="4">
        <v>2015</v>
      </c>
      <c r="B32" s="22">
        <f t="shared" si="27"/>
        <v>1.0082722600443379</v>
      </c>
      <c r="C32" s="22">
        <f t="shared" ref="C32:M32" si="34">C18/C17</f>
        <v>1.0152445658778326</v>
      </c>
      <c r="D32" s="22">
        <f t="shared" si="34"/>
        <v>0.97931704552769028</v>
      </c>
      <c r="E32" s="22">
        <f t="shared" si="34"/>
        <v>1</v>
      </c>
      <c r="F32" s="22">
        <f t="shared" si="34"/>
        <v>0.8</v>
      </c>
      <c r="G32" s="22">
        <f t="shared" si="34"/>
        <v>1.0017035900611111</v>
      </c>
      <c r="H32" s="22">
        <f t="shared" si="34"/>
        <v>1.0013823454380717</v>
      </c>
      <c r="I32" s="22">
        <f t="shared" si="34"/>
        <v>1.0056497175141244</v>
      </c>
      <c r="J32" s="22">
        <f t="shared" si="34"/>
        <v>1</v>
      </c>
      <c r="K32" s="22">
        <f t="shared" si="34"/>
        <v>1</v>
      </c>
      <c r="L32" s="22">
        <f t="shared" si="34"/>
        <v>1</v>
      </c>
      <c r="M32" s="22">
        <f t="shared" si="34"/>
        <v>1</v>
      </c>
      <c r="P32" s="22">
        <f t="shared" si="29"/>
        <v>1</v>
      </c>
      <c r="Q32" s="22">
        <f t="shared" si="29"/>
        <v>1</v>
      </c>
    </row>
    <row r="33" spans="1:21" x14ac:dyDescent="0.2">
      <c r="A33" s="4">
        <v>2016</v>
      </c>
      <c r="B33" s="22">
        <f t="shared" si="27"/>
        <v>1.0114218944967404</v>
      </c>
      <c r="C33" s="22">
        <f t="shared" ref="C33:M33" si="35">C19/C18</f>
        <v>1.0148991697848737</v>
      </c>
      <c r="D33" s="22">
        <f t="shared" si="35"/>
        <v>0.99752423709643812</v>
      </c>
      <c r="E33" s="22">
        <f t="shared" si="35"/>
        <v>0.98275862068965514</v>
      </c>
      <c r="F33" s="22">
        <f t="shared" si="35"/>
        <v>1</v>
      </c>
      <c r="G33" s="22">
        <f t="shared" si="35"/>
        <v>1.0120668018148471</v>
      </c>
      <c r="H33" s="22">
        <f t="shared" si="35"/>
        <v>0.95889058027305041</v>
      </c>
      <c r="I33" s="22">
        <f t="shared" si="35"/>
        <v>0.97940074906367036</v>
      </c>
      <c r="J33" s="22">
        <f t="shared" si="35"/>
        <v>1</v>
      </c>
      <c r="K33" s="22">
        <f t="shared" si="35"/>
        <v>1</v>
      </c>
      <c r="L33" s="22">
        <f t="shared" si="35"/>
        <v>1</v>
      </c>
      <c r="M33" s="22">
        <f t="shared" si="35"/>
        <v>1</v>
      </c>
      <c r="P33" s="22">
        <f t="shared" si="29"/>
        <v>1</v>
      </c>
      <c r="Q33" s="22">
        <f t="shared" si="29"/>
        <v>1</v>
      </c>
    </row>
    <row r="34" spans="1:21" x14ac:dyDescent="0.2">
      <c r="A34" s="4">
        <v>2017</v>
      </c>
      <c r="B34" s="22">
        <f t="shared" si="27"/>
        <v>1.012569333767259</v>
      </c>
      <c r="C34" s="22">
        <f t="shared" ref="C34:M34" si="36">C20/C19</f>
        <v>1.0090989071462693</v>
      </c>
      <c r="D34" s="22">
        <f t="shared" si="36"/>
        <v>0.98767048202811292</v>
      </c>
      <c r="E34" s="22">
        <f t="shared" si="36"/>
        <v>0.98245614035087714</v>
      </c>
      <c r="F34" s="22">
        <f t="shared" si="36"/>
        <v>1</v>
      </c>
      <c r="G34" s="22">
        <f t="shared" si="36"/>
        <v>1.0189495103650006</v>
      </c>
      <c r="H34" s="22">
        <f t="shared" si="36"/>
        <v>0.92806746840363263</v>
      </c>
      <c r="I34" s="22">
        <f t="shared" si="36"/>
        <v>0.95411089866156784</v>
      </c>
      <c r="J34" s="22">
        <f t="shared" si="36"/>
        <v>1</v>
      </c>
      <c r="K34" s="22">
        <f t="shared" si="36"/>
        <v>1</v>
      </c>
      <c r="L34" s="22">
        <f t="shared" si="36"/>
        <v>1</v>
      </c>
      <c r="M34" s="22">
        <f t="shared" si="36"/>
        <v>1</v>
      </c>
      <c r="P34" s="22"/>
      <c r="Q34" s="22"/>
    </row>
    <row r="36" spans="1:21" x14ac:dyDescent="0.2">
      <c r="A36" t="s">
        <v>60</v>
      </c>
      <c r="B36" s="23">
        <f>B38</f>
        <v>1.0121980981031773</v>
      </c>
      <c r="C36" s="23">
        <f t="shared" ref="C36:L36" si="37">C38</f>
        <v>1.012098348105877</v>
      </c>
      <c r="D36" s="23">
        <f t="shared" si="37"/>
        <v>1.0027596389521141</v>
      </c>
      <c r="E36" s="23">
        <f t="shared" si="37"/>
        <v>0.98190973481986599</v>
      </c>
      <c r="F36" s="23">
        <v>1</v>
      </c>
      <c r="G36" s="23">
        <f t="shared" si="37"/>
        <v>1.0073234414982337</v>
      </c>
      <c r="H36" s="23">
        <v>1</v>
      </c>
      <c r="I36" s="23">
        <v>1</v>
      </c>
      <c r="J36" s="23">
        <f t="shared" si="37"/>
        <v>1</v>
      </c>
      <c r="K36" s="23">
        <v>1</v>
      </c>
      <c r="L36" s="23">
        <f t="shared" si="37"/>
        <v>1</v>
      </c>
      <c r="M36" s="23">
        <f t="shared" ref="M36" si="38">M38</f>
        <v>1</v>
      </c>
      <c r="P36" s="23">
        <f t="shared" ref="P36:Q36" si="39">P38</f>
        <v>1</v>
      </c>
      <c r="Q36" s="23">
        <f t="shared" si="39"/>
        <v>1</v>
      </c>
    </row>
    <row r="37" spans="1:2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21" x14ac:dyDescent="0.2">
      <c r="A38" t="s">
        <v>17</v>
      </c>
      <c r="B38" s="23">
        <f>GEOMEAN(B26:B34)</f>
        <v>1.0121980981031773</v>
      </c>
      <c r="C38" s="23">
        <f t="shared" ref="C38:M38" si="40">GEOMEAN(C26:C34)</f>
        <v>1.012098348105877</v>
      </c>
      <c r="D38" s="23">
        <f t="shared" si="40"/>
        <v>1.0027596389521141</v>
      </c>
      <c r="E38" s="23">
        <f t="shared" si="40"/>
        <v>0.98190973481986599</v>
      </c>
      <c r="F38" s="23">
        <f t="shared" si="40"/>
        <v>1</v>
      </c>
      <c r="G38" s="23">
        <f t="shared" si="40"/>
        <v>1.0073234414982337</v>
      </c>
      <c r="H38" s="23">
        <f t="shared" si="40"/>
        <v>1.0216866605719344</v>
      </c>
      <c r="I38" s="23">
        <f t="shared" si="40"/>
        <v>0.99725472078540367</v>
      </c>
      <c r="J38" s="23">
        <f t="shared" si="40"/>
        <v>1</v>
      </c>
      <c r="K38" s="23">
        <f t="shared" si="40"/>
        <v>1</v>
      </c>
      <c r="L38" s="23">
        <f t="shared" si="40"/>
        <v>1</v>
      </c>
      <c r="M38" s="23">
        <f t="shared" si="40"/>
        <v>1</v>
      </c>
      <c r="P38" s="23">
        <f>GEOMEAN(P26:P33)</f>
        <v>1</v>
      </c>
      <c r="Q38" s="23">
        <f>GEOMEAN(Q26:Q33)</f>
        <v>1</v>
      </c>
    </row>
    <row r="39" spans="1:21" x14ac:dyDescent="0.2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21" x14ac:dyDescent="0.2">
      <c r="A40" s="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21" x14ac:dyDescent="0.2">
      <c r="A41" s="4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21" x14ac:dyDescent="0.2">
      <c r="A42" s="4"/>
      <c r="B42" s="61"/>
      <c r="C42" s="23"/>
      <c r="D42" s="23"/>
      <c r="H42" s="23"/>
      <c r="I42" s="23"/>
      <c r="J42" s="23"/>
      <c r="K42" s="23"/>
    </row>
    <row r="43" spans="1:21" x14ac:dyDescent="0.2">
      <c r="A43" s="4" t="s">
        <v>196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1" x14ac:dyDescent="0.2">
      <c r="A44" s="4">
        <v>2007</v>
      </c>
      <c r="B44" s="246">
        <f t="shared" ref="B44:M44" si="41">B57+B70</f>
        <v>51174</v>
      </c>
      <c r="C44" s="246">
        <f t="shared" si="41"/>
        <v>5599</v>
      </c>
      <c r="D44" s="246">
        <f t="shared" si="41"/>
        <v>785</v>
      </c>
      <c r="E44" s="246">
        <f t="shared" si="41"/>
        <v>33</v>
      </c>
      <c r="F44" s="246">
        <f t="shared" si="41"/>
        <v>2</v>
      </c>
      <c r="G44" s="246">
        <f t="shared" si="41"/>
        <v>14978</v>
      </c>
      <c r="H44" s="246">
        <f t="shared" si="41"/>
        <v>140</v>
      </c>
      <c r="I44" s="246">
        <f t="shared" si="41"/>
        <v>512</v>
      </c>
      <c r="J44" s="246">
        <f t="shared" si="41"/>
        <v>1</v>
      </c>
      <c r="K44" s="246">
        <f t="shared" si="41"/>
        <v>1</v>
      </c>
      <c r="L44" s="246">
        <f t="shared" si="41"/>
        <v>4</v>
      </c>
      <c r="M44" s="246">
        <f t="shared" si="41"/>
        <v>2</v>
      </c>
      <c r="N44" s="25">
        <f t="shared" ref="N44:N54" si="42">SUM(B44:M44)</f>
        <v>73231</v>
      </c>
      <c r="P44" s="39">
        <f t="shared" ref="P44:Q54" si="43">P57+P70</f>
        <v>1</v>
      </c>
      <c r="Q44" s="39">
        <f t="shared" si="43"/>
        <v>4</v>
      </c>
      <c r="U44" s="55">
        <f t="shared" ref="U44:U54" si="44">N44-G44-H44-I44+P44+Q44</f>
        <v>57606</v>
      </c>
    </row>
    <row r="45" spans="1:21" x14ac:dyDescent="0.2">
      <c r="A45" s="4">
        <v>2008</v>
      </c>
      <c r="B45" s="246">
        <f t="shared" ref="B45:M45" si="45">B58+B71</f>
        <v>51528</v>
      </c>
      <c r="C45" s="246">
        <f t="shared" si="45"/>
        <v>5704</v>
      </c>
      <c r="D45" s="246">
        <f t="shared" si="45"/>
        <v>768</v>
      </c>
      <c r="E45" s="246">
        <f t="shared" si="45"/>
        <v>33</v>
      </c>
      <c r="F45" s="246">
        <f t="shared" si="45"/>
        <v>2</v>
      </c>
      <c r="G45" s="246">
        <f t="shared" si="45"/>
        <v>15033</v>
      </c>
      <c r="H45" s="246">
        <f t="shared" si="45"/>
        <v>137</v>
      </c>
      <c r="I45" s="246">
        <f t="shared" si="45"/>
        <v>511</v>
      </c>
      <c r="J45" s="246">
        <f t="shared" si="45"/>
        <v>1</v>
      </c>
      <c r="K45" s="246">
        <f t="shared" si="45"/>
        <v>1</v>
      </c>
      <c r="L45" s="246">
        <f t="shared" si="45"/>
        <v>4</v>
      </c>
      <c r="M45" s="246">
        <f t="shared" si="45"/>
        <v>2</v>
      </c>
      <c r="N45" s="25">
        <f t="shared" si="42"/>
        <v>73724</v>
      </c>
      <c r="P45" s="39">
        <f t="shared" si="43"/>
        <v>1</v>
      </c>
      <c r="Q45" s="39">
        <f t="shared" si="43"/>
        <v>4</v>
      </c>
      <c r="U45" s="55">
        <f t="shared" si="44"/>
        <v>58048</v>
      </c>
    </row>
    <row r="46" spans="1:21" x14ac:dyDescent="0.2">
      <c r="A46" s="4">
        <v>2009</v>
      </c>
      <c r="B46" s="246">
        <f t="shared" ref="B46:M46" si="46">B59+B72</f>
        <v>52411</v>
      </c>
      <c r="C46" s="246">
        <f t="shared" si="46"/>
        <v>5874</v>
      </c>
      <c r="D46" s="246">
        <f t="shared" si="46"/>
        <v>803.25</v>
      </c>
      <c r="E46" s="246">
        <f t="shared" si="46"/>
        <v>30</v>
      </c>
      <c r="F46" s="246">
        <f t="shared" si="46"/>
        <v>2</v>
      </c>
      <c r="G46" s="246">
        <f t="shared" si="46"/>
        <v>15166</v>
      </c>
      <c r="H46" s="246">
        <f t="shared" si="46"/>
        <v>221.25</v>
      </c>
      <c r="I46" s="246">
        <f t="shared" si="46"/>
        <v>589.75</v>
      </c>
      <c r="J46" s="246">
        <f t="shared" si="46"/>
        <v>1</v>
      </c>
      <c r="K46" s="246">
        <f t="shared" si="46"/>
        <v>1</v>
      </c>
      <c r="L46" s="246">
        <f t="shared" si="46"/>
        <v>4</v>
      </c>
      <c r="M46" s="246">
        <f t="shared" si="46"/>
        <v>2</v>
      </c>
      <c r="N46" s="25">
        <f t="shared" si="42"/>
        <v>75105.25</v>
      </c>
      <c r="P46" s="39">
        <f t="shared" si="43"/>
        <v>1</v>
      </c>
      <c r="Q46" s="39">
        <f t="shared" si="43"/>
        <v>4</v>
      </c>
      <c r="U46" s="55">
        <f t="shared" si="44"/>
        <v>59133.25</v>
      </c>
    </row>
    <row r="47" spans="1:21" x14ac:dyDescent="0.2">
      <c r="A47" s="4">
        <v>2010</v>
      </c>
      <c r="B47" s="246">
        <f t="shared" ref="B47:M47" si="47">B60+B73</f>
        <v>53696.65</v>
      </c>
      <c r="C47" s="246">
        <f t="shared" si="47"/>
        <v>5912.73</v>
      </c>
      <c r="D47" s="246">
        <f t="shared" si="47"/>
        <v>801.93330000000003</v>
      </c>
      <c r="E47" s="246">
        <f t="shared" si="47"/>
        <v>32</v>
      </c>
      <c r="F47" s="246">
        <f t="shared" si="47"/>
        <v>2</v>
      </c>
      <c r="G47" s="246">
        <f t="shared" si="47"/>
        <v>15231</v>
      </c>
      <c r="H47" s="246">
        <f t="shared" si="47"/>
        <v>217.13</v>
      </c>
      <c r="I47" s="246">
        <f t="shared" si="47"/>
        <v>588</v>
      </c>
      <c r="J47" s="246">
        <f t="shared" si="47"/>
        <v>1</v>
      </c>
      <c r="K47" s="246">
        <f t="shared" si="47"/>
        <v>1</v>
      </c>
      <c r="L47" s="246">
        <f t="shared" si="47"/>
        <v>4</v>
      </c>
      <c r="M47" s="246">
        <f t="shared" si="47"/>
        <v>2</v>
      </c>
      <c r="N47" s="25">
        <f t="shared" si="42"/>
        <v>76489.443300000014</v>
      </c>
      <c r="P47" s="39">
        <f t="shared" si="43"/>
        <v>1</v>
      </c>
      <c r="Q47" s="39">
        <f t="shared" si="43"/>
        <v>4</v>
      </c>
      <c r="U47" s="55">
        <f t="shared" si="44"/>
        <v>60458.313300000016</v>
      </c>
    </row>
    <row r="48" spans="1:21" x14ac:dyDescent="0.2">
      <c r="A48" s="4">
        <v>2011</v>
      </c>
      <c r="B48" s="246">
        <f t="shared" ref="B48:M48" si="48">B61+B74</f>
        <v>54341.543096234309</v>
      </c>
      <c r="C48" s="246">
        <f t="shared" si="48"/>
        <v>5951.8286693318096</v>
      </c>
      <c r="D48" s="246">
        <f t="shared" si="48"/>
        <v>842.9666666666667</v>
      </c>
      <c r="E48" s="246">
        <f t="shared" si="48"/>
        <v>34</v>
      </c>
      <c r="F48" s="246">
        <f t="shared" si="48"/>
        <v>2</v>
      </c>
      <c r="G48" s="246">
        <f t="shared" si="48"/>
        <v>15296</v>
      </c>
      <c r="H48" s="246">
        <f t="shared" si="48"/>
        <v>161.11111111111106</v>
      </c>
      <c r="I48" s="246">
        <f t="shared" si="48"/>
        <v>541.9</v>
      </c>
      <c r="J48" s="246">
        <f t="shared" si="48"/>
        <v>1</v>
      </c>
      <c r="K48" s="246">
        <f t="shared" si="48"/>
        <v>1</v>
      </c>
      <c r="L48" s="246">
        <f t="shared" si="48"/>
        <v>4</v>
      </c>
      <c r="M48" s="246">
        <f t="shared" si="48"/>
        <v>2</v>
      </c>
      <c r="N48" s="25">
        <f t="shared" si="42"/>
        <v>77179.349543343895</v>
      </c>
      <c r="P48" s="39">
        <f t="shared" si="43"/>
        <v>1</v>
      </c>
      <c r="Q48" s="39">
        <f t="shared" si="43"/>
        <v>4</v>
      </c>
      <c r="U48" s="55">
        <f t="shared" si="44"/>
        <v>61185.338432232784</v>
      </c>
    </row>
    <row r="49" spans="1:22" x14ac:dyDescent="0.2">
      <c r="A49" s="4">
        <v>2012</v>
      </c>
      <c r="B49" s="246">
        <f t="shared" ref="B49:M49" si="49">B62+B75</f>
        <v>54925</v>
      </c>
      <c r="C49" s="246">
        <f t="shared" si="49"/>
        <v>6009</v>
      </c>
      <c r="D49" s="246">
        <f t="shared" si="49"/>
        <v>835</v>
      </c>
      <c r="E49" s="246">
        <f t="shared" si="49"/>
        <v>30</v>
      </c>
      <c r="F49" s="246">
        <f t="shared" si="49"/>
        <v>2</v>
      </c>
      <c r="G49" s="246">
        <f t="shared" si="49"/>
        <v>15428</v>
      </c>
      <c r="H49" s="246">
        <f t="shared" si="49"/>
        <v>192.68301350390902</v>
      </c>
      <c r="I49" s="246">
        <f t="shared" si="49"/>
        <v>535</v>
      </c>
      <c r="J49" s="246">
        <f t="shared" si="49"/>
        <v>1</v>
      </c>
      <c r="K49" s="246">
        <f t="shared" si="49"/>
        <v>1</v>
      </c>
      <c r="L49" s="246">
        <f t="shared" si="49"/>
        <v>4</v>
      </c>
      <c r="M49" s="246">
        <f t="shared" si="49"/>
        <v>2</v>
      </c>
      <c r="N49" s="25">
        <f t="shared" si="42"/>
        <v>77964.683013503905</v>
      </c>
      <c r="P49" s="39">
        <f t="shared" si="43"/>
        <v>1</v>
      </c>
      <c r="Q49" s="39">
        <f t="shared" si="43"/>
        <v>4</v>
      </c>
      <c r="U49" s="55">
        <f t="shared" si="44"/>
        <v>61814</v>
      </c>
    </row>
    <row r="50" spans="1:22" x14ac:dyDescent="0.2">
      <c r="A50" s="4">
        <v>2013</v>
      </c>
      <c r="B50" s="246">
        <f t="shared" ref="B50:M50" si="50">B63+B76</f>
        <v>55214.533333333333</v>
      </c>
      <c r="C50" s="246">
        <f t="shared" si="50"/>
        <v>5999.767035527082</v>
      </c>
      <c r="D50" s="246">
        <f t="shared" si="50"/>
        <v>845.00052126772312</v>
      </c>
      <c r="E50" s="246">
        <f t="shared" si="50"/>
        <v>29</v>
      </c>
      <c r="F50" s="246">
        <f t="shared" si="50"/>
        <v>3</v>
      </c>
      <c r="G50" s="246">
        <f t="shared" si="50"/>
        <v>15478.147570544375</v>
      </c>
      <c r="H50" s="246">
        <f t="shared" si="50"/>
        <v>188.52144041696278</v>
      </c>
      <c r="I50" s="246">
        <f t="shared" si="50"/>
        <v>533</v>
      </c>
      <c r="J50" s="246">
        <f t="shared" si="50"/>
        <v>1</v>
      </c>
      <c r="K50" s="246">
        <f t="shared" si="50"/>
        <v>1</v>
      </c>
      <c r="L50" s="246">
        <f t="shared" si="50"/>
        <v>4</v>
      </c>
      <c r="M50" s="246">
        <f t="shared" si="50"/>
        <v>2</v>
      </c>
      <c r="N50" s="25">
        <f t="shared" si="42"/>
        <v>78298.969901089484</v>
      </c>
      <c r="P50" s="39">
        <f t="shared" si="43"/>
        <v>1</v>
      </c>
      <c r="Q50" s="39">
        <f t="shared" si="43"/>
        <v>4</v>
      </c>
      <c r="U50" s="55">
        <f t="shared" si="44"/>
        <v>62104.30089012815</v>
      </c>
    </row>
    <row r="51" spans="1:22" x14ac:dyDescent="0.2">
      <c r="A51" s="4">
        <v>2014</v>
      </c>
      <c r="B51" s="246">
        <f t="shared" ref="B51:M51" si="51">B64+B77</f>
        <v>55711.533333333333</v>
      </c>
      <c r="C51" s="246">
        <f t="shared" si="51"/>
        <v>6113.767035527082</v>
      </c>
      <c r="D51" s="246">
        <f t="shared" si="51"/>
        <v>805.00052126772312</v>
      </c>
      <c r="E51" s="246">
        <f t="shared" si="51"/>
        <v>29</v>
      </c>
      <c r="F51" s="246">
        <f t="shared" si="51"/>
        <v>2</v>
      </c>
      <c r="G51" s="246">
        <f t="shared" si="51"/>
        <v>15546</v>
      </c>
      <c r="H51" s="246">
        <f t="shared" si="51"/>
        <v>188.52144041696278</v>
      </c>
      <c r="I51" s="246">
        <f t="shared" si="51"/>
        <v>529</v>
      </c>
      <c r="J51" s="246">
        <f t="shared" si="51"/>
        <v>1</v>
      </c>
      <c r="K51" s="246">
        <f t="shared" si="51"/>
        <v>1</v>
      </c>
      <c r="L51" s="246">
        <f t="shared" si="51"/>
        <v>4</v>
      </c>
      <c r="M51" s="246">
        <f t="shared" si="51"/>
        <v>2</v>
      </c>
      <c r="N51" s="25">
        <f t="shared" si="42"/>
        <v>78932.822330545096</v>
      </c>
      <c r="P51" s="39">
        <f t="shared" si="43"/>
        <v>1</v>
      </c>
      <c r="Q51" s="39">
        <f t="shared" si="43"/>
        <v>4</v>
      </c>
      <c r="U51" s="55">
        <f t="shared" si="44"/>
        <v>62674.300890128136</v>
      </c>
    </row>
    <row r="52" spans="1:22" x14ac:dyDescent="0.2">
      <c r="A52" s="4">
        <v>2015</v>
      </c>
      <c r="B52" s="246">
        <f t="shared" ref="B52:M52" si="52">B65+B78</f>
        <v>56132.142602495544</v>
      </c>
      <c r="C52" s="246">
        <f t="shared" si="52"/>
        <v>6184.432603686636</v>
      </c>
      <c r="D52" s="246">
        <f t="shared" si="52"/>
        <v>810.87362482569904</v>
      </c>
      <c r="E52" s="246">
        <f t="shared" si="52"/>
        <v>29</v>
      </c>
      <c r="F52" s="246">
        <f t="shared" si="52"/>
        <v>2</v>
      </c>
      <c r="G52" s="246">
        <f t="shared" si="52"/>
        <v>15531</v>
      </c>
      <c r="H52" s="246">
        <f t="shared" si="52"/>
        <v>189.04264392324095</v>
      </c>
      <c r="I52" s="246">
        <f t="shared" si="52"/>
        <v>539</v>
      </c>
      <c r="J52" s="246">
        <f t="shared" si="52"/>
        <v>1</v>
      </c>
      <c r="K52" s="246">
        <f t="shared" si="52"/>
        <v>1</v>
      </c>
      <c r="L52" s="246">
        <f t="shared" si="52"/>
        <v>4</v>
      </c>
      <c r="M52" s="246">
        <f t="shared" si="52"/>
        <v>2</v>
      </c>
      <c r="N52" s="25">
        <f t="shared" si="42"/>
        <v>79425.491474931114</v>
      </c>
      <c r="P52" s="39">
        <f t="shared" si="43"/>
        <v>1</v>
      </c>
      <c r="Q52" s="39">
        <f t="shared" si="43"/>
        <v>4</v>
      </c>
      <c r="U52" s="55">
        <f t="shared" si="44"/>
        <v>63171.448831007874</v>
      </c>
    </row>
    <row r="53" spans="1:22" x14ac:dyDescent="0.2">
      <c r="A53" s="4">
        <v>2016</v>
      </c>
      <c r="B53" s="246">
        <f t="shared" ref="B53:M53" si="53">B66+B79</f>
        <v>56989</v>
      </c>
      <c r="C53" s="246">
        <f t="shared" si="53"/>
        <v>6297</v>
      </c>
      <c r="D53" s="246">
        <f t="shared" si="53"/>
        <v>801</v>
      </c>
      <c r="E53" s="246">
        <f t="shared" si="53"/>
        <v>28</v>
      </c>
      <c r="F53" s="246">
        <f t="shared" si="53"/>
        <v>2</v>
      </c>
      <c r="G53" s="246">
        <f t="shared" si="53"/>
        <v>15921</v>
      </c>
      <c r="H53" s="246">
        <f t="shared" si="53"/>
        <v>173</v>
      </c>
      <c r="I53" s="246">
        <f t="shared" si="53"/>
        <v>507</v>
      </c>
      <c r="J53" s="246">
        <f t="shared" si="53"/>
        <v>1</v>
      </c>
      <c r="K53" s="246">
        <f t="shared" si="53"/>
        <v>1</v>
      </c>
      <c r="L53" s="246">
        <f t="shared" si="53"/>
        <v>4</v>
      </c>
      <c r="M53" s="246">
        <f t="shared" si="53"/>
        <v>2</v>
      </c>
      <c r="N53" s="25">
        <f t="shared" si="42"/>
        <v>80726</v>
      </c>
      <c r="P53" s="39">
        <f t="shared" si="43"/>
        <v>1</v>
      </c>
      <c r="Q53" s="39">
        <f t="shared" si="43"/>
        <v>4</v>
      </c>
      <c r="U53" s="55">
        <f t="shared" si="44"/>
        <v>64130</v>
      </c>
    </row>
    <row r="54" spans="1:22" x14ac:dyDescent="0.2">
      <c r="A54" s="4">
        <v>2017</v>
      </c>
      <c r="B54" s="246">
        <f t="shared" ref="B54:M54" si="54">B67+B80</f>
        <v>57554</v>
      </c>
      <c r="C54" s="246">
        <f t="shared" si="54"/>
        <v>6298</v>
      </c>
      <c r="D54" s="246">
        <f t="shared" si="54"/>
        <v>791</v>
      </c>
      <c r="E54" s="246">
        <f t="shared" si="54"/>
        <v>28</v>
      </c>
      <c r="F54" s="246">
        <f t="shared" si="54"/>
        <v>2</v>
      </c>
      <c r="G54" s="246">
        <f t="shared" si="54"/>
        <v>16127.000000000002</v>
      </c>
      <c r="H54" s="246">
        <f t="shared" si="54"/>
        <v>163</v>
      </c>
      <c r="I54" s="246">
        <f t="shared" si="54"/>
        <v>491</v>
      </c>
      <c r="J54" s="246">
        <f t="shared" si="54"/>
        <v>1</v>
      </c>
      <c r="K54" s="246">
        <f t="shared" si="54"/>
        <v>1</v>
      </c>
      <c r="L54" s="246">
        <f t="shared" si="54"/>
        <v>4</v>
      </c>
      <c r="M54" s="246">
        <f t="shared" si="54"/>
        <v>2</v>
      </c>
      <c r="N54" s="25">
        <f t="shared" si="42"/>
        <v>81462</v>
      </c>
      <c r="P54" s="39">
        <f t="shared" si="43"/>
        <v>1</v>
      </c>
      <c r="Q54" s="39">
        <f t="shared" si="43"/>
        <v>4</v>
      </c>
      <c r="U54" s="55">
        <f t="shared" si="44"/>
        <v>64686</v>
      </c>
      <c r="V54">
        <f>U54/U44</f>
        <v>1.1229038641808144</v>
      </c>
    </row>
    <row r="55" spans="1:22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2" x14ac:dyDescent="0.2">
      <c r="A56" s="4" t="s">
        <v>171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22" x14ac:dyDescent="0.2">
      <c r="A57" s="4">
        <v>2007</v>
      </c>
      <c r="B57" s="39">
        <v>43304</v>
      </c>
      <c r="C57" s="39">
        <v>4398</v>
      </c>
      <c r="D57" s="39">
        <v>682</v>
      </c>
      <c r="E57" s="39">
        <v>28</v>
      </c>
      <c r="F57" s="39">
        <v>2</v>
      </c>
      <c r="G57" s="39">
        <v>12338</v>
      </c>
      <c r="I57" s="39">
        <v>456</v>
      </c>
      <c r="K57"/>
      <c r="L57"/>
      <c r="M57" s="39">
        <v>2</v>
      </c>
      <c r="P57" s="39">
        <v>1</v>
      </c>
      <c r="Q57" s="39">
        <v>4</v>
      </c>
    </row>
    <row r="58" spans="1:22" x14ac:dyDescent="0.2">
      <c r="A58" s="4">
        <v>2008</v>
      </c>
      <c r="B58" s="39">
        <v>43558</v>
      </c>
      <c r="C58" s="39">
        <v>4500</v>
      </c>
      <c r="D58" s="39">
        <v>677</v>
      </c>
      <c r="E58" s="39">
        <v>28</v>
      </c>
      <c r="F58" s="39">
        <v>2</v>
      </c>
      <c r="G58" s="39">
        <v>12393</v>
      </c>
      <c r="I58" s="39">
        <v>458</v>
      </c>
      <c r="K58"/>
      <c r="L58"/>
      <c r="M58" s="39">
        <v>2</v>
      </c>
      <c r="P58" s="39">
        <v>1</v>
      </c>
      <c r="Q58" s="39">
        <v>4</v>
      </c>
    </row>
    <row r="59" spans="1:22" x14ac:dyDescent="0.2">
      <c r="A59" s="4">
        <v>2009</v>
      </c>
      <c r="B59" s="72">
        <v>44315</v>
      </c>
      <c r="C59" s="72">
        <f>3524+1057</f>
        <v>4581</v>
      </c>
      <c r="D59" s="72">
        <f>250+168+291</f>
        <v>709</v>
      </c>
      <c r="E59" s="72">
        <v>25</v>
      </c>
      <c r="F59" s="72">
        <v>2</v>
      </c>
      <c r="G59" s="73">
        <v>12526</v>
      </c>
      <c r="I59" s="72">
        <v>538</v>
      </c>
      <c r="K59"/>
      <c r="L59"/>
      <c r="M59" s="39">
        <v>2</v>
      </c>
      <c r="P59" s="39">
        <v>1</v>
      </c>
      <c r="Q59" s="39">
        <v>4</v>
      </c>
    </row>
    <row r="60" spans="1:22" x14ac:dyDescent="0.2">
      <c r="A60" s="4">
        <v>2010</v>
      </c>
      <c r="B60" s="73">
        <v>45526</v>
      </c>
      <c r="C60" s="73">
        <v>4627</v>
      </c>
      <c r="D60" s="73">
        <v>707</v>
      </c>
      <c r="E60" s="73">
        <v>27</v>
      </c>
      <c r="F60" s="73">
        <v>2</v>
      </c>
      <c r="G60" s="73">
        <v>12591</v>
      </c>
      <c r="I60" s="73">
        <v>537</v>
      </c>
      <c r="K60"/>
      <c r="L60"/>
      <c r="M60" s="39">
        <v>2</v>
      </c>
      <c r="P60" s="39">
        <v>1</v>
      </c>
      <c r="Q60" s="39">
        <v>4</v>
      </c>
    </row>
    <row r="61" spans="1:22" x14ac:dyDescent="0.2">
      <c r="A61" s="4">
        <v>2011</v>
      </c>
      <c r="B61" s="69">
        <v>46035</v>
      </c>
      <c r="C61" s="69">
        <v>4632</v>
      </c>
      <c r="D61" s="69">
        <v>740</v>
      </c>
      <c r="E61" s="69">
        <v>29</v>
      </c>
      <c r="F61" s="69">
        <v>2</v>
      </c>
      <c r="G61" s="69">
        <v>12656</v>
      </c>
      <c r="I61" s="69">
        <v>492</v>
      </c>
      <c r="K61"/>
      <c r="L61"/>
      <c r="M61" s="39">
        <v>2</v>
      </c>
      <c r="P61" s="39">
        <v>1</v>
      </c>
      <c r="Q61" s="39">
        <v>4</v>
      </c>
    </row>
    <row r="62" spans="1:22" x14ac:dyDescent="0.2">
      <c r="A62" s="4">
        <v>2012</v>
      </c>
      <c r="B62" s="69">
        <v>46532</v>
      </c>
      <c r="C62" s="69">
        <v>4690</v>
      </c>
      <c r="D62" s="69">
        <v>733</v>
      </c>
      <c r="E62" s="69">
        <v>25</v>
      </c>
      <c r="F62" s="69">
        <v>2</v>
      </c>
      <c r="G62" s="69">
        <v>12788</v>
      </c>
      <c r="I62" s="69">
        <v>489</v>
      </c>
      <c r="K62"/>
      <c r="L62"/>
      <c r="M62" s="39">
        <v>2</v>
      </c>
      <c r="P62" s="39">
        <v>1</v>
      </c>
      <c r="Q62" s="39">
        <v>4</v>
      </c>
    </row>
    <row r="63" spans="1:22" x14ac:dyDescent="0.2">
      <c r="A63" s="4">
        <v>2013</v>
      </c>
      <c r="B63" s="69">
        <v>46744</v>
      </c>
      <c r="C63" s="69">
        <v>4702</v>
      </c>
      <c r="D63" s="69">
        <v>739</v>
      </c>
      <c r="E63" s="69">
        <v>24</v>
      </c>
      <c r="F63" s="69">
        <v>3</v>
      </c>
      <c r="G63" s="69">
        <v>12838.147570544375</v>
      </c>
      <c r="I63" s="69">
        <v>484</v>
      </c>
      <c r="K63"/>
      <c r="M63" s="39">
        <v>2</v>
      </c>
      <c r="P63" s="39">
        <v>1</v>
      </c>
      <c r="Q63" s="39">
        <v>4</v>
      </c>
    </row>
    <row r="64" spans="1:22" x14ac:dyDescent="0.2">
      <c r="A64" s="4">
        <v>2014</v>
      </c>
      <c r="B64" s="69">
        <v>47143</v>
      </c>
      <c r="C64" s="69">
        <v>4816</v>
      </c>
      <c r="D64" s="69">
        <v>699</v>
      </c>
      <c r="E64" s="69">
        <v>24</v>
      </c>
      <c r="F64" s="69">
        <v>2</v>
      </c>
      <c r="G64" s="69">
        <v>12906</v>
      </c>
      <c r="I64" s="69">
        <v>480</v>
      </c>
      <c r="K64"/>
      <c r="M64" s="39">
        <v>2</v>
      </c>
      <c r="P64" s="39">
        <v>1</v>
      </c>
      <c r="Q64" s="39">
        <v>4</v>
      </c>
    </row>
    <row r="65" spans="1:21" x14ac:dyDescent="0.2">
      <c r="A65" s="4">
        <v>2015</v>
      </c>
      <c r="B65" s="69">
        <v>47501</v>
      </c>
      <c r="C65" s="69">
        <v>4887</v>
      </c>
      <c r="D65" s="69">
        <v>692.87352171165492</v>
      </c>
      <c r="E65" s="69">
        <v>23</v>
      </c>
      <c r="F65" s="69">
        <v>2</v>
      </c>
      <c r="G65" s="69">
        <v>12891</v>
      </c>
      <c r="I65" s="69">
        <v>489.99999999999994</v>
      </c>
      <c r="K65"/>
      <c r="M65" s="39">
        <v>2</v>
      </c>
      <c r="P65" s="39">
        <v>1</v>
      </c>
      <c r="Q65" s="39">
        <v>4</v>
      </c>
    </row>
    <row r="66" spans="1:21" x14ac:dyDescent="0.2">
      <c r="A66" s="4">
        <v>2016</v>
      </c>
      <c r="B66" s="69">
        <v>48158</v>
      </c>
      <c r="C66" s="69">
        <v>4955</v>
      </c>
      <c r="D66" s="69">
        <v>693</v>
      </c>
      <c r="E66" s="69">
        <v>22</v>
      </c>
      <c r="F66" s="69">
        <v>2</v>
      </c>
      <c r="G66" s="69">
        <v>12994</v>
      </c>
      <c r="I66" s="69">
        <v>460</v>
      </c>
      <c r="K66"/>
      <c r="M66" s="39">
        <v>2</v>
      </c>
      <c r="P66" s="39">
        <v>1</v>
      </c>
      <c r="Q66" s="39">
        <v>4</v>
      </c>
    </row>
    <row r="67" spans="1:21" x14ac:dyDescent="0.2">
      <c r="A67" s="4">
        <v>2017</v>
      </c>
      <c r="B67" s="69">
        <v>48594</v>
      </c>
      <c r="C67" s="69">
        <v>4962</v>
      </c>
      <c r="D67" s="69">
        <v>684</v>
      </c>
      <c r="E67" s="69">
        <v>22</v>
      </c>
      <c r="F67" s="69">
        <v>2</v>
      </c>
      <c r="G67" s="69">
        <v>13195.000000000002</v>
      </c>
      <c r="I67" s="69">
        <v>444</v>
      </c>
      <c r="K67"/>
      <c r="M67" s="39">
        <v>2</v>
      </c>
      <c r="P67" s="39">
        <v>1</v>
      </c>
      <c r="Q67" s="39">
        <v>4</v>
      </c>
    </row>
    <row r="68" spans="1:2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 s="4" t="s">
        <v>172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">
      <c r="A70" s="4">
        <v>2007</v>
      </c>
      <c r="B70" s="227">
        <v>7870</v>
      </c>
      <c r="C70" s="227">
        <v>1201</v>
      </c>
      <c r="D70" s="227">
        <v>103</v>
      </c>
      <c r="E70" s="227">
        <v>5</v>
      </c>
      <c r="F70" s="69"/>
      <c r="G70" s="227">
        <v>2640</v>
      </c>
      <c r="H70" s="227">
        <v>140</v>
      </c>
      <c r="I70" s="227">
        <v>56</v>
      </c>
      <c r="J70" s="227">
        <v>1</v>
      </c>
      <c r="K70" s="227">
        <v>1</v>
      </c>
      <c r="L70" s="227">
        <v>4</v>
      </c>
      <c r="M70"/>
      <c r="N70"/>
      <c r="O70"/>
      <c r="P70"/>
      <c r="Q70"/>
      <c r="R70"/>
      <c r="S70"/>
      <c r="T70"/>
      <c r="U70"/>
    </row>
    <row r="71" spans="1:21" x14ac:dyDescent="0.2">
      <c r="A71" s="4">
        <v>2008</v>
      </c>
      <c r="B71" s="227">
        <v>7970</v>
      </c>
      <c r="C71" s="227">
        <v>1204</v>
      </c>
      <c r="D71" s="227">
        <v>91</v>
      </c>
      <c r="E71" s="227">
        <v>5</v>
      </c>
      <c r="F71" s="69"/>
      <c r="G71" s="227">
        <v>2640</v>
      </c>
      <c r="H71" s="227">
        <v>137</v>
      </c>
      <c r="I71" s="227">
        <v>53</v>
      </c>
      <c r="J71" s="227">
        <v>1</v>
      </c>
      <c r="K71" s="227">
        <v>1</v>
      </c>
      <c r="L71" s="227">
        <v>4</v>
      </c>
      <c r="M71"/>
      <c r="N71"/>
      <c r="O71"/>
      <c r="P71"/>
      <c r="Q71"/>
      <c r="R71"/>
      <c r="S71"/>
      <c r="T71"/>
      <c r="U71"/>
    </row>
    <row r="72" spans="1:21" x14ac:dyDescent="0.2">
      <c r="A72" s="4">
        <v>2009</v>
      </c>
      <c r="B72" s="228">
        <v>8096</v>
      </c>
      <c r="C72" s="228">
        <v>1293</v>
      </c>
      <c r="D72" s="227">
        <v>94.25</v>
      </c>
      <c r="E72" s="227">
        <v>5</v>
      </c>
      <c r="F72" s="69"/>
      <c r="G72" s="228">
        <v>2640</v>
      </c>
      <c r="H72" s="73">
        <v>221.25</v>
      </c>
      <c r="I72" s="73">
        <v>51.75</v>
      </c>
      <c r="J72" s="227">
        <v>1</v>
      </c>
      <c r="K72" s="227">
        <v>1</v>
      </c>
      <c r="L72" s="227">
        <v>4</v>
      </c>
      <c r="M72"/>
      <c r="N72"/>
      <c r="O72"/>
      <c r="P72"/>
      <c r="Q72"/>
      <c r="R72"/>
      <c r="S72"/>
      <c r="T72"/>
      <c r="U72"/>
    </row>
    <row r="73" spans="1:21" x14ac:dyDescent="0.2">
      <c r="A73" s="4">
        <v>2010</v>
      </c>
      <c r="B73" s="73">
        <v>8170.6500000000005</v>
      </c>
      <c r="C73" s="73">
        <v>1285.73</v>
      </c>
      <c r="D73" s="73">
        <v>94.933300000000003</v>
      </c>
      <c r="E73" s="227">
        <v>5</v>
      </c>
      <c r="F73" s="69"/>
      <c r="G73" s="73">
        <v>2640</v>
      </c>
      <c r="H73" s="73">
        <v>217.13</v>
      </c>
      <c r="I73" s="73">
        <v>51</v>
      </c>
      <c r="J73" s="227">
        <v>1</v>
      </c>
      <c r="K73" s="227">
        <v>1</v>
      </c>
      <c r="L73" s="227">
        <v>4</v>
      </c>
      <c r="M73"/>
      <c r="N73"/>
      <c r="O73"/>
      <c r="P73"/>
      <c r="Q73"/>
      <c r="R73"/>
      <c r="S73"/>
      <c r="T73"/>
      <c r="U73"/>
    </row>
    <row r="74" spans="1:21" x14ac:dyDescent="0.2">
      <c r="A74" s="4">
        <v>2011</v>
      </c>
      <c r="B74" s="69">
        <v>8306.5430962343107</v>
      </c>
      <c r="C74" s="69">
        <v>1319.82866933181</v>
      </c>
      <c r="D74" s="69">
        <v>102.96666666666667</v>
      </c>
      <c r="E74" s="69">
        <v>5</v>
      </c>
      <c r="F74" s="69"/>
      <c r="G74" s="69">
        <v>2640</v>
      </c>
      <c r="H74" s="69">
        <v>161.11111111111106</v>
      </c>
      <c r="I74" s="69">
        <v>49.9</v>
      </c>
      <c r="J74" s="69">
        <v>1</v>
      </c>
      <c r="K74" s="69">
        <v>1</v>
      </c>
      <c r="L74" s="227">
        <v>4</v>
      </c>
      <c r="M74"/>
      <c r="N74"/>
      <c r="O74"/>
      <c r="P74"/>
      <c r="Q74"/>
      <c r="R74"/>
      <c r="S74"/>
      <c r="T74"/>
      <c r="U74"/>
    </row>
    <row r="75" spans="1:21" x14ac:dyDescent="0.2">
      <c r="A75" s="4">
        <v>2012</v>
      </c>
      <c r="B75" s="69">
        <v>8393</v>
      </c>
      <c r="C75" s="69">
        <v>1319</v>
      </c>
      <c r="D75" s="69">
        <v>102</v>
      </c>
      <c r="E75" s="69">
        <v>5</v>
      </c>
      <c r="F75" s="69"/>
      <c r="G75" s="69">
        <v>2640</v>
      </c>
      <c r="H75" s="69">
        <v>192.68301350390902</v>
      </c>
      <c r="I75" s="69">
        <v>46</v>
      </c>
      <c r="J75" s="69">
        <v>1</v>
      </c>
      <c r="K75" s="69">
        <v>1</v>
      </c>
      <c r="L75" s="227">
        <v>4</v>
      </c>
      <c r="M75"/>
      <c r="N75"/>
      <c r="O75"/>
      <c r="P75"/>
      <c r="Q75"/>
      <c r="R75"/>
      <c r="S75"/>
      <c r="T75"/>
      <c r="U75"/>
    </row>
    <row r="76" spans="1:21" x14ac:dyDescent="0.2">
      <c r="A76" s="4">
        <v>2013</v>
      </c>
      <c r="B76" s="69">
        <v>8470.5333333333347</v>
      </c>
      <c r="C76" s="69">
        <v>1297.767035527082</v>
      </c>
      <c r="D76" s="69">
        <v>106.0005212677231</v>
      </c>
      <c r="E76" s="69">
        <v>5</v>
      </c>
      <c r="F76" s="69"/>
      <c r="G76" s="69">
        <v>2640</v>
      </c>
      <c r="H76" s="69">
        <v>188.52144041696278</v>
      </c>
      <c r="I76" s="69">
        <v>49</v>
      </c>
      <c r="J76" s="69">
        <v>1</v>
      </c>
      <c r="K76" s="69">
        <v>1</v>
      </c>
      <c r="L76" s="227">
        <v>4</v>
      </c>
      <c r="M76"/>
      <c r="N76"/>
      <c r="O76"/>
      <c r="P76"/>
      <c r="Q76"/>
      <c r="R76"/>
      <c r="S76"/>
      <c r="T76"/>
      <c r="U76"/>
    </row>
    <row r="77" spans="1:21" x14ac:dyDescent="0.2">
      <c r="A77" s="4">
        <v>2014</v>
      </c>
      <c r="B77" s="69">
        <v>8568.5333333333347</v>
      </c>
      <c r="C77" s="69">
        <v>1297.767035527082</v>
      </c>
      <c r="D77" s="69">
        <v>106.0005212677231</v>
      </c>
      <c r="E77" s="69">
        <v>5</v>
      </c>
      <c r="F77" s="69"/>
      <c r="G77" s="69">
        <v>2640</v>
      </c>
      <c r="H77" s="69">
        <v>188.52144041696278</v>
      </c>
      <c r="I77" s="69">
        <v>49</v>
      </c>
      <c r="J77" s="69">
        <v>1</v>
      </c>
      <c r="K77" s="69">
        <v>1</v>
      </c>
      <c r="L77" s="227">
        <v>4</v>
      </c>
      <c r="M77"/>
      <c r="N77"/>
      <c r="O77"/>
      <c r="P77"/>
      <c r="Q77"/>
      <c r="R77"/>
      <c r="S77"/>
      <c r="T77"/>
      <c r="U77"/>
    </row>
    <row r="78" spans="1:21" x14ac:dyDescent="0.2">
      <c r="A78" s="4">
        <v>2015</v>
      </c>
      <c r="B78" s="69">
        <v>8631.1426024955435</v>
      </c>
      <c r="C78" s="69">
        <v>1297.4326036866362</v>
      </c>
      <c r="D78" s="69">
        <v>118.00010311404412</v>
      </c>
      <c r="E78" s="69">
        <v>6</v>
      </c>
      <c r="F78" s="69"/>
      <c r="G78" s="69">
        <v>2640</v>
      </c>
      <c r="H78" s="69">
        <v>189.04264392324095</v>
      </c>
      <c r="I78" s="69">
        <v>49</v>
      </c>
      <c r="J78" s="69">
        <v>1</v>
      </c>
      <c r="K78" s="69">
        <v>1</v>
      </c>
      <c r="L78" s="227">
        <v>4</v>
      </c>
      <c r="M78"/>
      <c r="N78"/>
      <c r="O78"/>
      <c r="P78"/>
      <c r="Q78"/>
      <c r="R78"/>
      <c r="S78"/>
      <c r="T78"/>
      <c r="U78"/>
    </row>
    <row r="79" spans="1:21" x14ac:dyDescent="0.2">
      <c r="A79" s="4">
        <v>2016</v>
      </c>
      <c r="B79" s="69">
        <v>8831</v>
      </c>
      <c r="C79" s="69">
        <v>1342</v>
      </c>
      <c r="D79" s="69">
        <v>108</v>
      </c>
      <c r="E79" s="69">
        <v>6</v>
      </c>
      <c r="F79" s="69"/>
      <c r="G79" s="69">
        <v>2927</v>
      </c>
      <c r="H79" s="69">
        <v>173</v>
      </c>
      <c r="I79" s="69">
        <v>47</v>
      </c>
      <c r="J79" s="69">
        <v>1</v>
      </c>
      <c r="K79" s="69">
        <v>1</v>
      </c>
      <c r="L79" s="227">
        <v>4</v>
      </c>
      <c r="M79"/>
      <c r="N79"/>
      <c r="O79"/>
      <c r="P79"/>
      <c r="Q79"/>
      <c r="R79"/>
      <c r="S79"/>
      <c r="T79"/>
      <c r="U79"/>
    </row>
    <row r="80" spans="1:21" x14ac:dyDescent="0.2">
      <c r="A80" s="4">
        <v>2017</v>
      </c>
      <c r="B80" s="69">
        <v>8960</v>
      </c>
      <c r="C80" s="69">
        <v>1336</v>
      </c>
      <c r="D80" s="69">
        <v>107</v>
      </c>
      <c r="E80" s="69">
        <v>6</v>
      </c>
      <c r="F80" s="69"/>
      <c r="G80" s="69">
        <v>2932</v>
      </c>
      <c r="H80" s="69">
        <v>163</v>
      </c>
      <c r="I80" s="69">
        <v>47</v>
      </c>
      <c r="J80" s="69">
        <v>1</v>
      </c>
      <c r="K80" s="69">
        <v>1</v>
      </c>
      <c r="L80" s="227">
        <v>4</v>
      </c>
      <c r="M80"/>
      <c r="N80"/>
      <c r="O80"/>
      <c r="P80"/>
      <c r="Q80"/>
      <c r="R80"/>
      <c r="S80"/>
      <c r="T80"/>
      <c r="U80"/>
    </row>
    <row r="81" spans="2:2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</sheetData>
  <phoneticPr fontId="0" type="noConversion"/>
  <pageMargins left="0.38" right="0.75" top="0.73" bottom="0.74" header="0.5" footer="0.5"/>
  <pageSetup scale="40" orientation="landscape" r:id="rId1"/>
  <headerFooter alignWithMargins="0"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72"/>
  <sheetViews>
    <sheetView topLeftCell="A10" workbookViewId="0">
      <selection activeCell="D11" sqref="D11"/>
    </sheetView>
  </sheetViews>
  <sheetFormatPr defaultRowHeight="12.75" x14ac:dyDescent="0.2"/>
  <cols>
    <col min="1" max="1" width="11" customWidth="1"/>
    <col min="2" max="2" width="14.140625" style="6" bestFit="1" customWidth="1"/>
    <col min="3" max="3" width="17.7109375" style="6" customWidth="1"/>
    <col min="4" max="6" width="12.5703125" style="6" customWidth="1"/>
    <col min="7" max="7" width="13.7109375" customWidth="1"/>
    <col min="8" max="8" width="13.28515625" customWidth="1"/>
    <col min="9" max="9" width="13" customWidth="1"/>
    <col min="10" max="10" width="13.28515625" customWidth="1"/>
    <col min="11" max="11" width="12.7109375" style="6" bestFit="1" customWidth="1"/>
    <col min="13" max="13" width="12.28515625" style="6" bestFit="1" customWidth="1"/>
    <col min="14" max="14" width="13.28515625" style="6" bestFit="1" customWidth="1"/>
    <col min="15" max="16" width="9.140625" style="6" customWidth="1"/>
  </cols>
  <sheetData>
    <row r="1" spans="1:14" ht="63.75" x14ac:dyDescent="0.2">
      <c r="B1" s="8" t="str">
        <f>'Rate Class Customer Model'!D2</f>
        <v>General Service &gt; 50 to 999 kW</v>
      </c>
      <c r="C1" s="8" t="str">
        <f>'Rate Class Customer Model'!E2</f>
        <v>General Service &gt; 1000 to 4999 kW</v>
      </c>
      <c r="D1" s="8" t="str">
        <f>'Rate Class Customer Model'!F2</f>
        <v>Large User</v>
      </c>
      <c r="E1" s="8" t="str">
        <f>'Rate Class Customer Model'!G2</f>
        <v>Street Lights</v>
      </c>
      <c r="F1" s="8" t="str">
        <f>'Rate Class Customer Model'!H2</f>
        <v>Sentinel Lights</v>
      </c>
      <c r="G1" s="8" t="str">
        <f>'Rate Class Customer Model'!J2</f>
        <v>Embedded Distributors -BPI - BCP</v>
      </c>
      <c r="H1" s="8" t="str">
        <f>'Rate Class Customer Model'!K2</f>
        <v>Embedded Distributors - Hydro One #1, BCP</v>
      </c>
      <c r="I1" s="8" t="str">
        <f>'Rate Class Customer Model'!L2</f>
        <v>Embedded Distributors - Hydro One #2, BCP</v>
      </c>
      <c r="J1" s="236" t="s">
        <v>288</v>
      </c>
      <c r="K1" s="6" t="s">
        <v>12</v>
      </c>
      <c r="M1" s="8"/>
      <c r="N1" s="8" t="str">
        <f>'Rate Class Customer Model'!Q2</f>
        <v>Direct Market Participant</v>
      </c>
    </row>
    <row r="2" spans="1:14" x14ac:dyDescent="0.2">
      <c r="A2" s="28">
        <v>2010</v>
      </c>
      <c r="B2" s="233">
        <f t="shared" ref="B2:B9" si="0">B14+B24</f>
        <v>1535991.72820355</v>
      </c>
      <c r="C2" s="233">
        <f t="shared" ref="C2:J2" si="1">C14+C24</f>
        <v>646503.53520000004</v>
      </c>
      <c r="D2" s="233">
        <f t="shared" si="1"/>
        <v>421436.3223</v>
      </c>
      <c r="E2" s="233">
        <f t="shared" si="1"/>
        <v>31414.760000000002</v>
      </c>
      <c r="F2" s="233">
        <f t="shared" si="1"/>
        <v>486.90111111111116</v>
      </c>
      <c r="G2" s="233">
        <f t="shared" si="1"/>
        <v>10.28</v>
      </c>
      <c r="H2" s="233">
        <f t="shared" si="1"/>
        <v>29199.89</v>
      </c>
      <c r="I2" s="233">
        <f>'Rate Class Energy Model'!R30*'Rate Class Load Model'!H35</f>
        <v>109926.40127449173</v>
      </c>
      <c r="J2" s="233">
        <f t="shared" si="1"/>
        <v>101371.27183867899</v>
      </c>
      <c r="K2" s="6">
        <f>SUM(B2:J2)</f>
        <v>2876341.0899278312</v>
      </c>
      <c r="N2" s="6">
        <f>N14</f>
        <v>75928.2</v>
      </c>
    </row>
    <row r="3" spans="1:14" x14ac:dyDescent="0.2">
      <c r="A3" s="28">
        <v>2011</v>
      </c>
      <c r="B3" s="233">
        <f t="shared" si="0"/>
        <v>1559457.9765679198</v>
      </c>
      <c r="C3" s="233">
        <f t="shared" ref="C3:J3" si="2">C15+C25</f>
        <v>659131.46674197295</v>
      </c>
      <c r="D3" s="233">
        <f t="shared" si="2"/>
        <v>431698.8584427</v>
      </c>
      <c r="E3" s="233">
        <f t="shared" si="2"/>
        <v>31402.7772498757</v>
      </c>
      <c r="F3" s="233">
        <f t="shared" si="2"/>
        <v>228.22855967333334</v>
      </c>
      <c r="G3" s="233">
        <f t="shared" si="2"/>
        <v>44.33</v>
      </c>
      <c r="H3" s="233">
        <f t="shared" si="2"/>
        <v>31127.55</v>
      </c>
      <c r="I3" s="233">
        <f>'Rate Class Energy Model'!R31*'Rate Class Load Model'!H36</f>
        <v>117160.63801515776</v>
      </c>
      <c r="J3" s="233">
        <f t="shared" si="2"/>
        <v>107151.213530009</v>
      </c>
      <c r="K3" s="6">
        <f t="shared" ref="K3:K11" si="3">SUM(B3:J3)</f>
        <v>2937403.0391073083</v>
      </c>
      <c r="N3" s="6">
        <f t="shared" ref="N3:N9" si="4">N15</f>
        <v>81847.960000000006</v>
      </c>
    </row>
    <row r="4" spans="1:14" x14ac:dyDescent="0.2">
      <c r="A4" s="28">
        <v>2012</v>
      </c>
      <c r="B4" s="233">
        <f t="shared" si="0"/>
        <v>1578630.36979942</v>
      </c>
      <c r="C4" s="233">
        <f t="shared" ref="C4:J4" si="5">C16+C26</f>
        <v>606301.92947526893</v>
      </c>
      <c r="D4" s="233">
        <f t="shared" si="5"/>
        <v>483777.43670654303</v>
      </c>
      <c r="E4" s="233">
        <f t="shared" si="5"/>
        <v>31676.619901697199</v>
      </c>
      <c r="F4" s="233">
        <f t="shared" si="5"/>
        <v>311.12235571111108</v>
      </c>
      <c r="G4" s="233">
        <f t="shared" si="5"/>
        <v>87.52000000000001</v>
      </c>
      <c r="H4" s="233">
        <f t="shared" si="5"/>
        <v>24429.269999999997</v>
      </c>
      <c r="I4" s="233">
        <f>'Rate Class Energy Model'!R32*'Rate Class Load Model'!H37</f>
        <v>129577.45874038131</v>
      </c>
      <c r="J4" s="233">
        <f t="shared" si="5"/>
        <v>100035.046333313</v>
      </c>
      <c r="K4" s="6">
        <f t="shared" si="3"/>
        <v>2954826.7733123349</v>
      </c>
      <c r="M4" s="79"/>
      <c r="N4" s="6">
        <f t="shared" si="4"/>
        <v>81650.759999999995</v>
      </c>
    </row>
    <row r="5" spans="1:14" x14ac:dyDescent="0.2">
      <c r="A5" s="28">
        <v>2013</v>
      </c>
      <c r="B5" s="233">
        <f t="shared" si="0"/>
        <v>1568192.8160256497</v>
      </c>
      <c r="C5" s="233">
        <f t="shared" ref="C5:J5" si="6">C17+C27</f>
        <v>586434.7699999999</v>
      </c>
      <c r="D5" s="233">
        <f t="shared" si="6"/>
        <v>425911.83</v>
      </c>
      <c r="E5" s="233">
        <f t="shared" si="6"/>
        <v>31771.761757714674</v>
      </c>
      <c r="F5" s="233">
        <f t="shared" si="6"/>
        <v>306.93329242222217</v>
      </c>
      <c r="G5" s="233">
        <f t="shared" si="6"/>
        <v>31.049999999999997</v>
      </c>
      <c r="H5" s="233">
        <f t="shared" si="6"/>
        <v>31865.139999999996</v>
      </c>
      <c r="I5" s="233">
        <f>'Rate Class Energy Model'!R33*'Rate Class Load Model'!H38</f>
        <v>119620.77246283546</v>
      </c>
      <c r="J5" s="233">
        <f t="shared" si="6"/>
        <v>119938.29999999999</v>
      </c>
      <c r="K5" s="6">
        <f t="shared" si="3"/>
        <v>2884073.3735386222</v>
      </c>
      <c r="M5" s="79"/>
      <c r="N5" s="6">
        <f t="shared" si="4"/>
        <v>73573.420000000013</v>
      </c>
    </row>
    <row r="6" spans="1:14" x14ac:dyDescent="0.2">
      <c r="A6" s="28">
        <v>2014</v>
      </c>
      <c r="B6" s="233">
        <f t="shared" si="0"/>
        <v>1605303.1854654762</v>
      </c>
      <c r="C6" s="233">
        <f t="shared" ref="C6:J6" si="7">C18+C28</f>
        <v>581849.28</v>
      </c>
      <c r="D6" s="233">
        <f t="shared" si="7"/>
        <v>457866.89653992082</v>
      </c>
      <c r="E6" s="233">
        <f t="shared" si="7"/>
        <v>31886.136091179094</v>
      </c>
      <c r="F6" s="233">
        <f t="shared" si="7"/>
        <v>292.76845053333329</v>
      </c>
      <c r="G6" s="233">
        <f t="shared" si="7"/>
        <v>94.67</v>
      </c>
      <c r="H6" s="233">
        <f t="shared" si="7"/>
        <v>31822.170000000002</v>
      </c>
      <c r="I6" s="233">
        <f>'Rate Class Energy Model'!R34*'Rate Class Load Model'!H39</f>
        <v>126064.88355692466</v>
      </c>
      <c r="J6" s="233">
        <f t="shared" si="7"/>
        <v>135496.47</v>
      </c>
      <c r="K6" s="6">
        <f t="shared" si="3"/>
        <v>2970676.4601040347</v>
      </c>
      <c r="M6" s="79"/>
      <c r="N6" s="6">
        <f t="shared" si="4"/>
        <v>69660.58</v>
      </c>
    </row>
    <row r="7" spans="1:14" x14ac:dyDescent="0.2">
      <c r="A7" s="28">
        <v>2015</v>
      </c>
      <c r="B7" s="233">
        <f t="shared" si="0"/>
        <v>1555819.3298522707</v>
      </c>
      <c r="C7" s="233">
        <f t="shared" ref="C7:J7" si="8">C19+C29</f>
        <v>581152.97</v>
      </c>
      <c r="D7" s="233">
        <f t="shared" si="8"/>
        <v>430086.51000000007</v>
      </c>
      <c r="E7" s="233">
        <f t="shared" si="8"/>
        <v>31872.978670269313</v>
      </c>
      <c r="F7" s="233">
        <f t="shared" si="8"/>
        <v>288.48305517777777</v>
      </c>
      <c r="G7" s="233">
        <f t="shared" si="8"/>
        <v>95.46</v>
      </c>
      <c r="H7" s="233">
        <f t="shared" si="8"/>
        <v>30826.699999999997</v>
      </c>
      <c r="I7" s="233">
        <f>'Rate Class Energy Model'!R35*'Rate Class Load Model'!H40</f>
        <v>139060.14729191593</v>
      </c>
      <c r="J7" s="233">
        <f t="shared" si="8"/>
        <v>137772.01</v>
      </c>
      <c r="K7" s="6">
        <f t="shared" si="3"/>
        <v>2906974.5888696341</v>
      </c>
      <c r="M7" s="79"/>
      <c r="N7" s="6">
        <f t="shared" si="4"/>
        <v>69115.460000000006</v>
      </c>
    </row>
    <row r="8" spans="1:14" x14ac:dyDescent="0.2">
      <c r="A8" s="28">
        <v>2016</v>
      </c>
      <c r="B8" s="233">
        <f t="shared" si="0"/>
        <v>1564560.6600000001</v>
      </c>
      <c r="C8" s="233">
        <f t="shared" ref="C8:J9" si="9">C20+C30</f>
        <v>631904.10997964221</v>
      </c>
      <c r="D8" s="233">
        <f t="shared" si="9"/>
        <v>358566.19</v>
      </c>
      <c r="E8" s="233">
        <f t="shared" si="9"/>
        <v>31300.14</v>
      </c>
      <c r="F8" s="233">
        <f t="shared" si="9"/>
        <v>416.63902725875835</v>
      </c>
      <c r="G8" s="233">
        <f t="shared" si="9"/>
        <v>1313.24</v>
      </c>
      <c r="H8" s="233">
        <f t="shared" si="9"/>
        <v>29427.999999999996</v>
      </c>
      <c r="I8" s="233">
        <f>'Rate Class Energy Model'!R36*'Rate Class Load Model'!H41</f>
        <v>99936.488133577368</v>
      </c>
      <c r="J8" s="233">
        <f t="shared" si="9"/>
        <v>148633.62</v>
      </c>
      <c r="K8" s="6">
        <f t="shared" si="3"/>
        <v>2866059.0871404787</v>
      </c>
      <c r="M8" s="79"/>
      <c r="N8" s="6">
        <f t="shared" si="4"/>
        <v>70836.33</v>
      </c>
    </row>
    <row r="9" spans="1:14" x14ac:dyDescent="0.2">
      <c r="A9" s="28">
        <v>2017</v>
      </c>
      <c r="B9" s="233">
        <f t="shared" si="0"/>
        <v>1518753.3299999998</v>
      </c>
      <c r="C9" s="233">
        <f t="shared" si="9"/>
        <v>574484.46259129199</v>
      </c>
      <c r="D9" s="233">
        <f t="shared" si="9"/>
        <v>348189.01999999996</v>
      </c>
      <c r="E9" s="233">
        <f t="shared" si="9"/>
        <v>24144.04</v>
      </c>
      <c r="F9" s="233">
        <f t="shared" si="9"/>
        <v>342.92000000000007</v>
      </c>
      <c r="G9" s="233">
        <f t="shared" si="9"/>
        <v>1074.96</v>
      </c>
      <c r="H9" s="233">
        <f t="shared" si="9"/>
        <v>29010.799999999999</v>
      </c>
      <c r="I9" s="233">
        <f>'Rate Class Energy Model'!R37*'Rate Class Load Model'!H42</f>
        <v>102972.90667387019</v>
      </c>
      <c r="J9" s="233">
        <f t="shared" si="9"/>
        <v>139044.32</v>
      </c>
      <c r="K9" s="6">
        <f t="shared" si="3"/>
        <v>2738016.7592651616</v>
      </c>
      <c r="N9" s="6">
        <f t="shared" si="4"/>
        <v>67941.700000000012</v>
      </c>
    </row>
    <row r="10" spans="1:14" x14ac:dyDescent="0.2">
      <c r="A10" s="28">
        <v>2018</v>
      </c>
      <c r="B10" s="29">
        <f>B44*'Rate Class Energy Model'!J70</f>
        <v>1555494.9738878242</v>
      </c>
      <c r="C10" s="29">
        <f>C44*'Rate Class Energy Model'!K70</f>
        <v>552800.52702529693</v>
      </c>
      <c r="D10" s="29">
        <f>D44*'Rate Class Energy Model'!L70</f>
        <v>331944.32251332153</v>
      </c>
      <c r="E10" s="29">
        <f>E44*'Rate Class Energy Model'!M70</f>
        <v>14844.081169277064</v>
      </c>
      <c r="F10" s="29">
        <f>F44*'Rate Class Energy Model'!N70</f>
        <v>342.92000000000007</v>
      </c>
      <c r="G10" s="29">
        <f>G44*'Rate Class Energy Model'!P70</f>
        <v>1074.96</v>
      </c>
      <c r="H10" s="29">
        <f>$H$44*'Rate Class Energy Model'!S70</f>
        <v>29994.605248481424</v>
      </c>
      <c r="I10" s="29">
        <f>'Rate Class Energy Model'!R70*$I$44</f>
        <v>102972.90667387019</v>
      </c>
      <c r="J10" s="29">
        <f>('Rate Class Energy Model'!S70+'Rate Class Energy Model'!U66)*'Rate Class Load Model'!$J$44</f>
        <v>139044.32</v>
      </c>
      <c r="K10" s="6">
        <f t="shared" si="3"/>
        <v>2728513.6165180709</v>
      </c>
      <c r="N10" s="6">
        <f t="shared" ref="N10:N11" si="10">N9</f>
        <v>67941.700000000012</v>
      </c>
    </row>
    <row r="11" spans="1:14" x14ac:dyDescent="0.2">
      <c r="A11" s="28">
        <v>2019</v>
      </c>
      <c r="B11" s="29">
        <f>B44*'Rate Class Energy Model'!J71</f>
        <v>1550486.6606992225</v>
      </c>
      <c r="C11" s="29">
        <f>C44*'Rate Class Energy Model'!K71</f>
        <v>538333.692709091</v>
      </c>
      <c r="D11" s="29">
        <f>D44*'Rate Class Energy Model'!L71+30443.08</f>
        <v>361276.31069675618</v>
      </c>
      <c r="E11" s="29">
        <f>E44*'Rate Class Energy Model'!M71</f>
        <v>10945.463296866632</v>
      </c>
      <c r="F11" s="29">
        <f>F44*'Rate Class Energy Model'!N71</f>
        <v>342.92000000000007</v>
      </c>
      <c r="G11" s="29">
        <f>G44*'Rate Class Energy Model'!P71</f>
        <v>1074.96</v>
      </c>
      <c r="H11" s="29">
        <f>$H$44*'Rate Class Energy Model'!S71</f>
        <v>29994.605248481424</v>
      </c>
      <c r="I11" s="29">
        <f>'Rate Class Energy Model'!R71*$I$44</f>
        <v>102972.90667387019</v>
      </c>
      <c r="J11" s="29">
        <f>('Rate Class Energy Model'!S71+'Rate Class Energy Model'!U67)*'Rate Class Load Model'!$J$44</f>
        <v>139044.32</v>
      </c>
      <c r="K11" s="6">
        <f t="shared" si="3"/>
        <v>2734471.8393242871</v>
      </c>
      <c r="N11" s="6">
        <f t="shared" si="10"/>
        <v>67941.700000000012</v>
      </c>
    </row>
    <row r="12" spans="1:14" x14ac:dyDescent="0.2">
      <c r="A12" s="18"/>
    </row>
    <row r="13" spans="1:14" x14ac:dyDescent="0.2">
      <c r="A13" s="18" t="s">
        <v>171</v>
      </c>
    </row>
    <row r="14" spans="1:14" x14ac:dyDescent="0.2">
      <c r="A14" s="28">
        <v>2010</v>
      </c>
      <c r="B14" s="76">
        <v>1294863.05220355</v>
      </c>
      <c r="C14" s="76">
        <v>570059.72519999999</v>
      </c>
      <c r="D14" s="76">
        <v>421436.3223</v>
      </c>
      <c r="E14" s="76">
        <v>26613.74</v>
      </c>
      <c r="J14" s="76">
        <v>101371.27183867899</v>
      </c>
      <c r="N14" s="76">
        <v>75928.2</v>
      </c>
    </row>
    <row r="15" spans="1:14" x14ac:dyDescent="0.2">
      <c r="A15" s="28">
        <v>2011</v>
      </c>
      <c r="B15" s="76">
        <v>1331831.0365679199</v>
      </c>
      <c r="C15" s="76">
        <v>582382.60674197297</v>
      </c>
      <c r="D15" s="76">
        <v>431698.8584427</v>
      </c>
      <c r="E15" s="76">
        <v>26604.0272498757</v>
      </c>
      <c r="J15" s="76">
        <v>107151.213530009</v>
      </c>
      <c r="N15" s="76">
        <v>81847.960000000006</v>
      </c>
    </row>
    <row r="16" spans="1:14" x14ac:dyDescent="0.2">
      <c r="A16" s="28">
        <v>2012</v>
      </c>
      <c r="B16" s="76">
        <v>1350651.40979942</v>
      </c>
      <c r="C16" s="76">
        <v>527946.71947526897</v>
      </c>
      <c r="D16" s="76">
        <v>483777.43670654303</v>
      </c>
      <c r="E16" s="76">
        <v>26876.1599016972</v>
      </c>
      <c r="J16" s="76">
        <v>100035.046333313</v>
      </c>
      <c r="N16" s="76">
        <v>81650.759999999995</v>
      </c>
    </row>
    <row r="17" spans="1:14" x14ac:dyDescent="0.2">
      <c r="A17" s="28">
        <v>2013</v>
      </c>
      <c r="B17" s="76">
        <v>1335995.0860256497</v>
      </c>
      <c r="C17" s="76">
        <v>502672.54999999993</v>
      </c>
      <c r="D17" s="76">
        <v>425911.83</v>
      </c>
      <c r="E17" s="76">
        <v>26970.441757714674</v>
      </c>
      <c r="J17" s="76">
        <v>119938.29999999999</v>
      </c>
      <c r="N17" s="76">
        <v>73573.420000000013</v>
      </c>
    </row>
    <row r="18" spans="1:14" x14ac:dyDescent="0.2">
      <c r="A18" s="28">
        <v>2014</v>
      </c>
      <c r="B18" s="76">
        <v>1364263.1754654762</v>
      </c>
      <c r="C18" s="76">
        <v>498922.62</v>
      </c>
      <c r="D18" s="76">
        <v>457866.89653992082</v>
      </c>
      <c r="E18" s="76">
        <v>27084.816091179095</v>
      </c>
      <c r="J18" s="76">
        <v>135496.47</v>
      </c>
      <c r="N18" s="76">
        <v>69660.58</v>
      </c>
    </row>
    <row r="19" spans="1:14" x14ac:dyDescent="0.2">
      <c r="A19" s="28">
        <v>2015</v>
      </c>
      <c r="B19" s="76">
        <v>1332729.5398522706</v>
      </c>
      <c r="C19" s="76">
        <v>485225.93999999994</v>
      </c>
      <c r="D19" s="76">
        <v>430086.51000000007</v>
      </c>
      <c r="E19" s="76">
        <v>27097.358670269314</v>
      </c>
      <c r="J19" s="76">
        <v>137772.01</v>
      </c>
      <c r="N19" s="76">
        <v>69115.460000000006</v>
      </c>
    </row>
    <row r="20" spans="1:14" x14ac:dyDescent="0.2">
      <c r="A20" s="28">
        <v>2016</v>
      </c>
      <c r="B20" s="76">
        <v>1327240.33</v>
      </c>
      <c r="C20" s="76">
        <v>529211.76</v>
      </c>
      <c r="D20" s="76">
        <v>358566.19</v>
      </c>
      <c r="E20" s="76">
        <v>26888.84</v>
      </c>
      <c r="J20" s="76">
        <v>148633.62</v>
      </c>
      <c r="N20" s="76">
        <v>70836.33</v>
      </c>
    </row>
    <row r="21" spans="1:14" x14ac:dyDescent="0.2">
      <c r="A21" s="28">
        <v>2017</v>
      </c>
      <c r="B21" s="76">
        <v>1295209.3899999999</v>
      </c>
      <c r="C21" s="76">
        <v>466699.17000000004</v>
      </c>
      <c r="D21" s="76">
        <v>348189.01999999996</v>
      </c>
      <c r="E21" s="76">
        <v>21829.670000000002</v>
      </c>
      <c r="J21" s="76">
        <v>139044.32</v>
      </c>
      <c r="N21" s="76">
        <v>67941.700000000012</v>
      </c>
    </row>
    <row r="22" spans="1:14" x14ac:dyDescent="0.2">
      <c r="A22" s="18"/>
    </row>
    <row r="23" spans="1:14" x14ac:dyDescent="0.2">
      <c r="A23" s="18" t="s">
        <v>172</v>
      </c>
    </row>
    <row r="24" spans="1:14" x14ac:dyDescent="0.2">
      <c r="A24" s="28">
        <v>2010</v>
      </c>
      <c r="B24" s="231">
        <v>241128.67600000001</v>
      </c>
      <c r="C24" s="231">
        <v>76443.81</v>
      </c>
      <c r="E24" s="231">
        <v>4801.0200000000004</v>
      </c>
      <c r="F24" s="231">
        <v>486.90111111111116</v>
      </c>
      <c r="G24" s="231">
        <v>10.28</v>
      </c>
      <c r="H24" s="231">
        <v>29199.89</v>
      </c>
      <c r="I24" s="231"/>
    </row>
    <row r="25" spans="1:14" x14ac:dyDescent="0.2">
      <c r="A25" s="28">
        <v>2011</v>
      </c>
      <c r="B25" s="231">
        <v>227626.94</v>
      </c>
      <c r="C25" s="231">
        <v>76748.86</v>
      </c>
      <c r="E25" s="231">
        <v>4798.75</v>
      </c>
      <c r="F25" s="231">
        <v>228.22855967333334</v>
      </c>
      <c r="G25" s="231">
        <v>44.33</v>
      </c>
      <c r="H25" s="231">
        <v>31127.55</v>
      </c>
      <c r="I25" s="231"/>
    </row>
    <row r="26" spans="1:14" x14ac:dyDescent="0.2">
      <c r="A26" s="28">
        <v>2012</v>
      </c>
      <c r="B26" s="231">
        <v>227978.96000000002</v>
      </c>
      <c r="C26" s="231">
        <v>78355.210000000006</v>
      </c>
      <c r="E26" s="231">
        <v>4800.46</v>
      </c>
      <c r="F26" s="231">
        <v>311.12235571111108</v>
      </c>
      <c r="G26" s="231">
        <v>87.52000000000001</v>
      </c>
      <c r="H26" s="231">
        <v>24429.269999999997</v>
      </c>
      <c r="I26" s="231"/>
    </row>
    <row r="27" spans="1:14" x14ac:dyDescent="0.2">
      <c r="A27" s="28">
        <v>2013</v>
      </c>
      <c r="B27" s="231">
        <v>232197.73</v>
      </c>
      <c r="C27" s="231">
        <v>83762.219999999987</v>
      </c>
      <c r="E27" s="231">
        <v>4801.3200000000006</v>
      </c>
      <c r="F27" s="231">
        <v>306.93329242222217</v>
      </c>
      <c r="G27" s="231">
        <v>31.049999999999997</v>
      </c>
      <c r="H27" s="231">
        <v>31865.139999999996</v>
      </c>
      <c r="I27" s="231"/>
    </row>
    <row r="28" spans="1:14" x14ac:dyDescent="0.2">
      <c r="A28" s="28">
        <v>2014</v>
      </c>
      <c r="B28" s="231">
        <v>241040.00999999998</v>
      </c>
      <c r="C28" s="231">
        <v>82926.66</v>
      </c>
      <c r="E28" s="231">
        <v>4801.3200000000006</v>
      </c>
      <c r="F28" s="231">
        <v>292.76845053333329</v>
      </c>
      <c r="G28" s="231">
        <v>94.67</v>
      </c>
      <c r="H28" s="231">
        <v>31822.170000000002</v>
      </c>
      <c r="I28" s="231"/>
    </row>
    <row r="29" spans="1:14" x14ac:dyDescent="0.2">
      <c r="A29" s="28">
        <v>2015</v>
      </c>
      <c r="B29" s="232">
        <v>223089.78999999998</v>
      </c>
      <c r="C29" s="232">
        <v>95927.03</v>
      </c>
      <c r="E29" s="232">
        <v>4775.62</v>
      </c>
      <c r="F29" s="232">
        <v>288.48305517777777</v>
      </c>
      <c r="G29" s="232">
        <v>95.46</v>
      </c>
      <c r="H29" s="232">
        <v>30826.699999999997</v>
      </c>
      <c r="I29" s="232"/>
    </row>
    <row r="30" spans="1:14" x14ac:dyDescent="0.2">
      <c r="A30" s="28">
        <v>2016</v>
      </c>
      <c r="B30" s="232">
        <v>237320.32999999996</v>
      </c>
      <c r="C30" s="232">
        <v>102692.34997964223</v>
      </c>
      <c r="E30" s="232">
        <v>4411.3</v>
      </c>
      <c r="F30" s="232">
        <v>416.63902725875835</v>
      </c>
      <c r="G30" s="232">
        <v>1313.24</v>
      </c>
      <c r="H30" s="232">
        <v>29427.999999999996</v>
      </c>
      <c r="I30" s="232"/>
    </row>
    <row r="31" spans="1:14" x14ac:dyDescent="0.2">
      <c r="A31" s="28">
        <v>2017</v>
      </c>
      <c r="B31" s="232">
        <v>223543.93999999997</v>
      </c>
      <c r="C31" s="232">
        <v>107785.29259129196</v>
      </c>
      <c r="E31" s="232">
        <v>2314.3699999999994</v>
      </c>
      <c r="F31" s="232">
        <v>342.92000000000007</v>
      </c>
      <c r="G31" s="232">
        <v>1074.96</v>
      </c>
      <c r="H31" s="232">
        <v>29010.799999999999</v>
      </c>
      <c r="I31" s="232"/>
    </row>
    <row r="32" spans="1:14" x14ac:dyDescent="0.2">
      <c r="A32" s="18"/>
    </row>
    <row r="33" spans="1:14" x14ac:dyDescent="0.2">
      <c r="A33" s="18"/>
    </row>
    <row r="34" spans="1:14" x14ac:dyDescent="0.2">
      <c r="A34" s="17" t="s">
        <v>64</v>
      </c>
      <c r="B34" s="5"/>
      <c r="C34" s="5"/>
      <c r="D34" s="5"/>
      <c r="E34" s="5"/>
      <c r="F34" s="5"/>
    </row>
    <row r="35" spans="1:14" x14ac:dyDescent="0.2">
      <c r="A35" s="4">
        <v>2010</v>
      </c>
      <c r="B35" s="26">
        <f>B2/'Rate Class Energy Model'!J6</f>
        <v>3.1570737840942859E-3</v>
      </c>
      <c r="C35" s="26">
        <f>C2/'Rate Class Energy Model'!K6</f>
        <v>2.5812714153470003E-3</v>
      </c>
      <c r="D35" s="26">
        <f>D2/'Rate Class Energy Model'!L6</f>
        <v>2.1440890969027598E-3</v>
      </c>
      <c r="E35" s="26">
        <f>E2/'Rate Class Energy Model'!M6</f>
        <v>2.7977234933807041E-3</v>
      </c>
      <c r="F35" s="26">
        <f>F2/'Rate Class Energy Model'!N6</f>
        <v>2.7777777777777783E-3</v>
      </c>
      <c r="G35" s="26">
        <f>G2/'Rate Class Energy Model'!P6</f>
        <v>2.7535296339251992E-5</v>
      </c>
      <c r="H35" s="26">
        <f>H2/'Rate Class Energy Model'!Q6</f>
        <v>2.1874494754388751E-3</v>
      </c>
      <c r="I35" s="26"/>
      <c r="J35" s="26"/>
      <c r="M35" s="26"/>
      <c r="N35" s="26">
        <f>N14/'Rate Class Energy Model'!V6</f>
        <v>1.7336493260294912E-3</v>
      </c>
    </row>
    <row r="36" spans="1:14" x14ac:dyDescent="0.2">
      <c r="A36" s="4">
        <v>2011</v>
      </c>
      <c r="B36" s="26">
        <f>B3/'Rate Class Energy Model'!J7</f>
        <v>3.1158774893600841E-3</v>
      </c>
      <c r="C36" s="26">
        <f>C3/'Rate Class Energy Model'!K7</f>
        <v>2.4425671567357742E-3</v>
      </c>
      <c r="D36" s="26">
        <f>D3/'Rate Class Energy Model'!L7</f>
        <v>2.5514750245168526E-3</v>
      </c>
      <c r="E36" s="26">
        <f>E3/'Rate Class Energy Model'!M7</f>
        <v>2.7964805051584134E-3</v>
      </c>
      <c r="F36" s="26">
        <f>F3/'Rate Class Energy Model'!N7</f>
        <v>1.3915865624273972E-3</v>
      </c>
      <c r="G36" s="26">
        <f>G3/'Rate Class Energy Model'!P7</f>
        <v>1.1873926913609346E-4</v>
      </c>
      <c r="H36" s="26">
        <f>H3/'Rate Class Energy Model'!Q7</f>
        <v>2.2728554537627221E-3</v>
      </c>
      <c r="I36" s="26"/>
      <c r="J36" s="26"/>
      <c r="M36" s="26"/>
      <c r="N36" s="26">
        <f>N15/'Rate Class Energy Model'!V7</f>
        <v>1.7506184180007566E-3</v>
      </c>
    </row>
    <row r="37" spans="1:14" x14ac:dyDescent="0.2">
      <c r="A37" s="4">
        <v>2012</v>
      </c>
      <c r="B37" s="26">
        <f>B4/'Rate Class Energy Model'!J8</f>
        <v>3.1501078223306364E-3</v>
      </c>
      <c r="C37" s="26">
        <f>C4/'Rate Class Energy Model'!K8</f>
        <v>2.3682908790490583E-3</v>
      </c>
      <c r="D37" s="26">
        <f>D4/'Rate Class Energy Model'!L8</f>
        <v>2.4045858465408946E-3</v>
      </c>
      <c r="E37" s="26">
        <f>E4/'Rate Class Energy Model'!M8</f>
        <v>2.7884449288587427E-3</v>
      </c>
      <c r="F37" s="26">
        <f>F4/'Rate Class Energy Model'!N8</f>
        <v>1.7438969294267493E-3</v>
      </c>
      <c r="G37" s="26">
        <f>G4/'Rate Class Energy Model'!P8</f>
        <v>2.3349687719270164E-4</v>
      </c>
      <c r="H37" s="26">
        <f>H4/'Rate Class Energy Model'!Q8</f>
        <v>2.4766825435041172E-3</v>
      </c>
      <c r="I37" s="26"/>
      <c r="J37" s="26"/>
      <c r="M37" s="26"/>
      <c r="N37" s="26">
        <f>N16/'Rate Class Energy Model'!V8</f>
        <v>1.796391424410425E-3</v>
      </c>
    </row>
    <row r="38" spans="1:14" x14ac:dyDescent="0.2">
      <c r="A38" s="4">
        <v>2013</v>
      </c>
      <c r="B38" s="26">
        <f>B5/'Rate Class Energy Model'!J9</f>
        <v>3.0253622954800772E-3</v>
      </c>
      <c r="C38" s="26">
        <f>C5/'Rate Class Energy Model'!K9</f>
        <v>2.1697261813464772E-3</v>
      </c>
      <c r="D38" s="26">
        <f>D5/'Rate Class Energy Model'!L9</f>
        <v>2.0785691775295216E-3</v>
      </c>
      <c r="E38" s="26">
        <f>E5/'Rate Class Energy Model'!M9</f>
        <v>2.8209111186227463E-3</v>
      </c>
      <c r="F38" s="26">
        <f>F5/'Rate Class Energy Model'!N9</f>
        <v>2.0086843263520562E-3</v>
      </c>
      <c r="G38" s="26">
        <f>G5/'Rate Class Energy Model'!P9</f>
        <v>8.7152268064096902E-5</v>
      </c>
      <c r="H38" s="26">
        <f>H5/'Rate Class Energy Model'!Q9</f>
        <v>2.2952307022654794E-3</v>
      </c>
      <c r="I38" s="26"/>
      <c r="J38" s="26">
        <f>J5/('Rate Class Energy Model'!S9+'Rate Class Energy Model'!U9)</f>
        <v>2.0273436260749575E-3</v>
      </c>
      <c r="M38" s="26"/>
      <c r="N38" s="26">
        <f>N17/'Rate Class Energy Model'!V9</f>
        <v>1.7080762822786954E-3</v>
      </c>
    </row>
    <row r="39" spans="1:14" x14ac:dyDescent="0.2">
      <c r="A39" s="4">
        <v>2014</v>
      </c>
      <c r="B39" s="26">
        <f>B6/'Rate Class Energy Model'!J10</f>
        <v>3.2477788774770782E-3</v>
      </c>
      <c r="C39" s="26">
        <f>C6/'Rate Class Energy Model'!K10</f>
        <v>2.2119999506535408E-3</v>
      </c>
      <c r="D39" s="26">
        <f>D6/'Rate Class Energy Model'!L10</f>
        <v>2.2306092924191281E-3</v>
      </c>
      <c r="E39" s="26">
        <f>E6/'Rate Class Energy Model'!M10</f>
        <v>2.7955297878488367E-3</v>
      </c>
      <c r="F39" s="26">
        <f>F6/'Rate Class Energy Model'!N10</f>
        <v>1.9982115890014801E-3</v>
      </c>
      <c r="G39" s="26">
        <f>G6/'Rate Class Energy Model'!P10</f>
        <v>2.8007052795380182E-4</v>
      </c>
      <c r="H39" s="26">
        <f>H6/'Rate Class Energy Model'!Q10</f>
        <v>2.4485397364667582E-3</v>
      </c>
      <c r="I39" s="26"/>
      <c r="J39" s="26">
        <f>J6/('Rate Class Energy Model'!S10+'Rate Class Energy Model'!U10)</f>
        <v>1.8656501048749656E-3</v>
      </c>
      <c r="M39" s="26"/>
      <c r="N39" s="26">
        <f>N18/'Rate Class Energy Model'!V10</f>
        <v>1.671801131341221E-3</v>
      </c>
    </row>
    <row r="40" spans="1:14" x14ac:dyDescent="0.2">
      <c r="A40" s="4">
        <v>2015</v>
      </c>
      <c r="B40" s="26">
        <f>B7/'Rate Class Energy Model'!J11</f>
        <v>3.2019058570745347E-3</v>
      </c>
      <c r="C40" s="26">
        <f>C7/'Rate Class Energy Model'!K11</f>
        <v>2.2075639305751552E-3</v>
      </c>
      <c r="D40" s="26">
        <f>D7/'Rate Class Energy Model'!L11</f>
        <v>2.073961827790093E-3</v>
      </c>
      <c r="E40" s="26">
        <f>E7/'Rate Class Energy Model'!M11</f>
        <v>2.7972823749248064E-3</v>
      </c>
      <c r="F40" s="26">
        <f>F7/'Rate Class Energy Model'!N11</f>
        <v>2.0214858902524485E-3</v>
      </c>
      <c r="G40" s="26">
        <f>G7/'Rate Class Energy Model'!P11</f>
        <v>2.71140971775378E-4</v>
      </c>
      <c r="H40" s="26">
        <f>H7/'Rate Class Energy Model'!Q11</f>
        <v>2.2306923797295814E-3</v>
      </c>
      <c r="I40" s="26"/>
      <c r="J40" s="26">
        <f>J7/('Rate Class Energy Model'!S11+'Rate Class Energy Model'!U11)</f>
        <v>1.8640021247728535E-3</v>
      </c>
      <c r="M40" s="26"/>
      <c r="N40" s="26">
        <f>N19/'Rate Class Energy Model'!V11</f>
        <v>1.6626284313339076E-3</v>
      </c>
    </row>
    <row r="41" spans="1:14" x14ac:dyDescent="0.2">
      <c r="A41" s="4">
        <v>2016</v>
      </c>
      <c r="B41" s="26">
        <f>B8/'Rate Class Energy Model'!J12</f>
        <v>3.2312283731150606E-3</v>
      </c>
      <c r="C41" s="26">
        <f>C8/'Rate Class Energy Model'!K12</f>
        <v>2.4136475882539032E-3</v>
      </c>
      <c r="D41" s="26">
        <f>D8/'Rate Class Energy Model'!L12</f>
        <v>2.3706806662767256E-3</v>
      </c>
      <c r="E41" s="26">
        <f>E8/'Rate Class Energy Model'!M12</f>
        <v>2.8176478288412373E-3</v>
      </c>
      <c r="F41" s="26">
        <f>F8/'Rate Class Energy Model'!N12</f>
        <v>3.0478125782456462E-3</v>
      </c>
      <c r="G41" s="26">
        <f>G8/'Rate Class Energy Model'!P12</f>
        <v>3.4548542802004577E-3</v>
      </c>
      <c r="H41" s="26">
        <f>H8/'Rate Class Energy Model'!Q12</f>
        <v>2.1701598376406583E-3</v>
      </c>
      <c r="I41" s="26"/>
      <c r="J41" s="26">
        <f>J8/('Rate Class Energy Model'!S12+'Rate Class Energy Model'!U12)</f>
        <v>1.9969140592479393E-3</v>
      </c>
      <c r="M41" s="26"/>
      <c r="N41" s="26">
        <f>N20/'Rate Class Energy Model'!V12</f>
        <v>1.6823942415125405E-3</v>
      </c>
    </row>
    <row r="42" spans="1:14" x14ac:dyDescent="0.2">
      <c r="A42" s="4">
        <v>2017</v>
      </c>
      <c r="B42" s="26">
        <f>B9/'Rate Class Energy Model'!J13</f>
        <v>3.118349740204503E-3</v>
      </c>
      <c r="C42" s="26">
        <f>C9/'Rate Class Energy Model'!K13</f>
        <v>2.3802773062573967E-3</v>
      </c>
      <c r="D42" s="26">
        <f>D9/'Rate Class Energy Model'!L13</f>
        <v>2.3811640592463633E-3</v>
      </c>
      <c r="E42" s="26">
        <f>E9/'Rate Class Energy Model'!M13</f>
        <v>2.8816887936371481E-3</v>
      </c>
      <c r="F42" s="26">
        <f>F9/'Rate Class Energy Model'!N13</f>
        <v>2.7003913724810815E-3</v>
      </c>
      <c r="G42" s="26">
        <f>G9/'Rate Class Energy Model'!P13</f>
        <v>3.0911275933101787E-3</v>
      </c>
      <c r="H42" s="26">
        <f>H9/'Rate Class Energy Model'!Q13</f>
        <v>2.3795493247116203E-3</v>
      </c>
      <c r="I42" s="26"/>
      <c r="J42" s="26">
        <f>J9/('Rate Class Energy Model'!S13+'Rate Class Energy Model'!U13)</f>
        <v>1.9664151782715555E-3</v>
      </c>
      <c r="M42" s="26"/>
      <c r="N42" s="26">
        <f>N21/'Rate Class Energy Model'!V13</f>
        <v>1.7121165473537902E-3</v>
      </c>
    </row>
    <row r="43" spans="1:14" x14ac:dyDescent="0.2">
      <c r="N43"/>
    </row>
    <row r="44" spans="1:14" x14ac:dyDescent="0.2">
      <c r="A44" s="113" t="s">
        <v>60</v>
      </c>
      <c r="B44" s="26">
        <f>B46</f>
        <v>3.1559605298920324E-3</v>
      </c>
      <c r="C44" s="26">
        <f>C46</f>
        <v>2.3469180510272882E-3</v>
      </c>
      <c r="D44" s="26">
        <f>D46</f>
        <v>2.2793918739027921E-3</v>
      </c>
      <c r="E44" s="26">
        <f>E42</f>
        <v>2.8816887936371481E-3</v>
      </c>
      <c r="F44" s="26">
        <f>F42</f>
        <v>2.7003913724810815E-3</v>
      </c>
      <c r="G44" s="26">
        <f>G42</f>
        <v>3.0911275933101787E-3</v>
      </c>
      <c r="H44" s="26">
        <f>H42</f>
        <v>2.3795493247116203E-3</v>
      </c>
      <c r="I44" s="26">
        <f>H44</f>
        <v>2.3795493247116203E-3</v>
      </c>
      <c r="J44" s="26">
        <f>J42</f>
        <v>1.9664151782715555E-3</v>
      </c>
      <c r="N44" s="26">
        <f>N42</f>
        <v>1.7121165473537902E-3</v>
      </c>
    </row>
    <row r="45" spans="1:14" x14ac:dyDescent="0.2">
      <c r="N45"/>
    </row>
    <row r="46" spans="1:14" x14ac:dyDescent="0.2">
      <c r="A46" t="s">
        <v>16</v>
      </c>
      <c r="B46" s="26">
        <f>AVERAGE(B35:B42)</f>
        <v>3.1559605298920324E-3</v>
      </c>
      <c r="C46" s="26">
        <f t="shared" ref="C46:N46" si="11">AVERAGE(C35:C42)</f>
        <v>2.3469180510272882E-3</v>
      </c>
      <c r="D46" s="26">
        <f t="shared" si="11"/>
        <v>2.2793918739027921E-3</v>
      </c>
      <c r="E46" s="26">
        <f t="shared" si="11"/>
        <v>2.8119636039090797E-3</v>
      </c>
      <c r="F46" s="26">
        <f t="shared" si="11"/>
        <v>2.2112308782455794E-3</v>
      </c>
      <c r="G46" s="26">
        <f t="shared" si="11"/>
        <v>9.45514635496495E-4</v>
      </c>
      <c r="H46" s="26">
        <f t="shared" si="11"/>
        <v>2.3076449316899767E-3</v>
      </c>
      <c r="I46" s="26"/>
      <c r="J46" s="26">
        <f t="shared" si="11"/>
        <v>1.9440650186484539E-3</v>
      </c>
      <c r="K46" s="26"/>
      <c r="L46" s="26"/>
      <c r="M46" s="26"/>
      <c r="N46" s="26">
        <f t="shared" si="11"/>
        <v>1.7147094752826034E-3</v>
      </c>
    </row>
    <row r="51" spans="2:6" x14ac:dyDescent="0.2">
      <c r="B51" s="24"/>
      <c r="C51" s="24"/>
      <c r="D51" s="24"/>
      <c r="E51" s="24"/>
      <c r="F51" s="24"/>
    </row>
    <row r="52" spans="2:6" x14ac:dyDescent="0.2">
      <c r="B52" s="24"/>
      <c r="C52" s="24"/>
      <c r="D52" s="24"/>
      <c r="E52" s="24"/>
      <c r="F52" s="24"/>
    </row>
    <row r="71" spans="2:6" x14ac:dyDescent="0.2">
      <c r="B71" s="14"/>
      <c r="C71" s="14"/>
      <c r="D71" s="14"/>
      <c r="E71" s="14"/>
      <c r="F71" s="14"/>
    </row>
    <row r="72" spans="2:6" x14ac:dyDescent="0.2">
      <c r="B72" s="14"/>
      <c r="C72" s="14"/>
      <c r="D72" s="14"/>
      <c r="E72" s="14"/>
      <c r="F72" s="14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  <ignoredErrors>
    <ignoredError sqref="E44 I44 I3:I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8"/>
  <sheetViews>
    <sheetView topLeftCell="E1" workbookViewId="0">
      <selection activeCell="V9" sqref="V9"/>
    </sheetView>
  </sheetViews>
  <sheetFormatPr defaultColWidth="9.140625" defaultRowHeight="12.75" x14ac:dyDescent="0.2"/>
  <cols>
    <col min="1" max="1" width="9.140625" style="117"/>
    <col min="2" max="7" width="14.140625" style="117" customWidth="1"/>
    <col min="8" max="8" width="14.42578125" style="117" customWidth="1"/>
    <col min="9" max="9" width="13" style="117" bestFit="1" customWidth="1"/>
    <col min="10" max="10" width="12.85546875" style="117" bestFit="1" customWidth="1"/>
    <col min="11" max="11" width="12.28515625" style="117" bestFit="1" customWidth="1"/>
    <col min="12" max="12" width="10.28515625" style="117" bestFit="1" customWidth="1"/>
    <col min="13" max="16" width="9.140625" style="117"/>
    <col min="17" max="17" width="1.42578125" style="117" customWidth="1"/>
    <col min="18" max="18" width="9.140625" style="117"/>
    <col min="19" max="19" width="14.140625" style="117" customWidth="1"/>
    <col min="20" max="20" width="11.28515625" style="117" bestFit="1" customWidth="1"/>
    <col min="21" max="21" width="11.85546875" style="117" customWidth="1"/>
    <col min="22" max="22" width="14" style="117" bestFit="1" customWidth="1"/>
    <col min="23" max="23" width="11" style="117" customWidth="1"/>
    <col min="24" max="24" width="10.140625" style="117" bestFit="1" customWidth="1"/>
    <col min="25" max="16384" width="9.140625" style="117"/>
  </cols>
  <sheetData>
    <row r="1" spans="1:24" ht="15.75" x14ac:dyDescent="0.25">
      <c r="A1" s="210"/>
      <c r="B1" s="210"/>
      <c r="C1" s="210"/>
      <c r="D1" s="210"/>
      <c r="E1" s="210"/>
      <c r="F1" s="210"/>
      <c r="G1" s="210"/>
    </row>
    <row r="2" spans="1:24" ht="63.75" x14ac:dyDescent="0.2">
      <c r="B2" s="211" t="s">
        <v>299</v>
      </c>
      <c r="C2" s="211" t="s">
        <v>169</v>
      </c>
      <c r="D2" s="211" t="s">
        <v>300</v>
      </c>
      <c r="E2" s="211" t="s">
        <v>301</v>
      </c>
      <c r="F2" s="211" t="s">
        <v>396</v>
      </c>
      <c r="G2" s="211" t="s">
        <v>74</v>
      </c>
      <c r="H2" s="211" t="s">
        <v>75</v>
      </c>
    </row>
    <row r="3" spans="1:24" x14ac:dyDescent="0.2">
      <c r="H3" s="212"/>
      <c r="I3" s="212"/>
      <c r="K3" s="481" t="s">
        <v>19</v>
      </c>
      <c r="L3" s="481"/>
      <c r="N3" s="160" t="s">
        <v>76</v>
      </c>
      <c r="O3" s="160">
        <v>1</v>
      </c>
    </row>
    <row r="4" spans="1:24" x14ac:dyDescent="0.2">
      <c r="A4" s="117">
        <v>2006</v>
      </c>
      <c r="B4" s="212">
        <f>B26+B43</f>
        <v>2199695.3612610851</v>
      </c>
      <c r="C4" s="212">
        <f>C26+C43</f>
        <v>0</v>
      </c>
      <c r="D4" s="212">
        <f>D26+D43</f>
        <v>0</v>
      </c>
      <c r="E4" s="212"/>
      <c r="F4" s="212"/>
      <c r="G4" s="212">
        <f t="shared" ref="G4:G17" si="0">SUM(B4:F4)</f>
        <v>2199695.3612610851</v>
      </c>
      <c r="H4" s="212">
        <f>G4</f>
        <v>2199695.3612610851</v>
      </c>
      <c r="I4" s="212">
        <f t="shared" ref="I4:I17" si="1">H4/$O$15</f>
        <v>28201.222580270321</v>
      </c>
      <c r="K4" s="213">
        <f>I71</f>
        <v>2199695.3612610851</v>
      </c>
      <c r="L4" s="213">
        <f>G4-K4</f>
        <v>0</v>
      </c>
      <c r="N4" s="160" t="s">
        <v>77</v>
      </c>
      <c r="O4" s="160">
        <v>2</v>
      </c>
    </row>
    <row r="5" spans="1:24" x14ac:dyDescent="0.2">
      <c r="A5" s="117">
        <v>2007</v>
      </c>
      <c r="B5" s="212">
        <f t="shared" ref="B5:D17" si="2">B27+B44</f>
        <v>5865380.9545399398</v>
      </c>
      <c r="C5" s="212">
        <f t="shared" si="2"/>
        <v>0</v>
      </c>
      <c r="D5" s="212">
        <f t="shared" si="2"/>
        <v>0</v>
      </c>
      <c r="G5" s="212">
        <f t="shared" si="0"/>
        <v>5865380.9545399398</v>
      </c>
      <c r="H5" s="212">
        <f>G5-J71</f>
        <v>1804404.9029810131</v>
      </c>
      <c r="I5" s="212">
        <f t="shared" si="1"/>
        <v>23133.396192064269</v>
      </c>
      <c r="K5" s="213">
        <f>I83</f>
        <v>5865380.9545399398</v>
      </c>
      <c r="L5" s="213">
        <f t="shared" ref="L5:L17" si="3">G5-K5</f>
        <v>0</v>
      </c>
      <c r="N5" s="160" t="s">
        <v>78</v>
      </c>
      <c r="O5" s="160">
        <v>3</v>
      </c>
    </row>
    <row r="6" spans="1:24" x14ac:dyDescent="0.2">
      <c r="A6" s="117">
        <v>2008</v>
      </c>
      <c r="B6" s="212">
        <f t="shared" si="2"/>
        <v>8715686.3449556809</v>
      </c>
      <c r="C6" s="212">
        <f t="shared" si="2"/>
        <v>0</v>
      </c>
      <c r="D6" s="212">
        <f t="shared" si="2"/>
        <v>0</v>
      </c>
      <c r="E6" s="212"/>
      <c r="F6" s="212"/>
      <c r="G6" s="212">
        <f t="shared" si="0"/>
        <v>8715686.3449556809</v>
      </c>
      <c r="H6" s="212">
        <f>G6-J83</f>
        <v>1323501.2417394994</v>
      </c>
      <c r="I6" s="212">
        <f t="shared" si="1"/>
        <v>16967.964637685891</v>
      </c>
      <c r="K6" s="213">
        <f>I95</f>
        <v>8715686.3449556828</v>
      </c>
      <c r="L6" s="213">
        <f t="shared" si="3"/>
        <v>0</v>
      </c>
      <c r="N6" s="160" t="s">
        <v>79</v>
      </c>
      <c r="O6" s="160">
        <v>4</v>
      </c>
      <c r="T6" s="117">
        <v>2017</v>
      </c>
      <c r="U6" s="117">
        <v>2018</v>
      </c>
      <c r="V6" s="117">
        <v>2019</v>
      </c>
    </row>
    <row r="7" spans="1:24" x14ac:dyDescent="0.2">
      <c r="A7" s="117">
        <v>2009</v>
      </c>
      <c r="B7" s="212">
        <f t="shared" si="2"/>
        <v>14062057.38329369</v>
      </c>
      <c r="C7" s="212">
        <f t="shared" si="2"/>
        <v>0</v>
      </c>
      <c r="D7" s="212">
        <f t="shared" si="2"/>
        <v>0</v>
      </c>
      <c r="E7" s="212"/>
      <c r="F7" s="212"/>
      <c r="G7" s="212">
        <f t="shared" si="0"/>
        <v>14062057.38329369</v>
      </c>
      <c r="H7" s="212">
        <f>G7-J95</f>
        <v>4226485.3722507376</v>
      </c>
      <c r="I7" s="212">
        <f t="shared" si="1"/>
        <v>54185.70990065048</v>
      </c>
      <c r="K7" s="213">
        <f>I107</f>
        <v>14062057.383293686</v>
      </c>
      <c r="L7" s="213">
        <f t="shared" si="3"/>
        <v>0</v>
      </c>
      <c r="N7" s="160" t="s">
        <v>80</v>
      </c>
      <c r="O7" s="160">
        <v>5</v>
      </c>
      <c r="S7" s="117" t="s">
        <v>170</v>
      </c>
      <c r="T7" s="213">
        <f>F15*2</f>
        <v>32821514</v>
      </c>
      <c r="U7" s="213">
        <f>F16</f>
        <v>30494190</v>
      </c>
      <c r="V7" s="213">
        <f>F17</f>
        <v>30486756</v>
      </c>
    </row>
    <row r="8" spans="1:24" x14ac:dyDescent="0.2">
      <c r="A8" s="117">
        <v>2010</v>
      </c>
      <c r="B8" s="212">
        <f t="shared" si="2"/>
        <v>19632401.026942715</v>
      </c>
      <c r="C8" s="212">
        <f t="shared" si="2"/>
        <v>0</v>
      </c>
      <c r="D8" s="212">
        <f t="shared" si="2"/>
        <v>0</v>
      </c>
      <c r="E8" s="212"/>
      <c r="F8" s="212"/>
      <c r="G8" s="212">
        <f t="shared" si="0"/>
        <v>19632401.026942715</v>
      </c>
      <c r="H8" s="212">
        <f>G8-J107</f>
        <v>1994086.7902061008</v>
      </c>
      <c r="I8" s="212">
        <f t="shared" si="1"/>
        <v>25565.215259052573</v>
      </c>
      <c r="K8" s="213">
        <f>I119</f>
        <v>19632401.026942719</v>
      </c>
      <c r="L8" s="213">
        <f t="shared" si="3"/>
        <v>0</v>
      </c>
      <c r="N8" s="160" t="s">
        <v>81</v>
      </c>
      <c r="O8" s="160">
        <v>6</v>
      </c>
      <c r="S8" s="117" t="s">
        <v>179</v>
      </c>
      <c r="U8" s="244">
        <v>29298881.316179384</v>
      </c>
      <c r="V8" s="244">
        <v>14028881.316179384</v>
      </c>
      <c r="W8" s="217">
        <f>U8-V8</f>
        <v>15270000</v>
      </c>
      <c r="X8" s="217">
        <f>W8+W9*0.5</f>
        <v>16470000</v>
      </c>
    </row>
    <row r="9" spans="1:24" x14ac:dyDescent="0.2">
      <c r="A9" s="117">
        <v>2011</v>
      </c>
      <c r="B9" s="212">
        <f t="shared" si="2"/>
        <v>23543735.668849543</v>
      </c>
      <c r="C9" s="212">
        <f t="shared" si="2"/>
        <v>6993904.1266628653</v>
      </c>
      <c r="D9" s="212">
        <f t="shared" si="2"/>
        <v>0</v>
      </c>
      <c r="G9" s="212">
        <f t="shared" si="0"/>
        <v>30537639.795512408</v>
      </c>
      <c r="H9" s="212">
        <f>G9-J119</f>
        <v>9217934.5614722222</v>
      </c>
      <c r="I9" s="212">
        <f t="shared" si="1"/>
        <v>118178.64822400284</v>
      </c>
      <c r="K9" s="213">
        <f>I131</f>
        <v>30537639.795512404</v>
      </c>
      <c r="L9" s="213">
        <f t="shared" si="3"/>
        <v>0</v>
      </c>
      <c r="N9" s="160" t="s">
        <v>82</v>
      </c>
      <c r="O9" s="160">
        <v>7</v>
      </c>
      <c r="S9" s="117" t="s">
        <v>180</v>
      </c>
      <c r="U9" s="245"/>
      <c r="V9" s="244">
        <v>13814261.316179384</v>
      </c>
      <c r="W9" s="217">
        <v>2400000</v>
      </c>
      <c r="X9" s="117">
        <f>X8*'Rate Class Load Model'!C46</f>
        <v>38653.740300419435</v>
      </c>
    </row>
    <row r="10" spans="1:24" x14ac:dyDescent="0.2">
      <c r="A10" s="117">
        <v>2012</v>
      </c>
      <c r="B10" s="212">
        <f t="shared" si="2"/>
        <v>23185905.657823481</v>
      </c>
      <c r="C10" s="212">
        <f t="shared" si="2"/>
        <v>19010177.342864227</v>
      </c>
      <c r="D10" s="212">
        <f t="shared" si="2"/>
        <v>0</v>
      </c>
      <c r="E10" s="212"/>
      <c r="F10" s="212"/>
      <c r="G10" s="212">
        <f t="shared" si="0"/>
        <v>42196083.000687703</v>
      </c>
      <c r="H10" s="212">
        <f>G10-J131</f>
        <v>3858652.4223911241</v>
      </c>
      <c r="I10" s="212">
        <f t="shared" si="1"/>
        <v>49469.902851168255</v>
      </c>
      <c r="K10" s="213">
        <f>I143</f>
        <v>42196083.000687689</v>
      </c>
      <c r="L10" s="213">
        <f t="shared" si="3"/>
        <v>0</v>
      </c>
      <c r="N10" s="160" t="s">
        <v>83</v>
      </c>
      <c r="O10" s="160">
        <v>8</v>
      </c>
    </row>
    <row r="11" spans="1:24" x14ac:dyDescent="0.2">
      <c r="A11" s="117">
        <v>2013</v>
      </c>
      <c r="B11" s="212">
        <f t="shared" si="2"/>
        <v>23093273.383187491</v>
      </c>
      <c r="C11" s="212">
        <f t="shared" si="2"/>
        <v>29756732.742700759</v>
      </c>
      <c r="D11" s="212">
        <f t="shared" si="2"/>
        <v>0</v>
      </c>
      <c r="E11" s="212"/>
      <c r="F11" s="212"/>
      <c r="G11" s="212">
        <f t="shared" si="0"/>
        <v>52850006.125888251</v>
      </c>
      <c r="H11" s="212">
        <f>G11-J143</f>
        <v>7388909.5370234698</v>
      </c>
      <c r="I11" s="212">
        <f t="shared" si="1"/>
        <v>94729.609449018841</v>
      </c>
      <c r="K11" s="213">
        <f>I155</f>
        <v>52850006.125888243</v>
      </c>
      <c r="L11" s="213">
        <f t="shared" si="3"/>
        <v>0</v>
      </c>
      <c r="N11" s="160" t="s">
        <v>84</v>
      </c>
      <c r="O11" s="160">
        <v>9</v>
      </c>
      <c r="V11" s="131"/>
    </row>
    <row r="12" spans="1:24" x14ac:dyDescent="0.2">
      <c r="A12" s="117">
        <v>2014</v>
      </c>
      <c r="B12" s="212">
        <f t="shared" si="2"/>
        <v>22519904.220766161</v>
      </c>
      <c r="C12" s="212">
        <f t="shared" si="2"/>
        <v>45730998.767416835</v>
      </c>
      <c r="D12" s="212">
        <f t="shared" si="2"/>
        <v>0</v>
      </c>
      <c r="E12" s="212"/>
      <c r="F12" s="212"/>
      <c r="G12" s="212">
        <f t="shared" si="0"/>
        <v>68250902.988182992</v>
      </c>
      <c r="H12" s="212">
        <f>G12-J155</f>
        <v>9148742.638659507</v>
      </c>
      <c r="I12" s="212">
        <f t="shared" si="1"/>
        <v>117291.5722905065</v>
      </c>
      <c r="K12" s="213">
        <f>I167</f>
        <v>68250902.988182977</v>
      </c>
      <c r="L12" s="213">
        <f t="shared" si="3"/>
        <v>0</v>
      </c>
      <c r="N12" s="160" t="s">
        <v>85</v>
      </c>
      <c r="O12" s="160">
        <v>10</v>
      </c>
    </row>
    <row r="13" spans="1:24" x14ac:dyDescent="0.2">
      <c r="A13" s="117">
        <v>2015</v>
      </c>
      <c r="B13" s="212">
        <f t="shared" si="2"/>
        <v>20225484.941065822</v>
      </c>
      <c r="C13" s="212">
        <f t="shared" si="2"/>
        <v>55118688.551353671</v>
      </c>
      <c r="D13" s="212">
        <v>10515309.5</v>
      </c>
      <c r="E13" s="212"/>
      <c r="F13" s="212"/>
      <c r="G13" s="212">
        <f t="shared" si="0"/>
        <v>85859482.992419496</v>
      </c>
      <c r="H13" s="212">
        <f>G13-J167</f>
        <v>9867336.2330631167</v>
      </c>
      <c r="I13" s="212">
        <f t="shared" si="1"/>
        <v>126504.31068029637</v>
      </c>
      <c r="K13" s="213">
        <f>I179</f>
        <v>85859482.992419481</v>
      </c>
      <c r="L13" s="213">
        <f t="shared" si="3"/>
        <v>0</v>
      </c>
      <c r="N13" s="160" t="s">
        <v>86</v>
      </c>
      <c r="O13" s="160">
        <v>11</v>
      </c>
    </row>
    <row r="14" spans="1:24" x14ac:dyDescent="0.2">
      <c r="A14" s="117">
        <v>2016</v>
      </c>
      <c r="B14" s="212">
        <f t="shared" si="2"/>
        <v>19336761.166483566</v>
      </c>
      <c r="C14" s="212">
        <f t="shared" si="2"/>
        <v>54157230.135607593</v>
      </c>
      <c r="D14" s="212">
        <v>20981651</v>
      </c>
      <c r="E14" s="212">
        <v>8714054</v>
      </c>
      <c r="F14" s="212"/>
      <c r="G14" s="212">
        <f t="shared" si="0"/>
        <v>103189696.30209115</v>
      </c>
      <c r="H14" s="212">
        <f>G14-J179</f>
        <v>8980928.8047721088</v>
      </c>
      <c r="I14" s="212">
        <f t="shared" si="1"/>
        <v>115140.1128816937</v>
      </c>
      <c r="K14" s="213">
        <f>I191</f>
        <v>103189696.30209118</v>
      </c>
      <c r="L14" s="213">
        <f t="shared" si="3"/>
        <v>0</v>
      </c>
      <c r="N14" s="160" t="s">
        <v>87</v>
      </c>
      <c r="O14" s="160">
        <v>12</v>
      </c>
    </row>
    <row r="15" spans="1:24" x14ac:dyDescent="0.2">
      <c r="A15" s="117">
        <v>2017</v>
      </c>
      <c r="B15" s="212">
        <f t="shared" si="2"/>
        <v>16614718.7831212</v>
      </c>
      <c r="C15" s="212">
        <f t="shared" si="2"/>
        <v>52313261.574779622</v>
      </c>
      <c r="D15" s="212">
        <v>20698092</v>
      </c>
      <c r="E15" s="212">
        <v>17428107</v>
      </c>
      <c r="F15" s="212">
        <v>16410757</v>
      </c>
      <c r="G15" s="212">
        <f t="shared" si="0"/>
        <v>123464936.35790083</v>
      </c>
      <c r="H15" s="212">
        <f>G15-J191</f>
        <v>12675992.605617851</v>
      </c>
      <c r="I15" s="212">
        <f t="shared" si="1"/>
        <v>162512.72571304938</v>
      </c>
      <c r="K15" s="213">
        <f>I203</f>
        <v>123464936.35790089</v>
      </c>
      <c r="L15" s="213">
        <f t="shared" si="3"/>
        <v>0</v>
      </c>
      <c r="N15" s="160" t="s">
        <v>12</v>
      </c>
      <c r="O15" s="160">
        <f>SUM(O3:O14)</f>
        <v>78</v>
      </c>
    </row>
    <row r="16" spans="1:24" x14ac:dyDescent="0.2">
      <c r="A16" s="117">
        <v>2018</v>
      </c>
      <c r="B16" s="212">
        <f t="shared" si="2"/>
        <v>13279278.834750477</v>
      </c>
      <c r="C16" s="212">
        <f t="shared" si="2"/>
        <v>51465421.515413366</v>
      </c>
      <c r="D16" s="212">
        <v>20605060</v>
      </c>
      <c r="E16" s="212">
        <v>17454763</v>
      </c>
      <c r="F16" s="212">
        <v>30494190</v>
      </c>
      <c r="G16" s="212">
        <f t="shared" si="0"/>
        <v>133298713.35016385</v>
      </c>
      <c r="H16" s="212">
        <f>G16-J203</f>
        <v>-892062.90479832888</v>
      </c>
      <c r="I16" s="212">
        <f t="shared" si="1"/>
        <v>-11436.703907670882</v>
      </c>
      <c r="K16" s="213">
        <f>I215</f>
        <v>133298713.35016388</v>
      </c>
      <c r="L16" s="213">
        <f t="shared" si="3"/>
        <v>0</v>
      </c>
      <c r="N16"/>
      <c r="O16"/>
    </row>
    <row r="17" spans="1:15" x14ac:dyDescent="0.2">
      <c r="A17" s="117">
        <v>2019</v>
      </c>
      <c r="B17" s="212">
        <f t="shared" si="2"/>
        <v>7609615.3956155851</v>
      </c>
      <c r="C17" s="212">
        <f t="shared" si="2"/>
        <v>50830908.090940356</v>
      </c>
      <c r="D17" s="212">
        <v>20593543</v>
      </c>
      <c r="E17" s="212">
        <v>17454763</v>
      </c>
      <c r="F17" s="212">
        <v>30486756</v>
      </c>
      <c r="G17" s="212">
        <f t="shared" si="0"/>
        <v>126975585.48655593</v>
      </c>
      <c r="H17" s="212">
        <f>G17-J215</f>
        <v>-5568305.4057016969</v>
      </c>
      <c r="I17" s="212">
        <f t="shared" si="1"/>
        <v>-71388.530842329448</v>
      </c>
      <c r="K17" s="213">
        <f>I227</f>
        <v>126975585.48655587</v>
      </c>
      <c r="L17" s="213">
        <f t="shared" si="3"/>
        <v>0</v>
      </c>
      <c r="N17"/>
      <c r="O17"/>
    </row>
    <row r="18" spans="1:15" x14ac:dyDescent="0.2">
      <c r="A18" s="117" t="s">
        <v>12</v>
      </c>
      <c r="B18" s="212">
        <f t="shared" ref="B18:G18" si="4">SUM(B4:B17)</f>
        <v>219883899.12265643</v>
      </c>
      <c r="C18" s="212">
        <f t="shared" si="4"/>
        <v>365377322.84773928</v>
      </c>
      <c r="D18" s="212">
        <f>SUM(D4:D17)</f>
        <v>93393655.5</v>
      </c>
      <c r="E18" s="212">
        <f>SUM(E4:E17)</f>
        <v>61051687</v>
      </c>
      <c r="F18" s="212">
        <f>SUM(F4:F17)</f>
        <v>77391703</v>
      </c>
      <c r="G18" s="212">
        <f t="shared" si="4"/>
        <v>817098267.47039568</v>
      </c>
      <c r="H18" s="212"/>
      <c r="I18" s="212"/>
      <c r="L18" s="213"/>
      <c r="N18"/>
      <c r="O18"/>
    </row>
    <row r="19" spans="1:15" x14ac:dyDescent="0.2">
      <c r="B19" s="212"/>
      <c r="C19" s="212"/>
      <c r="D19" s="212"/>
      <c r="E19" s="212"/>
      <c r="F19" s="212"/>
      <c r="G19" s="212"/>
      <c r="H19" s="212"/>
      <c r="I19" s="212"/>
      <c r="L19" s="213"/>
      <c r="N19" s="219"/>
      <c r="O19" s="219"/>
    </row>
    <row r="20" spans="1:15" x14ac:dyDescent="0.2">
      <c r="F20"/>
      <c r="H20" s="212"/>
    </row>
    <row r="21" spans="1:15" x14ac:dyDescent="0.2">
      <c r="C21" s="218"/>
      <c r="D21" s="217"/>
      <c r="E21" s="217"/>
      <c r="F21" s="217"/>
      <c r="H21" s="213"/>
      <c r="I21" s="217"/>
    </row>
    <row r="22" spans="1:15" x14ac:dyDescent="0.2">
      <c r="C22" s="218"/>
      <c r="D22" s="217"/>
      <c r="H22" s="213"/>
      <c r="I22" s="217"/>
    </row>
    <row r="23" spans="1:15" x14ac:dyDescent="0.2">
      <c r="D23" s="217"/>
      <c r="E23" s="217"/>
      <c r="H23" s="213"/>
      <c r="I23" s="217"/>
    </row>
    <row r="24" spans="1:15" x14ac:dyDescent="0.2">
      <c r="D24" s="217"/>
      <c r="H24" s="212"/>
    </row>
    <row r="25" spans="1:15" x14ac:dyDescent="0.2">
      <c r="A25" s="117" t="s">
        <v>171</v>
      </c>
      <c r="D25" s="217"/>
      <c r="H25" s="212"/>
    </row>
    <row r="26" spans="1:15" x14ac:dyDescent="0.2">
      <c r="A26" s="117">
        <v>2006</v>
      </c>
      <c r="B26" s="212">
        <v>1826895.8597920679</v>
      </c>
      <c r="D26" s="212"/>
      <c r="E26" s="212"/>
      <c r="F26" s="212"/>
      <c r="H26" s="212"/>
    </row>
    <row r="27" spans="1:15" x14ac:dyDescent="0.2">
      <c r="A27" s="117">
        <v>2007</v>
      </c>
      <c r="B27" s="212">
        <v>4932237.5799856689</v>
      </c>
      <c r="H27" s="212"/>
    </row>
    <row r="28" spans="1:15" x14ac:dyDescent="0.2">
      <c r="A28" s="117">
        <v>2008</v>
      </c>
      <c r="B28" s="212">
        <v>7199424.3715859503</v>
      </c>
      <c r="D28" s="212"/>
      <c r="E28" s="212"/>
      <c r="F28" s="212"/>
      <c r="H28" s="212"/>
    </row>
    <row r="29" spans="1:15" x14ac:dyDescent="0.2">
      <c r="A29" s="117">
        <v>2009</v>
      </c>
      <c r="B29" s="212">
        <v>11355458.395677306</v>
      </c>
      <c r="D29" s="212"/>
      <c r="E29" s="212"/>
      <c r="F29" s="212"/>
      <c r="H29" s="212"/>
    </row>
    <row r="30" spans="1:15" x14ac:dyDescent="0.2">
      <c r="A30" s="117">
        <v>2010</v>
      </c>
      <c r="B30" s="212">
        <v>16129896.991863357</v>
      </c>
      <c r="D30" s="212"/>
      <c r="E30" s="212"/>
      <c r="F30" s="212"/>
      <c r="H30" s="212"/>
    </row>
    <row r="31" spans="1:15" x14ac:dyDescent="0.2">
      <c r="A31" s="117">
        <v>2011</v>
      </c>
      <c r="B31" s="212">
        <v>19795632.977069873</v>
      </c>
      <c r="C31" s="212">
        <v>6778815.9923871942</v>
      </c>
      <c r="H31" s="212"/>
    </row>
    <row r="32" spans="1:15" x14ac:dyDescent="0.2">
      <c r="A32" s="117">
        <v>2012</v>
      </c>
      <c r="B32" s="212">
        <v>19505272.310954027</v>
      </c>
      <c r="C32" s="212">
        <v>17888164.594762463</v>
      </c>
      <c r="D32" s="212"/>
      <c r="E32" s="212"/>
      <c r="F32" s="212"/>
      <c r="H32" s="212"/>
    </row>
    <row r="33" spans="1:8" x14ac:dyDescent="0.2">
      <c r="A33" s="117">
        <v>2013</v>
      </c>
      <c r="B33" s="212">
        <v>19444649.840082143</v>
      </c>
      <c r="C33" s="212">
        <v>27622904.902100723</v>
      </c>
      <c r="D33" s="212"/>
      <c r="E33" s="212"/>
      <c r="F33" s="212"/>
      <c r="H33" s="212"/>
    </row>
    <row r="34" spans="1:8" x14ac:dyDescent="0.2">
      <c r="A34" s="117">
        <v>2014</v>
      </c>
      <c r="B34" s="212">
        <v>19030184.128223255</v>
      </c>
      <c r="C34" s="212">
        <v>42192523.183772601</v>
      </c>
      <c r="D34" s="212"/>
      <c r="E34" s="212"/>
      <c r="F34" s="212"/>
      <c r="H34" s="212"/>
    </row>
    <row r="35" spans="1:8" x14ac:dyDescent="0.2">
      <c r="A35" s="117">
        <v>2015</v>
      </c>
      <c r="B35" s="212">
        <v>17119012.003422014</v>
      </c>
      <c r="C35" s="212">
        <v>50661733.804871768</v>
      </c>
      <c r="D35" s="212">
        <v>8187687.5</v>
      </c>
      <c r="E35" s="212"/>
      <c r="F35" s="212"/>
      <c r="H35" s="212"/>
    </row>
    <row r="36" spans="1:8" x14ac:dyDescent="0.2">
      <c r="A36" s="117">
        <v>2016</v>
      </c>
      <c r="B36" s="212">
        <v>16413894.695557421</v>
      </c>
      <c r="C36" s="212">
        <v>49887125.555337399</v>
      </c>
      <c r="D36" s="212">
        <v>16312404</v>
      </c>
      <c r="E36" s="212"/>
      <c r="F36" s="212"/>
      <c r="H36" s="212"/>
    </row>
    <row r="37" spans="1:8" x14ac:dyDescent="0.2">
      <c r="A37" s="117">
        <v>2017</v>
      </c>
      <c r="B37" s="212">
        <v>14306340.745248856</v>
      </c>
      <c r="C37" s="212">
        <v>48449983.476045534</v>
      </c>
      <c r="D37" s="212">
        <v>15941956</v>
      </c>
      <c r="E37" s="212"/>
      <c r="F37" s="212"/>
      <c r="H37" s="212"/>
    </row>
    <row r="38" spans="1:8" x14ac:dyDescent="0.2">
      <c r="A38" s="117">
        <v>2018</v>
      </c>
      <c r="B38" s="212">
        <v>11654540.724840907</v>
      </c>
      <c r="C38" s="212">
        <v>47806271.232385643</v>
      </c>
      <c r="D38" s="212">
        <v>15674985</v>
      </c>
      <c r="E38" s="212"/>
      <c r="F38" s="212"/>
      <c r="H38" s="212"/>
    </row>
    <row r="39" spans="1:8" x14ac:dyDescent="0.2">
      <c r="A39" s="117">
        <v>2019</v>
      </c>
      <c r="B39" s="212">
        <v>6354427.4825532325</v>
      </c>
      <c r="C39" s="212">
        <v>47182509.223140597</v>
      </c>
      <c r="D39" s="212">
        <v>15529899</v>
      </c>
      <c r="E39" s="212"/>
      <c r="F39" s="212"/>
      <c r="H39" s="212"/>
    </row>
    <row r="40" spans="1:8" x14ac:dyDescent="0.2">
      <c r="A40" s="117" t="s">
        <v>12</v>
      </c>
      <c r="B40" s="212">
        <f>SUM(B26:B39)</f>
        <v>185067868.10685608</v>
      </c>
      <c r="C40" s="212">
        <f>SUM(C26:C39)</f>
        <v>338470031.96480393</v>
      </c>
      <c r="D40" s="212">
        <f>SUM(D26:D39)</f>
        <v>71646931.5</v>
      </c>
      <c r="E40" s="212"/>
      <c r="F40" s="212"/>
      <c r="H40" s="212"/>
    </row>
    <row r="41" spans="1:8" x14ac:dyDescent="0.2">
      <c r="D41" s="217"/>
      <c r="H41" s="212"/>
    </row>
    <row r="42" spans="1:8" x14ac:dyDescent="0.2">
      <c r="A42" s="117" t="s">
        <v>172</v>
      </c>
      <c r="C42" s="218"/>
      <c r="D42" s="217"/>
      <c r="E42" s="217"/>
      <c r="F42" s="217"/>
      <c r="H42" s="212"/>
    </row>
    <row r="43" spans="1:8" x14ac:dyDescent="0.2">
      <c r="A43" s="117">
        <v>2006</v>
      </c>
      <c r="B43" s="212">
        <v>372799.50146901724</v>
      </c>
      <c r="D43" s="212"/>
      <c r="E43" s="212"/>
      <c r="F43" s="212"/>
      <c r="H43" s="212"/>
    </row>
    <row r="44" spans="1:8" x14ac:dyDescent="0.2">
      <c r="A44" s="117">
        <v>2007</v>
      </c>
      <c r="B44" s="212">
        <v>933143.37455427099</v>
      </c>
      <c r="H44" s="212"/>
    </row>
    <row r="45" spans="1:8" x14ac:dyDescent="0.2">
      <c r="A45" s="117">
        <v>2008</v>
      </c>
      <c r="B45" s="212">
        <v>1516261.9733697299</v>
      </c>
      <c r="D45" s="212"/>
      <c r="E45" s="212"/>
      <c r="F45" s="212"/>
      <c r="H45" s="212"/>
    </row>
    <row r="46" spans="1:8" x14ac:dyDescent="0.2">
      <c r="A46" s="117">
        <v>2009</v>
      </c>
      <c r="B46" s="212">
        <v>2706598.9876163849</v>
      </c>
      <c r="D46" s="212"/>
      <c r="E46" s="212"/>
      <c r="F46" s="212"/>
      <c r="H46" s="212"/>
    </row>
    <row r="47" spans="1:8" x14ac:dyDescent="0.2">
      <c r="A47" s="117">
        <v>2010</v>
      </c>
      <c r="B47" s="212">
        <v>3502504.0350793563</v>
      </c>
      <c r="D47" s="212"/>
      <c r="E47" s="212"/>
      <c r="F47" s="212"/>
      <c r="H47" s="212"/>
    </row>
    <row r="48" spans="1:8" x14ac:dyDescent="0.2">
      <c r="A48" s="117">
        <v>2011</v>
      </c>
      <c r="B48" s="212">
        <v>3748102.691779668</v>
      </c>
      <c r="C48" s="212">
        <v>215088.13427567083</v>
      </c>
      <c r="H48" s="212"/>
    </row>
    <row r="49" spans="1:8" x14ac:dyDescent="0.2">
      <c r="A49" s="117">
        <v>2012</v>
      </c>
      <c r="B49" s="212">
        <v>3680633.3468694547</v>
      </c>
      <c r="C49" s="212">
        <v>1122012.7481017627</v>
      </c>
      <c r="D49" s="212"/>
      <c r="E49" s="212"/>
      <c r="F49" s="212"/>
      <c r="H49" s="212"/>
    </row>
    <row r="50" spans="1:8" x14ac:dyDescent="0.2">
      <c r="A50" s="117">
        <v>2013</v>
      </c>
      <c r="B50" s="212">
        <v>3648623.5431053485</v>
      </c>
      <c r="C50" s="212">
        <v>2133827.8406000347</v>
      </c>
      <c r="D50" s="212"/>
      <c r="E50" s="212"/>
      <c r="F50" s="212"/>
      <c r="H50" s="212"/>
    </row>
    <row r="51" spans="1:8" x14ac:dyDescent="0.2">
      <c r="A51" s="117">
        <v>2014</v>
      </c>
      <c r="B51" s="212">
        <v>3489720.0925429063</v>
      </c>
      <c r="C51" s="212">
        <v>3538475.5836442299</v>
      </c>
      <c r="D51" s="212"/>
      <c r="E51" s="212"/>
      <c r="F51" s="212"/>
      <c r="H51" s="212"/>
    </row>
    <row r="52" spans="1:8" x14ac:dyDescent="0.2">
      <c r="A52" s="117">
        <v>2015</v>
      </c>
      <c r="B52" s="212">
        <v>3106472.9376438074</v>
      </c>
      <c r="C52" s="212">
        <v>4456954.746481901</v>
      </c>
      <c r="D52" s="212">
        <v>933742.5</v>
      </c>
      <c r="E52" s="212"/>
      <c r="F52" s="212"/>
      <c r="H52" s="212"/>
    </row>
    <row r="53" spans="1:8" x14ac:dyDescent="0.2">
      <c r="A53" s="117">
        <v>2016</v>
      </c>
      <c r="B53" s="212">
        <v>2922866.4709261446</v>
      </c>
      <c r="C53" s="212">
        <v>4270104.5802701935</v>
      </c>
      <c r="D53" s="212">
        <v>1854781</v>
      </c>
      <c r="E53" s="212"/>
      <c r="F53" s="212"/>
      <c r="H53" s="212"/>
    </row>
    <row r="54" spans="1:8" x14ac:dyDescent="0.2">
      <c r="A54" s="117">
        <v>2017</v>
      </c>
      <c r="B54" s="212">
        <v>2308378.0378723443</v>
      </c>
      <c r="C54" s="212">
        <v>3863278.0987340892</v>
      </c>
      <c r="D54" s="212">
        <v>1831572</v>
      </c>
      <c r="E54" s="212"/>
      <c r="F54" s="212"/>
      <c r="H54" s="212"/>
    </row>
    <row r="55" spans="1:8" x14ac:dyDescent="0.2">
      <c r="A55" s="117">
        <v>2018</v>
      </c>
      <c r="B55" s="212">
        <v>1624738.1099095705</v>
      </c>
      <c r="C55" s="212">
        <v>3659150.283027723</v>
      </c>
      <c r="D55" s="212">
        <v>1828033</v>
      </c>
      <c r="E55" s="212"/>
      <c r="F55" s="212"/>
      <c r="H55" s="212"/>
    </row>
    <row r="56" spans="1:8" x14ac:dyDescent="0.2">
      <c r="A56" s="117">
        <v>2019</v>
      </c>
      <c r="B56" s="212">
        <v>1255187.9130623529</v>
      </c>
      <c r="C56" s="212">
        <v>3648398.8677997589</v>
      </c>
      <c r="D56" s="212">
        <v>1819062</v>
      </c>
      <c r="E56" s="212"/>
      <c r="F56" s="212"/>
      <c r="H56" s="212"/>
    </row>
    <row r="57" spans="1:8" x14ac:dyDescent="0.2">
      <c r="A57" s="117" t="s">
        <v>12</v>
      </c>
      <c r="B57" s="212">
        <f>SUM(B43:B56)</f>
        <v>34816031.015800357</v>
      </c>
      <c r="C57" s="212">
        <f>SUM(C43:C56)</f>
        <v>26907290.882935364</v>
      </c>
      <c r="D57" s="212">
        <f>SUM(D43:D56)</f>
        <v>8267190.5</v>
      </c>
      <c r="E57" s="212"/>
      <c r="F57" s="212"/>
      <c r="H57" s="212"/>
    </row>
    <row r="58" spans="1:8" x14ac:dyDescent="0.2">
      <c r="D58" s="217"/>
      <c r="H58" s="212"/>
    </row>
    <row r="59" spans="1:8" x14ac:dyDescent="0.2">
      <c r="D59" s="217"/>
      <c r="H59" s="212" t="s">
        <v>88</v>
      </c>
    </row>
    <row r="60" spans="1:8" x14ac:dyDescent="0.2">
      <c r="A60" s="214">
        <v>38718</v>
      </c>
      <c r="B60" s="214"/>
      <c r="C60" s="214"/>
      <c r="D60" s="214"/>
      <c r="E60" s="214"/>
      <c r="F60" s="214"/>
      <c r="G60" s="214"/>
      <c r="H60" s="212">
        <f>$I$4</f>
        <v>28201.222580270321</v>
      </c>
    </row>
    <row r="61" spans="1:8" x14ac:dyDescent="0.2">
      <c r="A61" s="214">
        <v>38749</v>
      </c>
      <c r="B61" s="214"/>
      <c r="C61" s="214"/>
      <c r="D61" s="214"/>
      <c r="E61" s="214"/>
      <c r="F61" s="214"/>
      <c r="G61" s="214"/>
      <c r="H61" s="212">
        <f t="shared" ref="H61:H71" si="5">H60+$I$4</f>
        <v>56402.445160540643</v>
      </c>
    </row>
    <row r="62" spans="1:8" x14ac:dyDescent="0.2">
      <c r="A62" s="214">
        <v>38777</v>
      </c>
      <c r="B62" s="214"/>
      <c r="C62" s="214"/>
      <c r="D62" s="214"/>
      <c r="E62" s="214"/>
      <c r="F62" s="214"/>
      <c r="G62" s="214"/>
      <c r="H62" s="212">
        <f t="shared" si="5"/>
        <v>84603.667740810968</v>
      </c>
    </row>
    <row r="63" spans="1:8" x14ac:dyDescent="0.2">
      <c r="A63" s="214">
        <v>38808</v>
      </c>
      <c r="B63" s="214"/>
      <c r="C63" s="214"/>
      <c r="D63" s="214"/>
      <c r="E63" s="214"/>
      <c r="F63" s="214"/>
      <c r="G63" s="214"/>
      <c r="H63" s="212">
        <f t="shared" si="5"/>
        <v>112804.89032108129</v>
      </c>
    </row>
    <row r="64" spans="1:8" x14ac:dyDescent="0.2">
      <c r="A64" s="214">
        <v>38838</v>
      </c>
      <c r="B64" s="214"/>
      <c r="C64" s="214"/>
      <c r="D64" s="214"/>
      <c r="E64" s="214"/>
      <c r="F64" s="214"/>
      <c r="G64" s="214"/>
      <c r="H64" s="212">
        <f t="shared" si="5"/>
        <v>141006.11290135162</v>
      </c>
    </row>
    <row r="65" spans="1:10" x14ac:dyDescent="0.2">
      <c r="A65" s="214">
        <v>38869</v>
      </c>
      <c r="B65" s="214"/>
      <c r="C65" s="214"/>
      <c r="D65" s="214"/>
      <c r="E65" s="214"/>
      <c r="F65" s="214"/>
      <c r="G65" s="214"/>
      <c r="H65" s="212">
        <f t="shared" si="5"/>
        <v>169207.33548162194</v>
      </c>
    </row>
    <row r="66" spans="1:10" x14ac:dyDescent="0.2">
      <c r="A66" s="214">
        <v>38899</v>
      </c>
      <c r="B66" s="214"/>
      <c r="C66" s="214"/>
      <c r="D66" s="214"/>
      <c r="E66" s="214"/>
      <c r="F66" s="214"/>
      <c r="G66" s="214"/>
      <c r="H66" s="212">
        <f t="shared" si="5"/>
        <v>197408.55806189225</v>
      </c>
    </row>
    <row r="67" spans="1:10" x14ac:dyDescent="0.2">
      <c r="A67" s="214">
        <v>38930</v>
      </c>
      <c r="B67" s="214"/>
      <c r="C67" s="214"/>
      <c r="D67" s="214"/>
      <c r="E67" s="214"/>
      <c r="F67" s="214"/>
      <c r="G67" s="214"/>
      <c r="H67" s="212">
        <f t="shared" si="5"/>
        <v>225609.78064216257</v>
      </c>
    </row>
    <row r="68" spans="1:10" x14ac:dyDescent="0.2">
      <c r="A68" s="214">
        <v>38961</v>
      </c>
      <c r="B68" s="214"/>
      <c r="C68" s="214"/>
      <c r="D68" s="214"/>
      <c r="E68" s="214"/>
      <c r="F68" s="214"/>
      <c r="G68" s="214"/>
      <c r="H68" s="212">
        <f t="shared" si="5"/>
        <v>253811.00322243289</v>
      </c>
    </row>
    <row r="69" spans="1:10" x14ac:dyDescent="0.2">
      <c r="A69" s="214">
        <v>38991</v>
      </c>
      <c r="B69" s="214"/>
      <c r="C69" s="214"/>
      <c r="D69" s="214"/>
      <c r="E69" s="214"/>
      <c r="F69" s="214"/>
      <c r="G69" s="214"/>
      <c r="H69" s="212">
        <f t="shared" si="5"/>
        <v>282012.22580270324</v>
      </c>
    </row>
    <row r="70" spans="1:10" x14ac:dyDescent="0.2">
      <c r="A70" s="214">
        <v>39022</v>
      </c>
      <c r="B70" s="214"/>
      <c r="C70" s="214"/>
      <c r="D70" s="214"/>
      <c r="E70" s="214"/>
      <c r="F70" s="214"/>
      <c r="G70" s="214"/>
      <c r="H70" s="212">
        <f t="shared" si="5"/>
        <v>310213.44838297355</v>
      </c>
      <c r="I70" s="215" t="s">
        <v>19</v>
      </c>
    </row>
    <row r="71" spans="1:10" x14ac:dyDescent="0.2">
      <c r="A71" s="214">
        <v>39052</v>
      </c>
      <c r="B71" s="214"/>
      <c r="C71" s="214"/>
      <c r="D71" s="214"/>
      <c r="E71" s="214"/>
      <c r="F71" s="214"/>
      <c r="G71" s="214"/>
      <c r="H71" s="212">
        <f t="shared" si="5"/>
        <v>338414.67096324387</v>
      </c>
      <c r="I71" s="212">
        <f>SUM(H60:H71)</f>
        <v>2199695.3612610851</v>
      </c>
      <c r="J71" s="212">
        <f>H71*12</f>
        <v>4060976.0515589267</v>
      </c>
    </row>
    <row r="72" spans="1:10" x14ac:dyDescent="0.2">
      <c r="A72" s="214">
        <v>39083</v>
      </c>
      <c r="B72" s="214"/>
      <c r="C72" s="214"/>
      <c r="D72" s="214"/>
      <c r="E72" s="214"/>
      <c r="F72" s="214"/>
      <c r="G72" s="214"/>
      <c r="H72" s="212">
        <f t="shared" ref="H72:H83" si="6">H71+$I$5</f>
        <v>361548.06715530815</v>
      </c>
      <c r="J72" s="216"/>
    </row>
    <row r="73" spans="1:10" x14ac:dyDescent="0.2">
      <c r="A73" s="214">
        <v>39114</v>
      </c>
      <c r="B73" s="214"/>
      <c r="C73" s="214"/>
      <c r="D73" s="214"/>
      <c r="E73" s="214"/>
      <c r="F73" s="214"/>
      <c r="G73" s="214"/>
      <c r="H73" s="212">
        <f t="shared" si="6"/>
        <v>384681.46334737242</v>
      </c>
    </row>
    <row r="74" spans="1:10" x14ac:dyDescent="0.2">
      <c r="A74" s="214">
        <v>39142</v>
      </c>
      <c r="B74" s="214"/>
      <c r="C74" s="214"/>
      <c r="D74" s="214"/>
      <c r="E74" s="214"/>
      <c r="F74" s="214"/>
      <c r="G74" s="214"/>
      <c r="H74" s="212">
        <f t="shared" si="6"/>
        <v>407814.8595394367</v>
      </c>
    </row>
    <row r="75" spans="1:10" x14ac:dyDescent="0.2">
      <c r="A75" s="214">
        <v>39173</v>
      </c>
      <c r="B75" s="214"/>
      <c r="C75" s="214"/>
      <c r="D75" s="214"/>
      <c r="E75" s="214"/>
      <c r="F75" s="214"/>
      <c r="G75" s="214"/>
      <c r="H75" s="212">
        <f t="shared" si="6"/>
        <v>430948.25573150098</v>
      </c>
    </row>
    <row r="76" spans="1:10" x14ac:dyDescent="0.2">
      <c r="A76" s="214">
        <v>39203</v>
      </c>
      <c r="B76" s="214"/>
      <c r="C76" s="214"/>
      <c r="D76" s="214"/>
      <c r="E76" s="214"/>
      <c r="F76" s="214"/>
      <c r="G76" s="214"/>
      <c r="H76" s="212">
        <f t="shared" si="6"/>
        <v>454081.65192356525</v>
      </c>
    </row>
    <row r="77" spans="1:10" x14ac:dyDescent="0.2">
      <c r="A77" s="214">
        <v>39234</v>
      </c>
      <c r="B77" s="214"/>
      <c r="C77" s="214"/>
      <c r="D77" s="214"/>
      <c r="E77" s="214"/>
      <c r="F77" s="214"/>
      <c r="G77" s="214"/>
      <c r="H77" s="212">
        <f t="shared" si="6"/>
        <v>477215.04811562953</v>
      </c>
    </row>
    <row r="78" spans="1:10" x14ac:dyDescent="0.2">
      <c r="A78" s="214">
        <v>39264</v>
      </c>
      <c r="B78" s="214"/>
      <c r="C78" s="214"/>
      <c r="D78" s="214"/>
      <c r="E78" s="214"/>
      <c r="F78" s="214"/>
      <c r="G78" s="214"/>
      <c r="H78" s="212">
        <f t="shared" si="6"/>
        <v>500348.4443076938</v>
      </c>
    </row>
    <row r="79" spans="1:10" x14ac:dyDescent="0.2">
      <c r="A79" s="214">
        <v>39295</v>
      </c>
      <c r="B79" s="214"/>
      <c r="C79" s="214"/>
      <c r="D79" s="214"/>
      <c r="E79" s="214"/>
      <c r="F79" s="214"/>
      <c r="G79" s="214"/>
      <c r="H79" s="212">
        <f t="shared" si="6"/>
        <v>523481.84049975808</v>
      </c>
    </row>
    <row r="80" spans="1:10" x14ac:dyDescent="0.2">
      <c r="A80" s="214">
        <v>39326</v>
      </c>
      <c r="B80" s="214"/>
      <c r="C80" s="214"/>
      <c r="D80" s="214"/>
      <c r="E80" s="214"/>
      <c r="F80" s="214"/>
      <c r="G80" s="214"/>
      <c r="H80" s="212">
        <f t="shared" si="6"/>
        <v>546615.2366918223</v>
      </c>
    </row>
    <row r="81" spans="1:10" x14ac:dyDescent="0.2">
      <c r="A81" s="214">
        <v>39356</v>
      </c>
      <c r="B81" s="214"/>
      <c r="C81" s="214"/>
      <c r="D81" s="214"/>
      <c r="E81" s="214"/>
      <c r="F81" s="214"/>
      <c r="G81" s="214"/>
      <c r="H81" s="212">
        <f t="shared" si="6"/>
        <v>569748.63288388657</v>
      </c>
    </row>
    <row r="82" spans="1:10" x14ac:dyDescent="0.2">
      <c r="A82" s="214">
        <v>39387</v>
      </c>
      <c r="B82" s="214"/>
      <c r="C82" s="214"/>
      <c r="D82" s="214"/>
      <c r="E82" s="214"/>
      <c r="F82" s="214"/>
      <c r="G82" s="214"/>
      <c r="H82" s="212">
        <f t="shared" si="6"/>
        <v>592882.02907595085</v>
      </c>
      <c r="I82" s="215" t="s">
        <v>19</v>
      </c>
    </row>
    <row r="83" spans="1:10" x14ac:dyDescent="0.2">
      <c r="A83" s="214">
        <v>39417</v>
      </c>
      <c r="B83" s="214"/>
      <c r="C83" s="214"/>
      <c r="D83" s="214"/>
      <c r="E83" s="214"/>
      <c r="F83" s="214"/>
      <c r="G83" s="214"/>
      <c r="H83" s="212">
        <f t="shared" si="6"/>
        <v>616015.42526801513</v>
      </c>
      <c r="I83" s="212">
        <f>SUM(H72:H83)</f>
        <v>5865380.9545399398</v>
      </c>
      <c r="J83" s="212">
        <f>H83*12</f>
        <v>7392185.1032161815</v>
      </c>
    </row>
    <row r="84" spans="1:10" x14ac:dyDescent="0.2">
      <c r="A84" s="214">
        <v>39448</v>
      </c>
      <c r="B84" s="214"/>
      <c r="C84" s="214"/>
      <c r="D84" s="214"/>
      <c r="E84" s="214"/>
      <c r="F84" s="214"/>
      <c r="G84" s="214"/>
      <c r="H84" s="212">
        <f t="shared" ref="H84:H95" si="7">H83+$I$6</f>
        <v>632983.38990570104</v>
      </c>
    </row>
    <row r="85" spans="1:10" x14ac:dyDescent="0.2">
      <c r="A85" s="214">
        <v>39479</v>
      </c>
      <c r="B85" s="214"/>
      <c r="C85" s="214"/>
      <c r="D85" s="214"/>
      <c r="E85" s="214"/>
      <c r="F85" s="214"/>
      <c r="G85" s="214"/>
      <c r="H85" s="212">
        <f t="shared" si="7"/>
        <v>649951.35454338696</v>
      </c>
    </row>
    <row r="86" spans="1:10" x14ac:dyDescent="0.2">
      <c r="A86" s="214">
        <v>39508</v>
      </c>
      <c r="B86" s="214"/>
      <c r="C86" s="214"/>
      <c r="D86" s="214"/>
      <c r="E86" s="214"/>
      <c r="F86" s="214"/>
      <c r="G86" s="214"/>
      <c r="H86" s="212">
        <f t="shared" si="7"/>
        <v>666919.31918107287</v>
      </c>
    </row>
    <row r="87" spans="1:10" x14ac:dyDescent="0.2">
      <c r="A87" s="214">
        <v>39539</v>
      </c>
      <c r="B87" s="214"/>
      <c r="C87" s="214"/>
      <c r="D87" s="214"/>
      <c r="E87" s="214"/>
      <c r="F87" s="214"/>
      <c r="G87" s="214"/>
      <c r="H87" s="212">
        <f t="shared" si="7"/>
        <v>683887.28381875879</v>
      </c>
    </row>
    <row r="88" spans="1:10" x14ac:dyDescent="0.2">
      <c r="A88" s="214">
        <v>39569</v>
      </c>
      <c r="B88" s="214"/>
      <c r="C88" s="214"/>
      <c r="D88" s="214"/>
      <c r="E88" s="214"/>
      <c r="F88" s="214"/>
      <c r="G88" s="214"/>
      <c r="H88" s="212">
        <f t="shared" si="7"/>
        <v>700855.24845644471</v>
      </c>
    </row>
    <row r="89" spans="1:10" x14ac:dyDescent="0.2">
      <c r="A89" s="214">
        <v>39600</v>
      </c>
      <c r="B89" s="214"/>
      <c r="C89" s="214"/>
      <c r="D89" s="214"/>
      <c r="E89" s="214"/>
      <c r="F89" s="214"/>
      <c r="G89" s="214"/>
      <c r="H89" s="212">
        <f t="shared" si="7"/>
        <v>717823.21309413062</v>
      </c>
    </row>
    <row r="90" spans="1:10" x14ac:dyDescent="0.2">
      <c r="A90" s="214">
        <v>39630</v>
      </c>
      <c r="B90" s="214"/>
      <c r="C90" s="214"/>
      <c r="D90" s="214"/>
      <c r="E90" s="214"/>
      <c r="F90" s="214"/>
      <c r="G90" s="214"/>
      <c r="H90" s="212">
        <f t="shared" si="7"/>
        <v>734791.17773181654</v>
      </c>
    </row>
    <row r="91" spans="1:10" x14ac:dyDescent="0.2">
      <c r="A91" s="214">
        <v>39661</v>
      </c>
      <c r="B91" s="214"/>
      <c r="C91" s="214"/>
      <c r="D91" s="214"/>
      <c r="E91" s="214"/>
      <c r="F91" s="214"/>
      <c r="G91" s="214"/>
      <c r="H91" s="212">
        <f t="shared" si="7"/>
        <v>751759.14236950246</v>
      </c>
    </row>
    <row r="92" spans="1:10" x14ac:dyDescent="0.2">
      <c r="A92" s="214">
        <v>39692</v>
      </c>
      <c r="B92" s="214"/>
      <c r="C92" s="214"/>
      <c r="D92" s="214"/>
      <c r="E92" s="214"/>
      <c r="F92" s="214"/>
      <c r="G92" s="214"/>
      <c r="H92" s="212">
        <f t="shared" si="7"/>
        <v>768727.10700718837</v>
      </c>
    </row>
    <row r="93" spans="1:10" x14ac:dyDescent="0.2">
      <c r="A93" s="214">
        <v>39722</v>
      </c>
      <c r="B93" s="214"/>
      <c r="C93" s="214"/>
      <c r="D93" s="214"/>
      <c r="E93" s="214"/>
      <c r="F93" s="214"/>
      <c r="G93" s="214"/>
      <c r="H93" s="212">
        <f t="shared" si="7"/>
        <v>785695.07164487429</v>
      </c>
    </row>
    <row r="94" spans="1:10" x14ac:dyDescent="0.2">
      <c r="A94" s="214">
        <v>39753</v>
      </c>
      <c r="B94" s="214"/>
      <c r="C94" s="214"/>
      <c r="D94" s="214"/>
      <c r="E94" s="214"/>
      <c r="F94" s="214"/>
      <c r="G94" s="214"/>
      <c r="H94" s="212">
        <f t="shared" si="7"/>
        <v>802663.03628256021</v>
      </c>
    </row>
    <row r="95" spans="1:10" x14ac:dyDescent="0.2">
      <c r="A95" s="214">
        <v>39783</v>
      </c>
      <c r="B95" s="214"/>
      <c r="C95" s="214"/>
      <c r="D95" s="214"/>
      <c r="E95" s="214"/>
      <c r="F95" s="214"/>
      <c r="G95" s="214"/>
      <c r="H95" s="212">
        <f t="shared" si="7"/>
        <v>819631.00092024612</v>
      </c>
      <c r="I95" s="212">
        <f>SUM(H84:H95)</f>
        <v>8715686.3449556828</v>
      </c>
      <c r="J95" s="212">
        <f>H95*12</f>
        <v>9835572.0110429525</v>
      </c>
    </row>
    <row r="96" spans="1:10" x14ac:dyDescent="0.2">
      <c r="A96" s="214">
        <v>39814</v>
      </c>
      <c r="B96" s="214"/>
      <c r="C96" s="214"/>
      <c r="D96" s="214"/>
      <c r="E96" s="214"/>
      <c r="F96" s="214"/>
      <c r="G96" s="214"/>
      <c r="H96" s="212">
        <f t="shared" ref="H96:H107" si="8">H95+$I$7</f>
        <v>873816.71082089655</v>
      </c>
    </row>
    <row r="97" spans="1:10" x14ac:dyDescent="0.2">
      <c r="A97" s="214">
        <v>39845</v>
      </c>
      <c r="B97" s="214"/>
      <c r="C97" s="214"/>
      <c r="D97" s="214"/>
      <c r="E97" s="214"/>
      <c r="F97" s="214"/>
      <c r="G97" s="214"/>
      <c r="H97" s="212">
        <f t="shared" si="8"/>
        <v>928002.42072154698</v>
      </c>
    </row>
    <row r="98" spans="1:10" x14ac:dyDescent="0.2">
      <c r="A98" s="214">
        <v>39873</v>
      </c>
      <c r="B98" s="214"/>
      <c r="C98" s="214"/>
      <c r="D98" s="214"/>
      <c r="E98" s="214"/>
      <c r="F98" s="214"/>
      <c r="G98" s="214"/>
      <c r="H98" s="212">
        <f t="shared" si="8"/>
        <v>982188.13062219741</v>
      </c>
    </row>
    <row r="99" spans="1:10" x14ac:dyDescent="0.2">
      <c r="A99" s="214">
        <v>39904</v>
      </c>
      <c r="B99" s="214"/>
      <c r="C99" s="214"/>
      <c r="D99" s="214"/>
      <c r="E99" s="214"/>
      <c r="F99" s="214"/>
      <c r="G99" s="214"/>
      <c r="H99" s="212">
        <f t="shared" si="8"/>
        <v>1036373.8405228478</v>
      </c>
    </row>
    <row r="100" spans="1:10" x14ac:dyDescent="0.2">
      <c r="A100" s="214">
        <v>39934</v>
      </c>
      <c r="B100" s="214"/>
      <c r="C100" s="214"/>
      <c r="D100" s="214"/>
      <c r="E100" s="214"/>
      <c r="F100" s="214"/>
      <c r="G100" s="214"/>
      <c r="H100" s="212">
        <f t="shared" si="8"/>
        <v>1090559.5504234983</v>
      </c>
    </row>
    <row r="101" spans="1:10" x14ac:dyDescent="0.2">
      <c r="A101" s="214">
        <v>39965</v>
      </c>
      <c r="B101" s="214"/>
      <c r="C101" s="214"/>
      <c r="D101" s="214"/>
      <c r="E101" s="214"/>
      <c r="F101" s="214"/>
      <c r="G101" s="214"/>
      <c r="H101" s="212">
        <f t="shared" si="8"/>
        <v>1144745.2603241487</v>
      </c>
    </row>
    <row r="102" spans="1:10" x14ac:dyDescent="0.2">
      <c r="A102" s="214">
        <v>39995</v>
      </c>
      <c r="B102" s="214"/>
      <c r="C102" s="214"/>
      <c r="D102" s="214"/>
      <c r="E102" s="214"/>
      <c r="F102" s="214"/>
      <c r="G102" s="214"/>
      <c r="H102" s="212">
        <f t="shared" si="8"/>
        <v>1198930.9702247991</v>
      </c>
    </row>
    <row r="103" spans="1:10" x14ac:dyDescent="0.2">
      <c r="A103" s="214">
        <v>40026</v>
      </c>
      <c r="B103" s="214"/>
      <c r="C103" s="214"/>
      <c r="D103" s="214"/>
      <c r="E103" s="214"/>
      <c r="F103" s="214"/>
      <c r="G103" s="214"/>
      <c r="H103" s="212">
        <f t="shared" si="8"/>
        <v>1253116.6801254496</v>
      </c>
    </row>
    <row r="104" spans="1:10" x14ac:dyDescent="0.2">
      <c r="A104" s="214">
        <v>40057</v>
      </c>
      <c r="B104" s="214"/>
      <c r="C104" s="214"/>
      <c r="D104" s="214"/>
      <c r="E104" s="214"/>
      <c r="F104" s="214"/>
      <c r="G104" s="214"/>
      <c r="H104" s="212">
        <f t="shared" si="8"/>
        <v>1307302.3900261</v>
      </c>
    </row>
    <row r="105" spans="1:10" x14ac:dyDescent="0.2">
      <c r="A105" s="214">
        <v>40087</v>
      </c>
      <c r="B105" s="214"/>
      <c r="C105" s="214"/>
      <c r="D105" s="214"/>
      <c r="E105" s="214"/>
      <c r="F105" s="214"/>
      <c r="G105" s="214"/>
      <c r="H105" s="212">
        <f t="shared" si="8"/>
        <v>1361488.0999267504</v>
      </c>
    </row>
    <row r="106" spans="1:10" x14ac:dyDescent="0.2">
      <c r="A106" s="214">
        <v>40118</v>
      </c>
      <c r="B106" s="214"/>
      <c r="C106" s="214"/>
      <c r="D106" s="214"/>
      <c r="E106" s="214"/>
      <c r="F106" s="214"/>
      <c r="G106" s="214"/>
      <c r="H106" s="212">
        <f t="shared" si="8"/>
        <v>1415673.8098274008</v>
      </c>
    </row>
    <row r="107" spans="1:10" x14ac:dyDescent="0.2">
      <c r="A107" s="214">
        <v>40148</v>
      </c>
      <c r="B107" s="214"/>
      <c r="C107" s="214"/>
      <c r="D107" s="214"/>
      <c r="E107" s="214"/>
      <c r="F107" s="214"/>
      <c r="G107" s="214"/>
      <c r="H107" s="212">
        <f t="shared" si="8"/>
        <v>1469859.5197280513</v>
      </c>
      <c r="I107" s="212">
        <f>SUM(H96:H107)</f>
        <v>14062057.383293686</v>
      </c>
      <c r="J107" s="212">
        <f>H107*12</f>
        <v>17638314.236736614</v>
      </c>
    </row>
    <row r="108" spans="1:10" x14ac:dyDescent="0.2">
      <c r="A108" s="214">
        <v>40179</v>
      </c>
      <c r="B108" s="214"/>
      <c r="C108" s="214"/>
      <c r="D108" s="214"/>
      <c r="E108" s="214"/>
      <c r="F108" s="214"/>
      <c r="G108" s="214"/>
      <c r="H108" s="212">
        <f t="shared" ref="H108:H119" si="9">H107+$I$8</f>
        <v>1495424.7349871038</v>
      </c>
    </row>
    <row r="109" spans="1:10" x14ac:dyDescent="0.2">
      <c r="A109" s="214">
        <v>40210</v>
      </c>
      <c r="B109" s="214"/>
      <c r="C109" s="214"/>
      <c r="D109" s="214"/>
      <c r="E109" s="214"/>
      <c r="F109" s="214"/>
      <c r="G109" s="214"/>
      <c r="H109" s="212">
        <f t="shared" si="9"/>
        <v>1520989.9502461564</v>
      </c>
    </row>
    <row r="110" spans="1:10" x14ac:dyDescent="0.2">
      <c r="A110" s="214">
        <v>40238</v>
      </c>
      <c r="B110" s="214"/>
      <c r="C110" s="214"/>
      <c r="D110" s="214"/>
      <c r="E110" s="214"/>
      <c r="F110" s="214"/>
      <c r="G110" s="214"/>
      <c r="H110" s="212">
        <f t="shared" si="9"/>
        <v>1546555.165505209</v>
      </c>
    </row>
    <row r="111" spans="1:10" x14ac:dyDescent="0.2">
      <c r="A111" s="214">
        <v>40269</v>
      </c>
      <c r="B111" s="214"/>
      <c r="C111" s="214"/>
      <c r="D111" s="214"/>
      <c r="E111" s="214"/>
      <c r="F111" s="214"/>
      <c r="G111" s="214"/>
      <c r="H111" s="212">
        <f t="shared" si="9"/>
        <v>1572120.3807642616</v>
      </c>
    </row>
    <row r="112" spans="1:10" x14ac:dyDescent="0.2">
      <c r="A112" s="214">
        <v>40299</v>
      </c>
      <c r="B112" s="214"/>
      <c r="C112" s="214"/>
      <c r="D112" s="214"/>
      <c r="E112" s="214"/>
      <c r="F112" s="214"/>
      <c r="G112" s="214"/>
      <c r="H112" s="212">
        <f t="shared" si="9"/>
        <v>1597685.5960233142</v>
      </c>
    </row>
    <row r="113" spans="1:10" x14ac:dyDescent="0.2">
      <c r="A113" s="214">
        <v>40330</v>
      </c>
      <c r="B113" s="214"/>
      <c r="C113" s="214"/>
      <c r="D113" s="214"/>
      <c r="E113" s="214"/>
      <c r="F113" s="214"/>
      <c r="G113" s="214"/>
      <c r="H113" s="212">
        <f t="shared" si="9"/>
        <v>1623250.8112823667</v>
      </c>
    </row>
    <row r="114" spans="1:10" x14ac:dyDescent="0.2">
      <c r="A114" s="214">
        <v>40360</v>
      </c>
      <c r="B114" s="214"/>
      <c r="C114" s="214"/>
      <c r="D114" s="214"/>
      <c r="E114" s="214"/>
      <c r="F114" s="214"/>
      <c r="G114" s="214"/>
      <c r="H114" s="212">
        <f t="shared" si="9"/>
        <v>1648816.0265414193</v>
      </c>
    </row>
    <row r="115" spans="1:10" x14ac:dyDescent="0.2">
      <c r="A115" s="214">
        <v>40391</v>
      </c>
      <c r="B115" s="214"/>
      <c r="C115" s="214"/>
      <c r="D115" s="214"/>
      <c r="E115" s="214"/>
      <c r="F115" s="214"/>
      <c r="G115" s="214"/>
      <c r="H115" s="212">
        <f t="shared" si="9"/>
        <v>1674381.2418004719</v>
      </c>
    </row>
    <row r="116" spans="1:10" x14ac:dyDescent="0.2">
      <c r="A116" s="214">
        <v>40422</v>
      </c>
      <c r="B116" s="214"/>
      <c r="C116" s="214"/>
      <c r="D116" s="214"/>
      <c r="E116" s="214"/>
      <c r="F116" s="214"/>
      <c r="G116" s="214"/>
      <c r="H116" s="212">
        <f t="shared" si="9"/>
        <v>1699946.4570595245</v>
      </c>
    </row>
    <row r="117" spans="1:10" x14ac:dyDescent="0.2">
      <c r="A117" s="214">
        <v>40452</v>
      </c>
      <c r="B117" s="214"/>
      <c r="C117" s="214"/>
      <c r="D117" s="214"/>
      <c r="E117" s="214"/>
      <c r="F117" s="214"/>
      <c r="G117" s="214"/>
      <c r="H117" s="212">
        <f t="shared" si="9"/>
        <v>1725511.6723185771</v>
      </c>
    </row>
    <row r="118" spans="1:10" x14ac:dyDescent="0.2">
      <c r="A118" s="214">
        <v>40483</v>
      </c>
      <c r="B118" s="214"/>
      <c r="C118" s="214"/>
      <c r="D118" s="214"/>
      <c r="E118" s="214"/>
      <c r="F118" s="214"/>
      <c r="G118" s="214"/>
      <c r="H118" s="212">
        <f t="shared" si="9"/>
        <v>1751076.8875776296</v>
      </c>
    </row>
    <row r="119" spans="1:10" x14ac:dyDescent="0.2">
      <c r="A119" s="214">
        <v>40513</v>
      </c>
      <c r="B119" s="214"/>
      <c r="C119" s="214"/>
      <c r="D119" s="214"/>
      <c r="E119" s="214"/>
      <c r="F119" s="214"/>
      <c r="G119" s="214"/>
      <c r="H119" s="212">
        <f t="shared" si="9"/>
        <v>1776642.1028366822</v>
      </c>
      <c r="I119" s="212">
        <f>SUM(H108:H119)</f>
        <v>19632401.026942719</v>
      </c>
      <c r="J119" s="212">
        <f>H119*12</f>
        <v>21319705.234040186</v>
      </c>
    </row>
    <row r="120" spans="1:10" x14ac:dyDescent="0.2">
      <c r="A120" s="214">
        <v>40544</v>
      </c>
      <c r="B120" s="214"/>
      <c r="C120" s="214"/>
      <c r="D120" s="214"/>
      <c r="E120" s="214"/>
      <c r="F120" s="214"/>
      <c r="G120" s="214"/>
      <c r="H120" s="212">
        <f t="shared" ref="H120:H131" si="10">H119+$I$9</f>
        <v>1894820.7510606851</v>
      </c>
    </row>
    <row r="121" spans="1:10" x14ac:dyDescent="0.2">
      <c r="A121" s="214">
        <v>40575</v>
      </c>
      <c r="B121" s="214"/>
      <c r="C121" s="214"/>
      <c r="D121" s="214"/>
      <c r="E121" s="214"/>
      <c r="F121" s="214"/>
      <c r="G121" s="214"/>
      <c r="H121" s="212">
        <f t="shared" si="10"/>
        <v>2012999.3992846881</v>
      </c>
    </row>
    <row r="122" spans="1:10" x14ac:dyDescent="0.2">
      <c r="A122" s="214">
        <v>40603</v>
      </c>
      <c r="B122" s="214"/>
      <c r="C122" s="214"/>
      <c r="D122" s="214"/>
      <c r="E122" s="214"/>
      <c r="F122" s="214"/>
      <c r="G122" s="214"/>
      <c r="H122" s="212">
        <f t="shared" si="10"/>
        <v>2131178.047508691</v>
      </c>
    </row>
    <row r="123" spans="1:10" x14ac:dyDescent="0.2">
      <c r="A123" s="214">
        <v>40634</v>
      </c>
      <c r="B123" s="214"/>
      <c r="C123" s="214"/>
      <c r="D123" s="214"/>
      <c r="E123" s="214"/>
      <c r="F123" s="214"/>
      <c r="G123" s="214"/>
      <c r="H123" s="212">
        <f t="shared" si="10"/>
        <v>2249356.6957326937</v>
      </c>
    </row>
    <row r="124" spans="1:10" x14ac:dyDescent="0.2">
      <c r="A124" s="214">
        <v>40664</v>
      </c>
      <c r="B124" s="214"/>
      <c r="C124" s="214"/>
      <c r="D124" s="214"/>
      <c r="E124" s="214"/>
      <c r="F124" s="214"/>
      <c r="G124" s="214"/>
      <c r="H124" s="212">
        <f t="shared" si="10"/>
        <v>2367535.3439566963</v>
      </c>
    </row>
    <row r="125" spans="1:10" x14ac:dyDescent="0.2">
      <c r="A125" s="214">
        <v>40695</v>
      </c>
      <c r="B125" s="214"/>
      <c r="C125" s="214"/>
      <c r="D125" s="214"/>
      <c r="E125" s="214"/>
      <c r="F125" s="214"/>
      <c r="G125" s="214"/>
      <c r="H125" s="212">
        <f t="shared" si="10"/>
        <v>2485713.992180699</v>
      </c>
    </row>
    <row r="126" spans="1:10" x14ac:dyDescent="0.2">
      <c r="A126" s="214">
        <v>40725</v>
      </c>
      <c r="B126" s="214"/>
      <c r="C126" s="214"/>
      <c r="D126" s="214"/>
      <c r="E126" s="214"/>
      <c r="F126" s="214"/>
      <c r="G126" s="214"/>
      <c r="H126" s="212">
        <f t="shared" si="10"/>
        <v>2603892.6404047017</v>
      </c>
    </row>
    <row r="127" spans="1:10" x14ac:dyDescent="0.2">
      <c r="A127" s="214">
        <v>40756</v>
      </c>
      <c r="B127" s="214"/>
      <c r="C127" s="214"/>
      <c r="D127" s="214"/>
      <c r="E127" s="214"/>
      <c r="F127" s="214"/>
      <c r="G127" s="214"/>
      <c r="H127" s="212">
        <f t="shared" si="10"/>
        <v>2722071.2886287044</v>
      </c>
    </row>
    <row r="128" spans="1:10" x14ac:dyDescent="0.2">
      <c r="A128" s="214">
        <v>40787</v>
      </c>
      <c r="B128" s="214"/>
      <c r="C128" s="214"/>
      <c r="D128" s="214"/>
      <c r="E128" s="214"/>
      <c r="F128" s="214"/>
      <c r="G128" s="214"/>
      <c r="H128" s="212">
        <f t="shared" si="10"/>
        <v>2840249.9368527071</v>
      </c>
    </row>
    <row r="129" spans="1:10" x14ac:dyDescent="0.2">
      <c r="A129" s="214">
        <v>40817</v>
      </c>
      <c r="B129" s="214"/>
      <c r="C129" s="214"/>
      <c r="D129" s="214"/>
      <c r="E129" s="214"/>
      <c r="F129" s="214"/>
      <c r="G129" s="214"/>
      <c r="H129" s="212">
        <f t="shared" si="10"/>
        <v>2958428.5850767097</v>
      </c>
    </row>
    <row r="130" spans="1:10" x14ac:dyDescent="0.2">
      <c r="A130" s="214">
        <v>40848</v>
      </c>
      <c r="B130" s="214"/>
      <c r="C130" s="214"/>
      <c r="D130" s="214"/>
      <c r="E130" s="214"/>
      <c r="F130" s="214"/>
      <c r="G130" s="214"/>
      <c r="H130" s="212">
        <f t="shared" si="10"/>
        <v>3076607.2333007124</v>
      </c>
    </row>
    <row r="131" spans="1:10" x14ac:dyDescent="0.2">
      <c r="A131" s="214">
        <v>40878</v>
      </c>
      <c r="B131" s="214"/>
      <c r="C131" s="214"/>
      <c r="D131" s="214"/>
      <c r="E131" s="214"/>
      <c r="F131" s="214"/>
      <c r="G131" s="214"/>
      <c r="H131" s="212">
        <f t="shared" si="10"/>
        <v>3194785.8815247151</v>
      </c>
      <c r="I131" s="212">
        <f>SUM(H120:H131)</f>
        <v>30537639.795512404</v>
      </c>
      <c r="J131" s="212">
        <f>H131*12</f>
        <v>38337430.578296579</v>
      </c>
    </row>
    <row r="132" spans="1:10" x14ac:dyDescent="0.2">
      <c r="A132" s="214">
        <v>40909</v>
      </c>
      <c r="B132" s="214"/>
      <c r="C132" s="214"/>
      <c r="D132" s="214"/>
      <c r="E132" s="214"/>
      <c r="F132" s="214"/>
      <c r="G132" s="214"/>
      <c r="H132" s="212">
        <f t="shared" ref="H132:H143" si="11">H131+$I$10</f>
        <v>3244255.7843758832</v>
      </c>
    </row>
    <row r="133" spans="1:10" x14ac:dyDescent="0.2">
      <c r="A133" s="214">
        <v>40940</v>
      </c>
      <c r="B133" s="214"/>
      <c r="C133" s="214"/>
      <c r="D133" s="214"/>
      <c r="E133" s="214"/>
      <c r="F133" s="214"/>
      <c r="G133" s="214"/>
      <c r="H133" s="212">
        <f t="shared" si="11"/>
        <v>3293725.6872270512</v>
      </c>
    </row>
    <row r="134" spans="1:10" x14ac:dyDescent="0.2">
      <c r="A134" s="214">
        <v>40969</v>
      </c>
      <c r="B134" s="214"/>
      <c r="C134" s="214"/>
      <c r="D134" s="214"/>
      <c r="E134" s="214"/>
      <c r="F134" s="214"/>
      <c r="G134" s="214"/>
      <c r="H134" s="212">
        <f t="shared" si="11"/>
        <v>3343195.5900782193</v>
      </c>
    </row>
    <row r="135" spans="1:10" x14ac:dyDescent="0.2">
      <c r="A135" s="214">
        <v>41000</v>
      </c>
      <c r="B135" s="214"/>
      <c r="C135" s="214"/>
      <c r="D135" s="214"/>
      <c r="E135" s="214"/>
      <c r="F135" s="214"/>
      <c r="G135" s="214"/>
      <c r="H135" s="212">
        <f t="shared" si="11"/>
        <v>3392665.4929293874</v>
      </c>
    </row>
    <row r="136" spans="1:10" x14ac:dyDescent="0.2">
      <c r="A136" s="214">
        <v>41030</v>
      </c>
      <c r="B136" s="214"/>
      <c r="C136" s="214"/>
      <c r="D136" s="214"/>
      <c r="E136" s="214"/>
      <c r="F136" s="214"/>
      <c r="G136" s="214"/>
      <c r="H136" s="212">
        <f t="shared" si="11"/>
        <v>3442135.3957805554</v>
      </c>
    </row>
    <row r="137" spans="1:10" x14ac:dyDescent="0.2">
      <c r="A137" s="214">
        <v>41061</v>
      </c>
      <c r="B137" s="214"/>
      <c r="C137" s="214"/>
      <c r="D137" s="214"/>
      <c r="E137" s="214"/>
      <c r="F137" s="214"/>
      <c r="G137" s="214"/>
      <c r="H137" s="212">
        <f t="shared" si="11"/>
        <v>3491605.2986317235</v>
      </c>
    </row>
    <row r="138" spans="1:10" x14ac:dyDescent="0.2">
      <c r="A138" s="214">
        <v>41091</v>
      </c>
      <c r="B138" s="214"/>
      <c r="C138" s="214"/>
      <c r="D138" s="214"/>
      <c r="E138" s="214"/>
      <c r="F138" s="214"/>
      <c r="G138" s="214"/>
      <c r="H138" s="212">
        <f t="shared" si="11"/>
        <v>3541075.2014828916</v>
      </c>
    </row>
    <row r="139" spans="1:10" x14ac:dyDescent="0.2">
      <c r="A139" s="214">
        <v>41122</v>
      </c>
      <c r="B139" s="214"/>
      <c r="C139" s="214"/>
      <c r="D139" s="214"/>
      <c r="E139" s="214"/>
      <c r="F139" s="214"/>
      <c r="G139" s="214"/>
      <c r="H139" s="212">
        <f t="shared" si="11"/>
        <v>3590545.1043340596</v>
      </c>
    </row>
    <row r="140" spans="1:10" x14ac:dyDescent="0.2">
      <c r="A140" s="214">
        <v>41153</v>
      </c>
      <c r="B140" s="214"/>
      <c r="C140" s="214"/>
      <c r="D140" s="214"/>
      <c r="E140" s="214"/>
      <c r="F140" s="214"/>
      <c r="G140" s="214"/>
      <c r="H140" s="212">
        <f t="shared" si="11"/>
        <v>3640015.0071852277</v>
      </c>
    </row>
    <row r="141" spans="1:10" x14ac:dyDescent="0.2">
      <c r="A141" s="214">
        <v>41183</v>
      </c>
      <c r="B141" s="214"/>
      <c r="C141" s="214"/>
      <c r="D141" s="214"/>
      <c r="E141" s="214"/>
      <c r="F141" s="214"/>
      <c r="G141" s="214"/>
      <c r="H141" s="212">
        <f t="shared" si="11"/>
        <v>3689484.9100363958</v>
      </c>
    </row>
    <row r="142" spans="1:10" x14ac:dyDescent="0.2">
      <c r="A142" s="214">
        <v>41214</v>
      </c>
      <c r="B142" s="214"/>
      <c r="C142" s="214"/>
      <c r="D142" s="214"/>
      <c r="E142" s="214"/>
      <c r="F142" s="214"/>
      <c r="G142" s="214"/>
      <c r="H142" s="212">
        <f t="shared" si="11"/>
        <v>3738954.8128875638</v>
      </c>
    </row>
    <row r="143" spans="1:10" x14ac:dyDescent="0.2">
      <c r="A143" s="214">
        <v>41244</v>
      </c>
      <c r="B143" s="214"/>
      <c r="C143" s="214"/>
      <c r="D143" s="214"/>
      <c r="E143" s="214"/>
      <c r="F143" s="214"/>
      <c r="G143" s="214"/>
      <c r="H143" s="212">
        <f t="shared" si="11"/>
        <v>3788424.7157387319</v>
      </c>
      <c r="I143" s="212">
        <f>SUM(H132:H143)</f>
        <v>42196083.000687689</v>
      </c>
      <c r="J143" s="212">
        <f>H143*12</f>
        <v>45461096.588864781</v>
      </c>
    </row>
    <row r="144" spans="1:10" x14ac:dyDescent="0.2">
      <c r="A144" s="214">
        <v>41275</v>
      </c>
      <c r="B144" s="214"/>
      <c r="C144" s="214"/>
      <c r="D144" s="214"/>
      <c r="E144" s="214"/>
      <c r="F144" s="214"/>
      <c r="G144" s="214"/>
      <c r="H144" s="212">
        <f t="shared" ref="H144:H155" si="12">H143+$I$11</f>
        <v>3883154.3251877506</v>
      </c>
    </row>
    <row r="145" spans="1:10" x14ac:dyDescent="0.2">
      <c r="A145" s="214">
        <v>41306</v>
      </c>
      <c r="B145" s="214"/>
      <c r="C145" s="214"/>
      <c r="D145" s="214"/>
      <c r="E145" s="214"/>
      <c r="F145" s="214"/>
      <c r="G145" s="214"/>
      <c r="H145" s="212">
        <f t="shared" si="12"/>
        <v>3977883.9346367694</v>
      </c>
    </row>
    <row r="146" spans="1:10" x14ac:dyDescent="0.2">
      <c r="A146" s="214">
        <v>41334</v>
      </c>
      <c r="B146" s="214"/>
      <c r="C146" s="214"/>
      <c r="D146" s="214"/>
      <c r="E146" s="214"/>
      <c r="F146" s="214"/>
      <c r="G146" s="214"/>
      <c r="H146" s="212">
        <f t="shared" si="12"/>
        <v>4072613.5440857881</v>
      </c>
    </row>
    <row r="147" spans="1:10" x14ac:dyDescent="0.2">
      <c r="A147" s="214">
        <v>41365</v>
      </c>
      <c r="B147" s="214"/>
      <c r="C147" s="214"/>
      <c r="D147" s="214"/>
      <c r="E147" s="214"/>
      <c r="F147" s="214"/>
      <c r="G147" s="214"/>
      <c r="H147" s="212">
        <f t="shared" si="12"/>
        <v>4167343.1535348068</v>
      </c>
    </row>
    <row r="148" spans="1:10" x14ac:dyDescent="0.2">
      <c r="A148" s="214">
        <v>41395</v>
      </c>
      <c r="B148" s="214"/>
      <c r="C148" s="214"/>
      <c r="D148" s="214"/>
      <c r="E148" s="214"/>
      <c r="F148" s="214"/>
      <c r="G148" s="214"/>
      <c r="H148" s="212">
        <f t="shared" si="12"/>
        <v>4262072.762983826</v>
      </c>
    </row>
    <row r="149" spans="1:10" x14ac:dyDescent="0.2">
      <c r="A149" s="214">
        <v>41426</v>
      </c>
      <c r="B149" s="214"/>
      <c r="C149" s="214"/>
      <c r="D149" s="214"/>
      <c r="E149" s="214"/>
      <c r="F149" s="214"/>
      <c r="G149" s="214"/>
      <c r="H149" s="212">
        <f t="shared" si="12"/>
        <v>4356802.3724328447</v>
      </c>
    </row>
    <row r="150" spans="1:10" x14ac:dyDescent="0.2">
      <c r="A150" s="214">
        <v>41456</v>
      </c>
      <c r="B150" s="214"/>
      <c r="C150" s="214"/>
      <c r="D150" s="214"/>
      <c r="E150" s="214"/>
      <c r="F150" s="214"/>
      <c r="G150" s="214"/>
      <c r="H150" s="212">
        <f t="shared" si="12"/>
        <v>4451531.9818818634</v>
      </c>
    </row>
    <row r="151" spans="1:10" x14ac:dyDescent="0.2">
      <c r="A151" s="214">
        <v>41487</v>
      </c>
      <c r="B151" s="214"/>
      <c r="C151" s="214"/>
      <c r="D151" s="214"/>
      <c r="E151" s="214"/>
      <c r="F151" s="214"/>
      <c r="G151" s="214"/>
      <c r="H151" s="212">
        <f t="shared" si="12"/>
        <v>4546261.5913308822</v>
      </c>
    </row>
    <row r="152" spans="1:10" x14ac:dyDescent="0.2">
      <c r="A152" s="214">
        <v>41518</v>
      </c>
      <c r="B152" s="214"/>
      <c r="C152" s="214"/>
      <c r="D152" s="214"/>
      <c r="E152" s="214"/>
      <c r="F152" s="214"/>
      <c r="G152" s="214"/>
      <c r="H152" s="212">
        <f t="shared" si="12"/>
        <v>4640991.2007799009</v>
      </c>
    </row>
    <row r="153" spans="1:10" x14ac:dyDescent="0.2">
      <c r="A153" s="214">
        <v>41548</v>
      </c>
      <c r="B153" s="214"/>
      <c r="C153" s="214"/>
      <c r="D153" s="214"/>
      <c r="E153" s="214"/>
      <c r="F153" s="214"/>
      <c r="G153" s="214"/>
      <c r="H153" s="212">
        <f t="shared" si="12"/>
        <v>4735720.8102289196</v>
      </c>
    </row>
    <row r="154" spans="1:10" x14ac:dyDescent="0.2">
      <c r="A154" s="214">
        <v>41579</v>
      </c>
      <c r="B154" s="214"/>
      <c r="C154" s="214"/>
      <c r="D154" s="214"/>
      <c r="E154" s="214"/>
      <c r="F154" s="214"/>
      <c r="G154" s="214"/>
      <c r="H154" s="212">
        <f t="shared" si="12"/>
        <v>4830450.4196779383</v>
      </c>
    </row>
    <row r="155" spans="1:10" x14ac:dyDescent="0.2">
      <c r="A155" s="214">
        <v>41609</v>
      </c>
      <c r="B155" s="214"/>
      <c r="C155" s="214"/>
      <c r="D155" s="214"/>
      <c r="E155" s="214"/>
      <c r="F155" s="214"/>
      <c r="G155" s="214"/>
      <c r="H155" s="212">
        <f t="shared" si="12"/>
        <v>4925180.0291269571</v>
      </c>
      <c r="I155" s="212">
        <f>SUM(H144:H155)</f>
        <v>52850006.125888243</v>
      </c>
      <c r="J155" s="212">
        <f>H155*12</f>
        <v>59102160.349523485</v>
      </c>
    </row>
    <row r="156" spans="1:10" x14ac:dyDescent="0.2">
      <c r="A156" s="214">
        <v>41640</v>
      </c>
      <c r="H156" s="212">
        <f>H155+$I$12</f>
        <v>5042471.6014174633</v>
      </c>
    </row>
    <row r="157" spans="1:10" x14ac:dyDescent="0.2">
      <c r="A157" s="214">
        <v>41671</v>
      </c>
      <c r="H157" s="212">
        <f t="shared" ref="H157:H167" si="13">H156+$I$12</f>
        <v>5159763.1737079695</v>
      </c>
    </row>
    <row r="158" spans="1:10" x14ac:dyDescent="0.2">
      <c r="A158" s="214">
        <v>41699</v>
      </c>
      <c r="H158" s="212">
        <f t="shared" si="13"/>
        <v>5277054.7459984757</v>
      </c>
    </row>
    <row r="159" spans="1:10" x14ac:dyDescent="0.2">
      <c r="A159" s="214">
        <v>41730</v>
      </c>
      <c r="H159" s="212">
        <f t="shared" si="13"/>
        <v>5394346.3182889819</v>
      </c>
    </row>
    <row r="160" spans="1:10" x14ac:dyDescent="0.2">
      <c r="A160" s="214">
        <v>41760</v>
      </c>
      <c r="H160" s="212">
        <f t="shared" si="13"/>
        <v>5511637.8905794881</v>
      </c>
    </row>
    <row r="161" spans="1:10" x14ac:dyDescent="0.2">
      <c r="A161" s="214">
        <v>41791</v>
      </c>
      <c r="H161" s="212">
        <f t="shared" si="13"/>
        <v>5628929.4628699943</v>
      </c>
    </row>
    <row r="162" spans="1:10" x14ac:dyDescent="0.2">
      <c r="A162" s="214">
        <v>41821</v>
      </c>
      <c r="H162" s="212">
        <f t="shared" si="13"/>
        <v>5746221.0351605006</v>
      </c>
    </row>
    <row r="163" spans="1:10" x14ac:dyDescent="0.2">
      <c r="A163" s="214">
        <v>41852</v>
      </c>
      <c r="H163" s="212">
        <f t="shared" si="13"/>
        <v>5863512.6074510068</v>
      </c>
    </row>
    <row r="164" spans="1:10" x14ac:dyDescent="0.2">
      <c r="A164" s="214">
        <v>41883</v>
      </c>
      <c r="H164" s="212">
        <f t="shared" si="13"/>
        <v>5980804.179741513</v>
      </c>
    </row>
    <row r="165" spans="1:10" x14ac:dyDescent="0.2">
      <c r="A165" s="214">
        <v>41913</v>
      </c>
      <c r="H165" s="212">
        <f t="shared" si="13"/>
        <v>6098095.7520320192</v>
      </c>
    </row>
    <row r="166" spans="1:10" x14ac:dyDescent="0.2">
      <c r="A166" s="214">
        <v>41944</v>
      </c>
      <c r="H166" s="212">
        <f t="shared" si="13"/>
        <v>6215387.3243225254</v>
      </c>
    </row>
    <row r="167" spans="1:10" x14ac:dyDescent="0.2">
      <c r="A167" s="214">
        <v>41974</v>
      </c>
      <c r="H167" s="212">
        <f t="shared" si="13"/>
        <v>6332678.8966130316</v>
      </c>
      <c r="I167" s="212">
        <f>SUM(H156:H167)</f>
        <v>68250902.988182977</v>
      </c>
      <c r="J167" s="212">
        <f>H167*12</f>
        <v>75992146.75935638</v>
      </c>
    </row>
    <row r="168" spans="1:10" x14ac:dyDescent="0.2">
      <c r="A168" s="214">
        <v>42005</v>
      </c>
      <c r="H168" s="212">
        <f>H167+$I$13</f>
        <v>6459183.2072933279</v>
      </c>
    </row>
    <row r="169" spans="1:10" x14ac:dyDescent="0.2">
      <c r="A169" s="214">
        <v>42036</v>
      </c>
      <c r="H169" s="212">
        <f t="shared" ref="H169:H179" si="14">H168+$I$13</f>
        <v>6585687.5179736242</v>
      </c>
    </row>
    <row r="170" spans="1:10" x14ac:dyDescent="0.2">
      <c r="A170" s="214">
        <v>42064</v>
      </c>
      <c r="H170" s="212">
        <f t="shared" si="14"/>
        <v>6712191.8286539204</v>
      </c>
    </row>
    <row r="171" spans="1:10" x14ac:dyDescent="0.2">
      <c r="A171" s="214">
        <v>42095</v>
      </c>
      <c r="H171" s="212">
        <f t="shared" si="14"/>
        <v>6838696.1393342167</v>
      </c>
    </row>
    <row r="172" spans="1:10" x14ac:dyDescent="0.2">
      <c r="A172" s="214">
        <v>42125</v>
      </c>
      <c r="H172" s="212">
        <f t="shared" si="14"/>
        <v>6965200.450014513</v>
      </c>
    </row>
    <row r="173" spans="1:10" x14ac:dyDescent="0.2">
      <c r="A173" s="214">
        <v>42156</v>
      </c>
      <c r="H173" s="212">
        <f t="shared" si="14"/>
        <v>7091704.7606948093</v>
      </c>
    </row>
    <row r="174" spans="1:10" x14ac:dyDescent="0.2">
      <c r="A174" s="214">
        <v>42186</v>
      </c>
      <c r="H174" s="212">
        <f t="shared" si="14"/>
        <v>7218209.0713751055</v>
      </c>
    </row>
    <row r="175" spans="1:10" x14ac:dyDescent="0.2">
      <c r="A175" s="214">
        <v>42217</v>
      </c>
      <c r="H175" s="212">
        <f t="shared" si="14"/>
        <v>7344713.3820554018</v>
      </c>
    </row>
    <row r="176" spans="1:10" x14ac:dyDescent="0.2">
      <c r="A176" s="214">
        <v>42248</v>
      </c>
      <c r="H176" s="212">
        <f t="shared" si="14"/>
        <v>7471217.6927356981</v>
      </c>
    </row>
    <row r="177" spans="1:10" x14ac:dyDescent="0.2">
      <c r="A177" s="214">
        <v>42278</v>
      </c>
      <c r="H177" s="212">
        <f t="shared" si="14"/>
        <v>7597722.0034159943</v>
      </c>
    </row>
    <row r="178" spans="1:10" x14ac:dyDescent="0.2">
      <c r="A178" s="214">
        <v>42309</v>
      </c>
      <c r="H178" s="212">
        <f t="shared" si="14"/>
        <v>7724226.3140962906</v>
      </c>
    </row>
    <row r="179" spans="1:10" x14ac:dyDescent="0.2">
      <c r="A179" s="214">
        <v>42339</v>
      </c>
      <c r="H179" s="212">
        <f t="shared" si="14"/>
        <v>7850730.6247765869</v>
      </c>
      <c r="I179" s="212">
        <f>SUM(H168:H179)</f>
        <v>85859482.992419481</v>
      </c>
      <c r="J179" s="212">
        <f>H179*12</f>
        <v>94208767.497319043</v>
      </c>
    </row>
    <row r="180" spans="1:10" x14ac:dyDescent="0.2">
      <c r="A180" s="214">
        <v>42370</v>
      </c>
      <c r="H180" s="212">
        <f>H179+$I$14</f>
        <v>7965870.7376582809</v>
      </c>
    </row>
    <row r="181" spans="1:10" x14ac:dyDescent="0.2">
      <c r="A181" s="214">
        <v>42401</v>
      </c>
      <c r="H181" s="212">
        <f t="shared" ref="H181:H191" si="15">H180+$I$14</f>
        <v>8081010.8505399749</v>
      </c>
    </row>
    <row r="182" spans="1:10" x14ac:dyDescent="0.2">
      <c r="A182" s="214">
        <v>42430</v>
      </c>
      <c r="H182" s="212">
        <f t="shared" si="15"/>
        <v>8196150.9634216689</v>
      </c>
    </row>
    <row r="183" spans="1:10" x14ac:dyDescent="0.2">
      <c r="A183" s="214">
        <v>42461</v>
      </c>
      <c r="H183" s="212">
        <f t="shared" si="15"/>
        <v>8311291.0763033628</v>
      </c>
    </row>
    <row r="184" spans="1:10" x14ac:dyDescent="0.2">
      <c r="A184" s="214">
        <v>42491</v>
      </c>
      <c r="H184" s="212">
        <f t="shared" si="15"/>
        <v>8426431.1891850568</v>
      </c>
    </row>
    <row r="185" spans="1:10" x14ac:dyDescent="0.2">
      <c r="A185" s="214">
        <v>42522</v>
      </c>
      <c r="H185" s="212">
        <f t="shared" si="15"/>
        <v>8541571.3020667508</v>
      </c>
    </row>
    <row r="186" spans="1:10" x14ac:dyDescent="0.2">
      <c r="A186" s="214">
        <v>42552</v>
      </c>
      <c r="H186" s="212">
        <f t="shared" si="15"/>
        <v>8656711.4149484448</v>
      </c>
    </row>
    <row r="187" spans="1:10" x14ac:dyDescent="0.2">
      <c r="A187" s="214">
        <v>42583</v>
      </c>
      <c r="H187" s="212">
        <f t="shared" si="15"/>
        <v>8771851.5278301388</v>
      </c>
    </row>
    <row r="188" spans="1:10" x14ac:dyDescent="0.2">
      <c r="A188" s="214">
        <v>42614</v>
      </c>
      <c r="H188" s="212">
        <f t="shared" si="15"/>
        <v>8886991.6407118328</v>
      </c>
    </row>
    <row r="189" spans="1:10" x14ac:dyDescent="0.2">
      <c r="A189" s="214">
        <v>42644</v>
      </c>
      <c r="H189" s="212">
        <f t="shared" si="15"/>
        <v>9002131.7535935268</v>
      </c>
    </row>
    <row r="190" spans="1:10" x14ac:dyDescent="0.2">
      <c r="A190" s="214">
        <v>42675</v>
      </c>
      <c r="H190" s="212">
        <f t="shared" si="15"/>
        <v>9117271.8664752208</v>
      </c>
    </row>
    <row r="191" spans="1:10" x14ac:dyDescent="0.2">
      <c r="A191" s="214">
        <v>42705</v>
      </c>
      <c r="H191" s="212">
        <f t="shared" si="15"/>
        <v>9232411.9793569148</v>
      </c>
      <c r="I191" s="212">
        <f>SUM(H180:H191)</f>
        <v>103189696.30209118</v>
      </c>
      <c r="J191" s="212">
        <f>H191*12</f>
        <v>110788943.75228298</v>
      </c>
    </row>
    <row r="192" spans="1:10" x14ac:dyDescent="0.2">
      <c r="A192" s="214">
        <v>42736</v>
      </c>
      <c r="H192" s="212">
        <f>H191+$I$15</f>
        <v>9394924.7050699648</v>
      </c>
    </row>
    <row r="193" spans="1:10" x14ac:dyDescent="0.2">
      <c r="A193" s="214">
        <v>42767</v>
      </c>
      <c r="H193" s="212">
        <f t="shared" ref="H193:H203" si="16">H192+$I$15</f>
        <v>9557437.4307830147</v>
      </c>
    </row>
    <row r="194" spans="1:10" x14ac:dyDescent="0.2">
      <c r="A194" s="214">
        <v>42795</v>
      </c>
      <c r="H194" s="212">
        <f t="shared" si="16"/>
        <v>9719950.1564960647</v>
      </c>
    </row>
    <row r="195" spans="1:10" x14ac:dyDescent="0.2">
      <c r="A195" s="214">
        <v>42826</v>
      </c>
      <c r="H195" s="212">
        <f t="shared" si="16"/>
        <v>9882462.8822091147</v>
      </c>
    </row>
    <row r="196" spans="1:10" x14ac:dyDescent="0.2">
      <c r="A196" s="214">
        <v>42856</v>
      </c>
      <c r="H196" s="212">
        <f t="shared" si="16"/>
        <v>10044975.607922165</v>
      </c>
    </row>
    <row r="197" spans="1:10" x14ac:dyDescent="0.2">
      <c r="A197" s="214">
        <v>42887</v>
      </c>
      <c r="H197" s="212">
        <f t="shared" si="16"/>
        <v>10207488.333635215</v>
      </c>
    </row>
    <row r="198" spans="1:10" x14ac:dyDescent="0.2">
      <c r="A198" s="214">
        <v>42917</v>
      </c>
      <c r="H198" s="212">
        <f t="shared" si="16"/>
        <v>10370001.059348265</v>
      </c>
    </row>
    <row r="199" spans="1:10" x14ac:dyDescent="0.2">
      <c r="A199" s="214">
        <v>42948</v>
      </c>
      <c r="H199" s="212">
        <f t="shared" si="16"/>
        <v>10532513.785061315</v>
      </c>
    </row>
    <row r="200" spans="1:10" x14ac:dyDescent="0.2">
      <c r="A200" s="214">
        <v>42979</v>
      </c>
      <c r="H200" s="212">
        <f t="shared" si="16"/>
        <v>10695026.510774365</v>
      </c>
    </row>
    <row r="201" spans="1:10" x14ac:dyDescent="0.2">
      <c r="A201" s="214">
        <v>43009</v>
      </c>
      <c r="H201" s="212">
        <f t="shared" si="16"/>
        <v>10857539.236487415</v>
      </c>
    </row>
    <row r="202" spans="1:10" x14ac:dyDescent="0.2">
      <c r="A202" s="214">
        <v>43040</v>
      </c>
      <c r="H202" s="212">
        <f t="shared" si="16"/>
        <v>11020051.962200465</v>
      </c>
    </row>
    <row r="203" spans="1:10" x14ac:dyDescent="0.2">
      <c r="A203" s="214">
        <v>43070</v>
      </c>
      <c r="H203" s="212">
        <f t="shared" si="16"/>
        <v>11182564.687913515</v>
      </c>
      <c r="I203" s="212">
        <f>SUM(H192:H203)</f>
        <v>123464936.35790089</v>
      </c>
      <c r="J203" s="212">
        <f>H203*12</f>
        <v>134190776.25496218</v>
      </c>
    </row>
    <row r="204" spans="1:10" x14ac:dyDescent="0.2">
      <c r="A204" s="214">
        <v>43101</v>
      </c>
      <c r="H204" s="212">
        <f>H203+$I$16</f>
        <v>11171127.984005844</v>
      </c>
      <c r="I204" s="212"/>
      <c r="J204" s="212"/>
    </row>
    <row r="205" spans="1:10" x14ac:dyDescent="0.2">
      <c r="A205" s="214">
        <v>43132</v>
      </c>
      <c r="H205" s="212">
        <f t="shared" ref="H205:H215" si="17">H204+$I$16</f>
        <v>11159691.280098174</v>
      </c>
    </row>
    <row r="206" spans="1:10" x14ac:dyDescent="0.2">
      <c r="A206" s="214">
        <v>43160</v>
      </c>
      <c r="H206" s="212">
        <f t="shared" si="17"/>
        <v>11148254.576190503</v>
      </c>
    </row>
    <row r="207" spans="1:10" x14ac:dyDescent="0.2">
      <c r="A207" s="214">
        <v>43191</v>
      </c>
      <c r="H207" s="212">
        <f t="shared" si="17"/>
        <v>11136817.872282833</v>
      </c>
    </row>
    <row r="208" spans="1:10" x14ac:dyDescent="0.2">
      <c r="A208" s="214">
        <v>43221</v>
      </c>
      <c r="H208" s="212">
        <f t="shared" si="17"/>
        <v>11125381.168375162</v>
      </c>
    </row>
    <row r="209" spans="1:10" x14ac:dyDescent="0.2">
      <c r="A209" s="214">
        <v>43252</v>
      </c>
      <c r="H209" s="212">
        <f t="shared" si="17"/>
        <v>11113944.464467492</v>
      </c>
    </row>
    <row r="210" spans="1:10" x14ac:dyDescent="0.2">
      <c r="A210" s="214">
        <v>43282</v>
      </c>
      <c r="H210" s="212">
        <f t="shared" si="17"/>
        <v>11102507.760559822</v>
      </c>
    </row>
    <row r="211" spans="1:10" x14ac:dyDescent="0.2">
      <c r="A211" s="214">
        <v>43313</v>
      </c>
      <c r="H211" s="212">
        <f t="shared" si="17"/>
        <v>11091071.056652151</v>
      </c>
    </row>
    <row r="212" spans="1:10" x14ac:dyDescent="0.2">
      <c r="A212" s="214">
        <v>43344</v>
      </c>
      <c r="H212" s="212">
        <f t="shared" si="17"/>
        <v>11079634.352744481</v>
      </c>
    </row>
    <row r="213" spans="1:10" x14ac:dyDescent="0.2">
      <c r="A213" s="214">
        <v>43374</v>
      </c>
      <c r="H213" s="212">
        <f t="shared" si="17"/>
        <v>11068197.64883681</v>
      </c>
    </row>
    <row r="214" spans="1:10" x14ac:dyDescent="0.2">
      <c r="A214" s="214">
        <v>43405</v>
      </c>
      <c r="H214" s="212">
        <f t="shared" si="17"/>
        <v>11056760.94492914</v>
      </c>
    </row>
    <row r="215" spans="1:10" x14ac:dyDescent="0.2">
      <c r="A215" s="214">
        <v>43435</v>
      </c>
      <c r="H215" s="212">
        <f t="shared" si="17"/>
        <v>11045324.241021469</v>
      </c>
      <c r="I215" s="212">
        <f>SUM(H204:H215)</f>
        <v>133298713.35016388</v>
      </c>
      <c r="J215" s="212">
        <f>H215*12</f>
        <v>132543890.89225763</v>
      </c>
    </row>
    <row r="216" spans="1:10" x14ac:dyDescent="0.2">
      <c r="A216" s="214">
        <v>43466</v>
      </c>
      <c r="H216" s="212">
        <f>H215+$I$17</f>
        <v>10973935.710179139</v>
      </c>
    </row>
    <row r="217" spans="1:10" x14ac:dyDescent="0.2">
      <c r="A217" s="214">
        <v>43497</v>
      </c>
      <c r="H217" s="212">
        <f t="shared" ref="H217:H227" si="18">H216+$I$17</f>
        <v>10902547.179336809</v>
      </c>
    </row>
    <row r="218" spans="1:10" x14ac:dyDescent="0.2">
      <c r="A218" s="214">
        <v>43525</v>
      </c>
      <c r="H218" s="212">
        <f t="shared" si="18"/>
        <v>10831158.648494478</v>
      </c>
    </row>
    <row r="219" spans="1:10" x14ac:dyDescent="0.2">
      <c r="A219" s="214">
        <v>43556</v>
      </c>
      <c r="H219" s="212">
        <f t="shared" si="18"/>
        <v>10759770.117652148</v>
      </c>
    </row>
    <row r="220" spans="1:10" x14ac:dyDescent="0.2">
      <c r="A220" s="214">
        <v>43586</v>
      </c>
      <c r="H220" s="212">
        <f t="shared" si="18"/>
        <v>10688381.586809818</v>
      </c>
    </row>
    <row r="221" spans="1:10" x14ac:dyDescent="0.2">
      <c r="A221" s="214">
        <v>43617</v>
      </c>
      <c r="H221" s="212">
        <f t="shared" si="18"/>
        <v>10616993.055967487</v>
      </c>
    </row>
    <row r="222" spans="1:10" x14ac:dyDescent="0.2">
      <c r="A222" s="214">
        <v>43647</v>
      </c>
      <c r="H222" s="212">
        <f t="shared" si="18"/>
        <v>10545604.525125157</v>
      </c>
    </row>
    <row r="223" spans="1:10" x14ac:dyDescent="0.2">
      <c r="A223" s="214">
        <v>43678</v>
      </c>
      <c r="H223" s="212">
        <f t="shared" si="18"/>
        <v>10474215.994282827</v>
      </c>
    </row>
    <row r="224" spans="1:10" x14ac:dyDescent="0.2">
      <c r="A224" s="214">
        <v>43709</v>
      </c>
      <c r="H224" s="212">
        <f t="shared" si="18"/>
        <v>10402827.463440496</v>
      </c>
    </row>
    <row r="225" spans="1:10" x14ac:dyDescent="0.2">
      <c r="A225" s="214">
        <v>43739</v>
      </c>
      <c r="H225" s="212">
        <f t="shared" si="18"/>
        <v>10331438.932598166</v>
      </c>
    </row>
    <row r="226" spans="1:10" x14ac:dyDescent="0.2">
      <c r="A226" s="214">
        <v>43770</v>
      </c>
      <c r="H226" s="212">
        <f t="shared" si="18"/>
        <v>10260050.401755836</v>
      </c>
    </row>
    <row r="227" spans="1:10" x14ac:dyDescent="0.2">
      <c r="A227" s="214">
        <v>43800</v>
      </c>
      <c r="H227" s="212">
        <f t="shared" si="18"/>
        <v>10188661.870913506</v>
      </c>
      <c r="I227" s="212">
        <f>SUM(H216:H227)</f>
        <v>126975585.48655587</v>
      </c>
      <c r="J227" s="212">
        <f>H227*12</f>
        <v>122263942.45096207</v>
      </c>
    </row>
    <row r="228" spans="1:10" x14ac:dyDescent="0.2">
      <c r="H228" s="213">
        <f>SUM(H60:H227)</f>
        <v>817098267.47039568</v>
      </c>
    </row>
  </sheetData>
  <mergeCells count="1">
    <mergeCell ref="K3:L3"/>
  </mergeCells>
  <pageMargins left="0.1" right="0.11" top="0.3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E326"/>
  <sheetViews>
    <sheetView topLeftCell="A283" workbookViewId="0"/>
  </sheetViews>
  <sheetFormatPr defaultRowHeight="12.75" x14ac:dyDescent="0.2"/>
  <cols>
    <col min="1" max="1" width="11.85546875" style="40" customWidth="1"/>
    <col min="2" max="2" width="11.7109375" style="1" customWidth="1"/>
    <col min="3" max="3" width="13.42578125" style="1" customWidth="1"/>
  </cols>
  <sheetData>
    <row r="2" spans="1:3" ht="25.5" x14ac:dyDescent="0.2">
      <c r="A2" s="64"/>
      <c r="B2" s="65" t="s">
        <v>4</v>
      </c>
      <c r="C2" s="66" t="s">
        <v>5</v>
      </c>
    </row>
    <row r="3" spans="1:3" x14ac:dyDescent="0.2">
      <c r="A3" s="49">
        <v>33239</v>
      </c>
      <c r="B3" s="1">
        <v>750.4</v>
      </c>
      <c r="C3" s="1">
        <v>0</v>
      </c>
    </row>
    <row r="4" spans="1:3" x14ac:dyDescent="0.2">
      <c r="A4" s="49">
        <f t="shared" ref="A4:A67" si="0">EOMONTH(A3,1)</f>
        <v>33297</v>
      </c>
      <c r="B4" s="1">
        <v>589.1</v>
      </c>
      <c r="C4" s="1">
        <v>0</v>
      </c>
    </row>
    <row r="5" spans="1:3" x14ac:dyDescent="0.2">
      <c r="A5" s="49">
        <f t="shared" si="0"/>
        <v>33328</v>
      </c>
      <c r="B5" s="1">
        <v>532.20000000000005</v>
      </c>
      <c r="C5" s="1">
        <v>0</v>
      </c>
    </row>
    <row r="6" spans="1:3" x14ac:dyDescent="0.2">
      <c r="A6" s="49">
        <f t="shared" si="0"/>
        <v>33358</v>
      </c>
      <c r="B6" s="1">
        <v>297.60000000000002</v>
      </c>
      <c r="C6" s="1">
        <v>0.5</v>
      </c>
    </row>
    <row r="7" spans="1:3" x14ac:dyDescent="0.2">
      <c r="A7" s="49">
        <f t="shared" si="0"/>
        <v>33389</v>
      </c>
      <c r="B7" s="1">
        <v>0</v>
      </c>
      <c r="C7" s="1">
        <v>0</v>
      </c>
    </row>
    <row r="8" spans="1:3" x14ac:dyDescent="0.2">
      <c r="A8" s="49">
        <f t="shared" si="0"/>
        <v>33419</v>
      </c>
      <c r="B8" s="1">
        <v>21.4</v>
      </c>
      <c r="C8" s="1">
        <v>61.8</v>
      </c>
    </row>
    <row r="9" spans="1:3" x14ac:dyDescent="0.2">
      <c r="A9" s="49">
        <f t="shared" si="0"/>
        <v>33450</v>
      </c>
      <c r="B9" s="1">
        <v>5.4</v>
      </c>
      <c r="C9" s="1">
        <v>95.7</v>
      </c>
    </row>
    <row r="10" spans="1:3" x14ac:dyDescent="0.2">
      <c r="A10" s="49">
        <f t="shared" si="0"/>
        <v>33481</v>
      </c>
      <c r="B10" s="1">
        <v>2.7</v>
      </c>
      <c r="C10" s="1">
        <v>85.5</v>
      </c>
    </row>
    <row r="11" spans="1:3" x14ac:dyDescent="0.2">
      <c r="A11" s="49">
        <f t="shared" si="0"/>
        <v>33511</v>
      </c>
      <c r="B11" s="1">
        <v>130.30000000000001</v>
      </c>
      <c r="C11" s="1">
        <v>21.3</v>
      </c>
    </row>
    <row r="12" spans="1:3" x14ac:dyDescent="0.2">
      <c r="A12" s="49">
        <f t="shared" si="0"/>
        <v>33542</v>
      </c>
      <c r="B12" s="1">
        <v>241.8</v>
      </c>
      <c r="C12" s="1">
        <v>0</v>
      </c>
    </row>
    <row r="13" spans="1:3" x14ac:dyDescent="0.2">
      <c r="A13" s="49">
        <f t="shared" si="0"/>
        <v>33572</v>
      </c>
      <c r="B13" s="1">
        <v>467.6</v>
      </c>
      <c r="C13" s="1">
        <v>0</v>
      </c>
    </row>
    <row r="14" spans="1:3" x14ac:dyDescent="0.2">
      <c r="A14" s="49">
        <f t="shared" si="0"/>
        <v>33603</v>
      </c>
      <c r="B14" s="1">
        <v>600.1</v>
      </c>
      <c r="C14" s="1">
        <v>0</v>
      </c>
    </row>
    <row r="15" spans="1:3" x14ac:dyDescent="0.2">
      <c r="A15" s="49">
        <f t="shared" si="0"/>
        <v>33634</v>
      </c>
      <c r="B15" s="1">
        <v>688.8</v>
      </c>
      <c r="C15" s="1">
        <v>0</v>
      </c>
    </row>
    <row r="16" spans="1:3" x14ac:dyDescent="0.2">
      <c r="A16" s="49">
        <f t="shared" si="0"/>
        <v>33663</v>
      </c>
      <c r="B16" s="1">
        <v>625.4</v>
      </c>
      <c r="C16" s="1">
        <v>0</v>
      </c>
    </row>
    <row r="17" spans="1:3" x14ac:dyDescent="0.2">
      <c r="A17" s="49">
        <f t="shared" si="0"/>
        <v>33694</v>
      </c>
      <c r="B17" s="1">
        <v>578.70000000000005</v>
      </c>
      <c r="C17" s="1">
        <v>0</v>
      </c>
    </row>
    <row r="18" spans="1:3" x14ac:dyDescent="0.2">
      <c r="A18" s="49">
        <f t="shared" si="0"/>
        <v>33724</v>
      </c>
      <c r="B18" s="1">
        <v>379.4</v>
      </c>
      <c r="C18" s="1">
        <v>0</v>
      </c>
    </row>
    <row r="19" spans="1:3" x14ac:dyDescent="0.2">
      <c r="A19" s="49">
        <f t="shared" si="0"/>
        <v>33755</v>
      </c>
      <c r="B19" s="1">
        <v>160.9</v>
      </c>
      <c r="C19" s="1">
        <v>4</v>
      </c>
    </row>
    <row r="20" spans="1:3" x14ac:dyDescent="0.2">
      <c r="A20" s="49">
        <f t="shared" si="0"/>
        <v>33785</v>
      </c>
      <c r="B20" s="1">
        <v>69.099999999999994</v>
      </c>
      <c r="C20" s="1">
        <v>15.8</v>
      </c>
    </row>
    <row r="21" spans="1:3" x14ac:dyDescent="0.2">
      <c r="A21" s="49">
        <f t="shared" si="0"/>
        <v>33816</v>
      </c>
      <c r="B21" s="1">
        <v>25.9</v>
      </c>
      <c r="C21" s="1">
        <v>23.4</v>
      </c>
    </row>
    <row r="22" spans="1:3" x14ac:dyDescent="0.2">
      <c r="A22" s="49">
        <f t="shared" si="0"/>
        <v>33847</v>
      </c>
      <c r="B22" s="1">
        <v>40.1</v>
      </c>
      <c r="C22" s="1">
        <v>20.5</v>
      </c>
    </row>
    <row r="23" spans="1:3" x14ac:dyDescent="0.2">
      <c r="A23" s="49">
        <f t="shared" si="0"/>
        <v>33877</v>
      </c>
      <c r="B23" s="1">
        <v>113.3</v>
      </c>
      <c r="C23" s="1">
        <v>13</v>
      </c>
    </row>
    <row r="24" spans="1:3" x14ac:dyDescent="0.2">
      <c r="A24" s="49">
        <f t="shared" si="0"/>
        <v>33908</v>
      </c>
      <c r="B24" s="1">
        <v>339.1</v>
      </c>
      <c r="C24" s="1">
        <v>0</v>
      </c>
    </row>
    <row r="25" spans="1:3" x14ac:dyDescent="0.2">
      <c r="A25" s="49">
        <f t="shared" si="0"/>
        <v>33938</v>
      </c>
      <c r="B25" s="1">
        <v>455.2</v>
      </c>
      <c r="C25" s="1">
        <v>0</v>
      </c>
    </row>
    <row r="26" spans="1:3" x14ac:dyDescent="0.2">
      <c r="A26" s="49">
        <f t="shared" si="0"/>
        <v>33969</v>
      </c>
      <c r="B26" s="1">
        <v>627.70000000000005</v>
      </c>
      <c r="C26" s="1">
        <v>0</v>
      </c>
    </row>
    <row r="27" spans="1:3" x14ac:dyDescent="0.2">
      <c r="A27" s="49">
        <f t="shared" si="0"/>
        <v>34000</v>
      </c>
      <c r="B27" s="1">
        <v>687.2</v>
      </c>
      <c r="C27" s="1">
        <v>0</v>
      </c>
    </row>
    <row r="28" spans="1:3" x14ac:dyDescent="0.2">
      <c r="A28" s="49">
        <f t="shared" si="0"/>
        <v>34028</v>
      </c>
      <c r="B28" s="1">
        <v>738.1</v>
      </c>
      <c r="C28" s="1">
        <v>0</v>
      </c>
    </row>
    <row r="29" spans="1:3" x14ac:dyDescent="0.2">
      <c r="A29" s="49">
        <f t="shared" si="0"/>
        <v>34059</v>
      </c>
      <c r="B29" s="1">
        <v>632</v>
      </c>
      <c r="C29" s="1">
        <v>0</v>
      </c>
    </row>
    <row r="30" spans="1:3" x14ac:dyDescent="0.2">
      <c r="A30" s="49">
        <f t="shared" si="0"/>
        <v>34089</v>
      </c>
      <c r="B30" s="1">
        <v>343.4</v>
      </c>
      <c r="C30" s="1">
        <v>0</v>
      </c>
    </row>
    <row r="31" spans="1:3" x14ac:dyDescent="0.2">
      <c r="A31" s="49">
        <f t="shared" si="0"/>
        <v>34120</v>
      </c>
      <c r="B31" s="1">
        <v>176.6</v>
      </c>
      <c r="C31" s="1">
        <v>1.5</v>
      </c>
    </row>
    <row r="32" spans="1:3" x14ac:dyDescent="0.2">
      <c r="A32" s="49">
        <f t="shared" si="0"/>
        <v>34150</v>
      </c>
      <c r="B32" s="1">
        <v>47.3</v>
      </c>
      <c r="C32" s="1">
        <v>26.2</v>
      </c>
    </row>
    <row r="33" spans="1:5" x14ac:dyDescent="0.2">
      <c r="A33" s="49">
        <f t="shared" si="0"/>
        <v>34181</v>
      </c>
      <c r="B33" s="1">
        <v>2.9</v>
      </c>
      <c r="C33" s="1">
        <v>97.1</v>
      </c>
    </row>
    <row r="34" spans="1:5" x14ac:dyDescent="0.2">
      <c r="A34" s="49">
        <f t="shared" si="0"/>
        <v>34212</v>
      </c>
      <c r="B34" s="1">
        <v>7.5</v>
      </c>
      <c r="C34" s="1">
        <v>93.8</v>
      </c>
    </row>
    <row r="35" spans="1:5" x14ac:dyDescent="0.2">
      <c r="A35" s="49">
        <f t="shared" si="0"/>
        <v>34242</v>
      </c>
      <c r="B35" s="1">
        <v>156.4</v>
      </c>
      <c r="C35" s="1">
        <v>4</v>
      </c>
    </row>
    <row r="36" spans="1:5" x14ac:dyDescent="0.2">
      <c r="A36" s="49">
        <f t="shared" si="0"/>
        <v>34273</v>
      </c>
      <c r="B36" s="1">
        <v>335.9</v>
      </c>
      <c r="C36" s="1">
        <v>1</v>
      </c>
    </row>
    <row r="37" spans="1:5" x14ac:dyDescent="0.2">
      <c r="A37" s="49">
        <f t="shared" si="0"/>
        <v>34303</v>
      </c>
      <c r="B37" s="1">
        <v>463.5</v>
      </c>
      <c r="C37" s="1">
        <v>0</v>
      </c>
    </row>
    <row r="38" spans="1:5" x14ac:dyDescent="0.2">
      <c r="A38" s="49">
        <f t="shared" si="0"/>
        <v>34334</v>
      </c>
      <c r="B38" s="1">
        <v>649.6</v>
      </c>
      <c r="C38" s="1">
        <v>0</v>
      </c>
      <c r="D38">
        <f>SUM(B27:B38)</f>
        <v>4240.4000000000005</v>
      </c>
      <c r="E38">
        <f>SUM(C27:C38)</f>
        <v>223.6</v>
      </c>
    </row>
    <row r="39" spans="1:5" x14ac:dyDescent="0.2">
      <c r="A39" s="49">
        <f t="shared" si="0"/>
        <v>34365</v>
      </c>
      <c r="B39" s="1">
        <v>968.6</v>
      </c>
      <c r="C39" s="1">
        <v>0</v>
      </c>
    </row>
    <row r="40" spans="1:5" x14ac:dyDescent="0.2">
      <c r="A40" s="49">
        <f t="shared" si="0"/>
        <v>34393</v>
      </c>
      <c r="B40" s="1">
        <v>774.2</v>
      </c>
      <c r="C40" s="1">
        <v>0</v>
      </c>
    </row>
    <row r="41" spans="1:5" x14ac:dyDescent="0.2">
      <c r="A41" s="49">
        <f t="shared" si="0"/>
        <v>34424</v>
      </c>
      <c r="B41" s="1">
        <v>619.9</v>
      </c>
      <c r="C41" s="1">
        <v>0</v>
      </c>
    </row>
    <row r="42" spans="1:5" x14ac:dyDescent="0.2">
      <c r="A42" s="49">
        <f t="shared" si="0"/>
        <v>34454</v>
      </c>
      <c r="B42" s="1">
        <v>343.8</v>
      </c>
      <c r="C42" s="1">
        <v>0</v>
      </c>
    </row>
    <row r="43" spans="1:5" x14ac:dyDescent="0.2">
      <c r="A43" s="49">
        <f t="shared" si="0"/>
        <v>34485</v>
      </c>
      <c r="B43" s="1">
        <v>226.7</v>
      </c>
      <c r="C43" s="1">
        <v>6.9</v>
      </c>
    </row>
    <row r="44" spans="1:5" x14ac:dyDescent="0.2">
      <c r="A44" s="49">
        <f t="shared" si="0"/>
        <v>34515</v>
      </c>
      <c r="B44" s="1">
        <v>38.4</v>
      </c>
      <c r="C44" s="1">
        <v>61.6</v>
      </c>
    </row>
    <row r="45" spans="1:5" x14ac:dyDescent="0.2">
      <c r="A45" s="49">
        <f t="shared" si="0"/>
        <v>34546</v>
      </c>
      <c r="B45" s="1">
        <v>6.3</v>
      </c>
      <c r="C45" s="1">
        <v>77.7</v>
      </c>
    </row>
    <row r="46" spans="1:5" x14ac:dyDescent="0.2">
      <c r="A46" s="49">
        <f t="shared" si="0"/>
        <v>34577</v>
      </c>
      <c r="B46" s="1">
        <v>39.200000000000003</v>
      </c>
      <c r="C46" s="1">
        <v>27.3</v>
      </c>
    </row>
    <row r="47" spans="1:5" x14ac:dyDescent="0.2">
      <c r="A47" s="49">
        <f t="shared" si="0"/>
        <v>34607</v>
      </c>
      <c r="B47" s="1">
        <v>105.4</v>
      </c>
      <c r="C47" s="1">
        <v>7.5</v>
      </c>
    </row>
    <row r="48" spans="1:5" x14ac:dyDescent="0.2">
      <c r="A48" s="49">
        <f t="shared" si="0"/>
        <v>34638</v>
      </c>
      <c r="B48" s="1">
        <v>263.7</v>
      </c>
      <c r="C48" s="1">
        <v>0</v>
      </c>
    </row>
    <row r="49" spans="1:5" x14ac:dyDescent="0.2">
      <c r="A49" s="49">
        <f t="shared" si="0"/>
        <v>34668</v>
      </c>
      <c r="B49" s="1">
        <v>405.3</v>
      </c>
      <c r="C49" s="1">
        <v>0</v>
      </c>
    </row>
    <row r="50" spans="1:5" x14ac:dyDescent="0.2">
      <c r="A50" s="49">
        <f t="shared" si="0"/>
        <v>34699</v>
      </c>
      <c r="B50" s="1">
        <v>591.1</v>
      </c>
      <c r="C50" s="1">
        <v>0</v>
      </c>
      <c r="D50">
        <f>SUM(B39:B50)</f>
        <v>4382.6000000000004</v>
      </c>
      <c r="E50">
        <f>SUM(C39:C50)</f>
        <v>181</v>
      </c>
    </row>
    <row r="51" spans="1:5" x14ac:dyDescent="0.2">
      <c r="A51" s="49">
        <f t="shared" si="0"/>
        <v>34730</v>
      </c>
      <c r="B51" s="1">
        <v>667.5</v>
      </c>
      <c r="C51" s="1">
        <v>0</v>
      </c>
    </row>
    <row r="52" spans="1:5" x14ac:dyDescent="0.2">
      <c r="A52" s="49">
        <f t="shared" si="0"/>
        <v>34758</v>
      </c>
      <c r="B52" s="1">
        <v>735.3</v>
      </c>
      <c r="C52" s="1">
        <v>0</v>
      </c>
    </row>
    <row r="53" spans="1:5" x14ac:dyDescent="0.2">
      <c r="A53" s="49">
        <f t="shared" si="0"/>
        <v>34789</v>
      </c>
      <c r="B53" s="1">
        <v>523.70000000000005</v>
      </c>
      <c r="C53" s="1">
        <v>0</v>
      </c>
    </row>
    <row r="54" spans="1:5" x14ac:dyDescent="0.2">
      <c r="A54" s="49">
        <f t="shared" si="0"/>
        <v>34819</v>
      </c>
      <c r="B54" s="1">
        <v>434.4</v>
      </c>
      <c r="C54" s="1">
        <v>0</v>
      </c>
    </row>
    <row r="55" spans="1:5" x14ac:dyDescent="0.2">
      <c r="A55" s="49">
        <f t="shared" si="0"/>
        <v>34850</v>
      </c>
      <c r="B55" s="1">
        <v>171.9</v>
      </c>
      <c r="C55" s="1">
        <v>1.7</v>
      </c>
    </row>
    <row r="56" spans="1:5" x14ac:dyDescent="0.2">
      <c r="A56" s="49">
        <f t="shared" si="0"/>
        <v>34880</v>
      </c>
      <c r="B56" s="1">
        <v>25.9</v>
      </c>
      <c r="C56" s="1">
        <v>70.8</v>
      </c>
    </row>
    <row r="57" spans="1:5" x14ac:dyDescent="0.2">
      <c r="A57" s="49">
        <f t="shared" si="0"/>
        <v>34911</v>
      </c>
      <c r="B57" s="1">
        <v>17.3</v>
      </c>
      <c r="C57" s="1">
        <v>105.9</v>
      </c>
    </row>
    <row r="58" spans="1:5" x14ac:dyDescent="0.2">
      <c r="A58" s="49">
        <f t="shared" si="0"/>
        <v>34942</v>
      </c>
      <c r="B58" s="1">
        <v>4.3</v>
      </c>
      <c r="C58" s="1">
        <v>101.9</v>
      </c>
    </row>
    <row r="59" spans="1:5" x14ac:dyDescent="0.2">
      <c r="A59" s="49">
        <f t="shared" si="0"/>
        <v>34972</v>
      </c>
      <c r="B59" s="1">
        <v>143.6</v>
      </c>
      <c r="C59" s="1">
        <v>10.8</v>
      </c>
    </row>
    <row r="60" spans="1:5" x14ac:dyDescent="0.2">
      <c r="A60" s="49">
        <f t="shared" si="0"/>
        <v>35003</v>
      </c>
      <c r="B60" s="1">
        <v>245.5</v>
      </c>
      <c r="C60" s="1">
        <v>0</v>
      </c>
    </row>
    <row r="61" spans="1:5" x14ac:dyDescent="0.2">
      <c r="A61" s="49">
        <f t="shared" si="0"/>
        <v>35033</v>
      </c>
      <c r="B61" s="1">
        <v>539.20000000000005</v>
      </c>
      <c r="C61" s="1">
        <v>0</v>
      </c>
    </row>
    <row r="62" spans="1:5" x14ac:dyDescent="0.2">
      <c r="A62" s="49">
        <f t="shared" si="0"/>
        <v>35064</v>
      </c>
      <c r="B62" s="1">
        <v>741.3</v>
      </c>
      <c r="C62" s="1">
        <v>0</v>
      </c>
      <c r="D62">
        <f>SUM(B51:B62)</f>
        <v>4249.9000000000005</v>
      </c>
      <c r="E62">
        <f>SUM(C51:C62)</f>
        <v>291.10000000000002</v>
      </c>
    </row>
    <row r="63" spans="1:5" x14ac:dyDescent="0.2">
      <c r="A63" s="49">
        <f t="shared" si="0"/>
        <v>35095</v>
      </c>
      <c r="B63" s="1">
        <v>789.4</v>
      </c>
      <c r="C63" s="1">
        <v>0</v>
      </c>
    </row>
    <row r="64" spans="1:5" x14ac:dyDescent="0.2">
      <c r="A64" s="49">
        <f t="shared" si="0"/>
        <v>35124</v>
      </c>
      <c r="B64" s="1">
        <v>712.6</v>
      </c>
      <c r="C64" s="1">
        <v>0</v>
      </c>
    </row>
    <row r="65" spans="1:5" x14ac:dyDescent="0.2">
      <c r="A65" s="49">
        <f t="shared" si="0"/>
        <v>35155</v>
      </c>
      <c r="B65" s="1">
        <v>670.4</v>
      </c>
      <c r="C65" s="1">
        <v>0</v>
      </c>
    </row>
    <row r="66" spans="1:5" x14ac:dyDescent="0.2">
      <c r="A66" s="49">
        <f t="shared" si="0"/>
        <v>35185</v>
      </c>
      <c r="B66" s="1">
        <v>421.9</v>
      </c>
      <c r="C66" s="1">
        <v>0</v>
      </c>
    </row>
    <row r="67" spans="1:5" x14ac:dyDescent="0.2">
      <c r="A67" s="49">
        <f t="shared" si="0"/>
        <v>35216</v>
      </c>
      <c r="B67" s="1">
        <v>216.1</v>
      </c>
      <c r="C67" s="1">
        <v>10</v>
      </c>
    </row>
    <row r="68" spans="1:5" x14ac:dyDescent="0.2">
      <c r="A68" s="49">
        <f t="shared" ref="A68:A131" si="1">EOMONTH(A67,1)</f>
        <v>35246</v>
      </c>
      <c r="B68" s="1">
        <v>29.4</v>
      </c>
      <c r="C68" s="1">
        <v>38.6</v>
      </c>
    </row>
    <row r="69" spans="1:5" x14ac:dyDescent="0.2">
      <c r="A69" s="49">
        <f t="shared" si="1"/>
        <v>35277</v>
      </c>
      <c r="B69" s="1">
        <v>18.899999999999999</v>
      </c>
      <c r="C69" s="1">
        <v>41.9</v>
      </c>
    </row>
    <row r="70" spans="1:5" x14ac:dyDescent="0.2">
      <c r="A70" s="49">
        <f t="shared" si="1"/>
        <v>35308</v>
      </c>
      <c r="B70" s="1">
        <v>6.2</v>
      </c>
      <c r="C70" s="1">
        <v>55.2</v>
      </c>
    </row>
    <row r="71" spans="1:5" x14ac:dyDescent="0.2">
      <c r="A71" s="49">
        <f t="shared" si="1"/>
        <v>35338</v>
      </c>
      <c r="B71" s="1">
        <v>102.2</v>
      </c>
      <c r="C71" s="1">
        <v>12.6</v>
      </c>
    </row>
    <row r="72" spans="1:5" x14ac:dyDescent="0.2">
      <c r="A72" s="49">
        <f t="shared" si="1"/>
        <v>35369</v>
      </c>
      <c r="B72" s="1">
        <v>301.39999999999998</v>
      </c>
      <c r="C72" s="1">
        <v>0</v>
      </c>
    </row>
    <row r="73" spans="1:5" x14ac:dyDescent="0.2">
      <c r="A73" s="49">
        <f t="shared" si="1"/>
        <v>35399</v>
      </c>
      <c r="B73" s="1">
        <v>548.1</v>
      </c>
      <c r="C73" s="1">
        <v>0</v>
      </c>
    </row>
    <row r="74" spans="1:5" x14ac:dyDescent="0.2">
      <c r="A74" s="49">
        <f t="shared" si="1"/>
        <v>35430</v>
      </c>
      <c r="B74" s="1">
        <v>596.5</v>
      </c>
      <c r="C74" s="1">
        <v>0</v>
      </c>
      <c r="D74">
        <f>SUM(B63:B74)</f>
        <v>4413.1000000000004</v>
      </c>
      <c r="E74">
        <f>SUM(C63:C74)</f>
        <v>158.29999999999998</v>
      </c>
    </row>
    <row r="75" spans="1:5" x14ac:dyDescent="0.2">
      <c r="A75" s="49">
        <f t="shared" si="1"/>
        <v>35461</v>
      </c>
      <c r="B75" s="1">
        <v>777.9</v>
      </c>
      <c r="C75" s="1">
        <v>0</v>
      </c>
    </row>
    <row r="76" spans="1:5" x14ac:dyDescent="0.2">
      <c r="A76" s="49">
        <f t="shared" si="1"/>
        <v>35489</v>
      </c>
      <c r="B76" s="1">
        <v>615</v>
      </c>
      <c r="C76" s="1">
        <v>0</v>
      </c>
    </row>
    <row r="77" spans="1:5" x14ac:dyDescent="0.2">
      <c r="A77" s="49">
        <f t="shared" si="1"/>
        <v>35520</v>
      </c>
      <c r="B77" s="1">
        <v>619.1</v>
      </c>
      <c r="C77" s="1">
        <v>0</v>
      </c>
    </row>
    <row r="78" spans="1:5" x14ac:dyDescent="0.2">
      <c r="A78" s="49">
        <f t="shared" si="1"/>
        <v>35550</v>
      </c>
      <c r="B78" s="1">
        <v>391.9</v>
      </c>
      <c r="C78" s="1">
        <v>0</v>
      </c>
    </row>
    <row r="79" spans="1:5" x14ac:dyDescent="0.2">
      <c r="A79" s="49">
        <f t="shared" si="1"/>
        <v>35581</v>
      </c>
      <c r="B79" s="1">
        <v>289</v>
      </c>
      <c r="C79" s="1">
        <v>0</v>
      </c>
    </row>
    <row r="80" spans="1:5" x14ac:dyDescent="0.2">
      <c r="A80" s="49">
        <f t="shared" si="1"/>
        <v>35611</v>
      </c>
      <c r="B80" s="1">
        <v>30.4</v>
      </c>
      <c r="C80" s="1">
        <v>50.4</v>
      </c>
    </row>
    <row r="81" spans="1:5" x14ac:dyDescent="0.2">
      <c r="A81" s="49">
        <f t="shared" si="1"/>
        <v>35642</v>
      </c>
      <c r="B81" s="1">
        <v>22.1</v>
      </c>
      <c r="C81" s="1">
        <v>59.8</v>
      </c>
    </row>
    <row r="82" spans="1:5" x14ac:dyDescent="0.2">
      <c r="A82" s="49">
        <f t="shared" si="1"/>
        <v>35673</v>
      </c>
      <c r="B82" s="1">
        <v>49.4</v>
      </c>
      <c r="C82" s="1">
        <v>21.9</v>
      </c>
    </row>
    <row r="83" spans="1:5" x14ac:dyDescent="0.2">
      <c r="A83" s="49">
        <f t="shared" si="1"/>
        <v>35703</v>
      </c>
      <c r="B83" s="1">
        <v>115.2</v>
      </c>
      <c r="C83" s="1">
        <v>5.4</v>
      </c>
    </row>
    <row r="84" spans="1:5" x14ac:dyDescent="0.2">
      <c r="A84" s="49">
        <f t="shared" si="1"/>
        <v>35734</v>
      </c>
      <c r="B84" s="1">
        <v>288.89999999999998</v>
      </c>
      <c r="C84" s="1">
        <v>1.6</v>
      </c>
    </row>
    <row r="85" spans="1:5" x14ac:dyDescent="0.2">
      <c r="A85" s="49">
        <f t="shared" si="1"/>
        <v>35764</v>
      </c>
      <c r="B85" s="1">
        <v>471.4</v>
      </c>
      <c r="C85" s="1">
        <v>0</v>
      </c>
    </row>
    <row r="86" spans="1:5" x14ac:dyDescent="0.2">
      <c r="A86" s="49">
        <f t="shared" si="1"/>
        <v>35795</v>
      </c>
      <c r="B86" s="1">
        <v>630.70000000000005</v>
      </c>
      <c r="C86" s="1">
        <v>0</v>
      </c>
      <c r="D86">
        <f>SUM(B75:B86)</f>
        <v>4301</v>
      </c>
      <c r="E86">
        <f>SUM(C75:C86)</f>
        <v>139.1</v>
      </c>
    </row>
    <row r="87" spans="1:5" x14ac:dyDescent="0.2">
      <c r="A87" s="49">
        <f t="shared" si="1"/>
        <v>35826</v>
      </c>
      <c r="B87" s="1">
        <v>652.79999999999995</v>
      </c>
      <c r="C87" s="1">
        <v>0</v>
      </c>
    </row>
    <row r="88" spans="1:5" x14ac:dyDescent="0.2">
      <c r="A88" s="49">
        <f t="shared" si="1"/>
        <v>35854</v>
      </c>
      <c r="B88" s="1">
        <v>547.1</v>
      </c>
      <c r="C88" s="1">
        <v>0</v>
      </c>
    </row>
    <row r="89" spans="1:5" x14ac:dyDescent="0.2">
      <c r="A89" s="49">
        <f t="shared" si="1"/>
        <v>35885</v>
      </c>
      <c r="B89" s="1">
        <v>505.1</v>
      </c>
      <c r="C89" s="1">
        <v>0</v>
      </c>
    </row>
    <row r="90" spans="1:5" x14ac:dyDescent="0.2">
      <c r="A90" s="49">
        <f t="shared" si="1"/>
        <v>35915</v>
      </c>
      <c r="B90" s="1">
        <v>312</v>
      </c>
      <c r="C90" s="1">
        <v>0</v>
      </c>
    </row>
    <row r="91" spans="1:5" x14ac:dyDescent="0.2">
      <c r="A91" s="49">
        <f t="shared" si="1"/>
        <v>35946</v>
      </c>
      <c r="B91" s="1">
        <v>77.099999999999994</v>
      </c>
      <c r="C91" s="1">
        <v>16.8</v>
      </c>
    </row>
    <row r="92" spans="1:5" x14ac:dyDescent="0.2">
      <c r="A92" s="49">
        <f t="shared" si="1"/>
        <v>35976</v>
      </c>
      <c r="B92" s="1">
        <v>66.7</v>
      </c>
      <c r="C92" s="1">
        <v>63.7</v>
      </c>
    </row>
    <row r="93" spans="1:5" x14ac:dyDescent="0.2">
      <c r="A93" s="49">
        <f t="shared" si="1"/>
        <v>36007</v>
      </c>
      <c r="B93" s="1">
        <v>6.9</v>
      </c>
      <c r="C93" s="1">
        <v>64.8</v>
      </c>
    </row>
    <row r="94" spans="1:5" x14ac:dyDescent="0.2">
      <c r="A94" s="49">
        <f t="shared" si="1"/>
        <v>36038</v>
      </c>
      <c r="B94" s="1">
        <v>12.1</v>
      </c>
      <c r="C94" s="1">
        <v>83.1</v>
      </c>
    </row>
    <row r="95" spans="1:5" x14ac:dyDescent="0.2">
      <c r="A95" s="49">
        <f t="shared" si="1"/>
        <v>36068</v>
      </c>
      <c r="B95" s="1">
        <v>63</v>
      </c>
      <c r="C95" s="1">
        <v>26</v>
      </c>
    </row>
    <row r="96" spans="1:5" x14ac:dyDescent="0.2">
      <c r="A96" s="49">
        <f t="shared" si="1"/>
        <v>36099</v>
      </c>
      <c r="B96" s="1">
        <v>257.60000000000002</v>
      </c>
      <c r="C96" s="1">
        <v>0</v>
      </c>
    </row>
    <row r="97" spans="1:5" x14ac:dyDescent="0.2">
      <c r="A97" s="49">
        <f t="shared" si="1"/>
        <v>36129</v>
      </c>
      <c r="B97" s="1">
        <v>440.1</v>
      </c>
      <c r="C97" s="1">
        <v>0</v>
      </c>
    </row>
    <row r="98" spans="1:5" x14ac:dyDescent="0.2">
      <c r="A98" s="49">
        <f t="shared" si="1"/>
        <v>36160</v>
      </c>
      <c r="B98" s="1">
        <v>572.1</v>
      </c>
      <c r="C98" s="1">
        <v>0</v>
      </c>
      <c r="D98">
        <f>SUM(B87:B98)</f>
        <v>3512.5999999999995</v>
      </c>
      <c r="E98">
        <f>SUM(C87:C98)</f>
        <v>254.4</v>
      </c>
    </row>
    <row r="99" spans="1:5" x14ac:dyDescent="0.2">
      <c r="A99" s="49">
        <f t="shared" si="1"/>
        <v>36191</v>
      </c>
      <c r="B99" s="1">
        <v>789.6</v>
      </c>
      <c r="C99" s="1">
        <v>0</v>
      </c>
    </row>
    <row r="100" spans="1:5" x14ac:dyDescent="0.2">
      <c r="A100" s="49">
        <f t="shared" si="1"/>
        <v>36219</v>
      </c>
      <c r="B100" s="1">
        <v>578.4</v>
      </c>
      <c r="C100" s="1">
        <v>0</v>
      </c>
    </row>
    <row r="101" spans="1:5" x14ac:dyDescent="0.2">
      <c r="A101" s="49">
        <f t="shared" si="1"/>
        <v>36250</v>
      </c>
      <c r="B101" s="1">
        <v>592.5</v>
      </c>
      <c r="C101" s="1">
        <v>0</v>
      </c>
    </row>
    <row r="102" spans="1:5" x14ac:dyDescent="0.2">
      <c r="A102" s="49">
        <f t="shared" si="1"/>
        <v>36280</v>
      </c>
      <c r="B102" s="1">
        <v>332.6</v>
      </c>
      <c r="C102" s="1">
        <v>0</v>
      </c>
    </row>
    <row r="103" spans="1:5" x14ac:dyDescent="0.2">
      <c r="A103" s="49">
        <f t="shared" si="1"/>
        <v>36311</v>
      </c>
      <c r="B103" s="1">
        <v>126.7</v>
      </c>
      <c r="C103" s="1">
        <v>10.5</v>
      </c>
    </row>
    <row r="104" spans="1:5" x14ac:dyDescent="0.2">
      <c r="A104" s="49">
        <f t="shared" si="1"/>
        <v>36341</v>
      </c>
      <c r="B104" s="1">
        <v>44.4</v>
      </c>
      <c r="C104" s="1">
        <v>76.5</v>
      </c>
    </row>
    <row r="105" spans="1:5" x14ac:dyDescent="0.2">
      <c r="A105" s="49">
        <f t="shared" si="1"/>
        <v>36372</v>
      </c>
      <c r="B105" s="1">
        <v>3.2</v>
      </c>
      <c r="C105" s="1">
        <v>138.9</v>
      </c>
    </row>
    <row r="106" spans="1:5" x14ac:dyDescent="0.2">
      <c r="A106" s="49">
        <f t="shared" si="1"/>
        <v>36403</v>
      </c>
      <c r="B106" s="1">
        <v>28.8</v>
      </c>
      <c r="C106" s="1">
        <v>30.9</v>
      </c>
    </row>
    <row r="107" spans="1:5" x14ac:dyDescent="0.2">
      <c r="A107" s="49">
        <f t="shared" si="1"/>
        <v>36433</v>
      </c>
      <c r="B107" s="1">
        <v>88.9</v>
      </c>
      <c r="C107" s="1">
        <v>27.7</v>
      </c>
    </row>
    <row r="108" spans="1:5" x14ac:dyDescent="0.2">
      <c r="A108" s="49">
        <f t="shared" si="1"/>
        <v>36464</v>
      </c>
      <c r="B108" s="1">
        <v>319</v>
      </c>
      <c r="C108" s="1">
        <v>0</v>
      </c>
    </row>
    <row r="109" spans="1:5" x14ac:dyDescent="0.2">
      <c r="A109" s="49">
        <f t="shared" si="1"/>
        <v>36494</v>
      </c>
      <c r="B109" s="1">
        <v>405.1</v>
      </c>
      <c r="C109" s="1">
        <v>0</v>
      </c>
    </row>
    <row r="110" spans="1:5" x14ac:dyDescent="0.2">
      <c r="A110" s="49">
        <f t="shared" si="1"/>
        <v>36525</v>
      </c>
      <c r="B110" s="1">
        <v>623.70000000000005</v>
      </c>
      <c r="C110" s="1">
        <v>0</v>
      </c>
      <c r="D110">
        <f>SUM(B99:B110)</f>
        <v>3932.8999999999996</v>
      </c>
      <c r="E110">
        <f>SUM(C99:C110)</f>
        <v>284.5</v>
      </c>
    </row>
    <row r="111" spans="1:5" x14ac:dyDescent="0.2">
      <c r="A111" s="49">
        <f t="shared" si="1"/>
        <v>36556</v>
      </c>
      <c r="B111" s="1">
        <v>773</v>
      </c>
      <c r="C111" s="1">
        <v>0</v>
      </c>
    </row>
    <row r="112" spans="1:5" x14ac:dyDescent="0.2">
      <c r="A112" s="49">
        <f t="shared" si="1"/>
        <v>36585</v>
      </c>
      <c r="B112" s="1">
        <v>643.79999999999995</v>
      </c>
      <c r="C112" s="1">
        <v>0</v>
      </c>
    </row>
    <row r="113" spans="1:5" x14ac:dyDescent="0.2">
      <c r="A113" s="49">
        <f t="shared" si="1"/>
        <v>36616</v>
      </c>
      <c r="B113" s="1">
        <v>446.9</v>
      </c>
      <c r="C113" s="1">
        <v>0</v>
      </c>
    </row>
    <row r="114" spans="1:5" x14ac:dyDescent="0.2">
      <c r="A114" s="49">
        <f t="shared" si="1"/>
        <v>36646</v>
      </c>
      <c r="B114" s="1">
        <v>358.3</v>
      </c>
      <c r="C114" s="1">
        <v>0</v>
      </c>
    </row>
    <row r="115" spans="1:5" x14ac:dyDescent="0.2">
      <c r="A115" s="49">
        <f t="shared" si="1"/>
        <v>36677</v>
      </c>
      <c r="B115" s="1">
        <v>152.4</v>
      </c>
      <c r="C115" s="1">
        <v>18.7</v>
      </c>
    </row>
    <row r="116" spans="1:5" x14ac:dyDescent="0.2">
      <c r="A116" s="49">
        <f t="shared" si="1"/>
        <v>36707</v>
      </c>
      <c r="B116" s="1">
        <v>41.1</v>
      </c>
      <c r="C116" s="1">
        <v>35.4</v>
      </c>
    </row>
    <row r="117" spans="1:5" x14ac:dyDescent="0.2">
      <c r="A117" s="49">
        <f t="shared" si="1"/>
        <v>36738</v>
      </c>
      <c r="B117" s="1">
        <v>18.600000000000001</v>
      </c>
      <c r="C117" s="1">
        <v>44.8</v>
      </c>
    </row>
    <row r="118" spans="1:5" x14ac:dyDescent="0.2">
      <c r="A118" s="49">
        <f t="shared" si="1"/>
        <v>36769</v>
      </c>
      <c r="B118" s="1">
        <v>29.7</v>
      </c>
      <c r="C118" s="1">
        <v>46.3</v>
      </c>
    </row>
    <row r="119" spans="1:5" x14ac:dyDescent="0.2">
      <c r="A119" s="49">
        <f t="shared" si="1"/>
        <v>36799</v>
      </c>
      <c r="B119" s="1">
        <v>134</v>
      </c>
      <c r="C119" s="1">
        <v>23.8</v>
      </c>
    </row>
    <row r="120" spans="1:5" x14ac:dyDescent="0.2">
      <c r="A120" s="49">
        <f t="shared" si="1"/>
        <v>36830</v>
      </c>
      <c r="B120" s="1">
        <v>251.6</v>
      </c>
      <c r="C120" s="1">
        <v>0</v>
      </c>
    </row>
    <row r="121" spans="1:5" x14ac:dyDescent="0.2">
      <c r="A121" s="49">
        <f t="shared" si="1"/>
        <v>36860</v>
      </c>
      <c r="B121" s="1">
        <v>470.9</v>
      </c>
      <c r="C121" s="1">
        <v>0</v>
      </c>
    </row>
    <row r="122" spans="1:5" x14ac:dyDescent="0.2">
      <c r="A122" s="49">
        <f t="shared" si="1"/>
        <v>36891</v>
      </c>
      <c r="B122" s="1">
        <v>826.5</v>
      </c>
      <c r="C122" s="1">
        <v>0</v>
      </c>
      <c r="D122">
        <f>SUM(B111:B122)</f>
        <v>4146.7999999999993</v>
      </c>
      <c r="E122">
        <f>SUM(C111:C122)</f>
        <v>169</v>
      </c>
    </row>
    <row r="123" spans="1:5" x14ac:dyDescent="0.2">
      <c r="A123" s="49">
        <f t="shared" si="1"/>
        <v>36922</v>
      </c>
      <c r="B123" s="1">
        <v>715</v>
      </c>
      <c r="C123" s="1">
        <v>0</v>
      </c>
    </row>
    <row r="124" spans="1:5" x14ac:dyDescent="0.2">
      <c r="A124" s="49">
        <f t="shared" si="1"/>
        <v>36950</v>
      </c>
      <c r="B124" s="1">
        <v>620.20000000000005</v>
      </c>
      <c r="C124" s="1">
        <v>0</v>
      </c>
    </row>
    <row r="125" spans="1:5" x14ac:dyDescent="0.2">
      <c r="A125" s="49">
        <f t="shared" si="1"/>
        <v>36981</v>
      </c>
      <c r="B125" s="1">
        <v>618.70000000000005</v>
      </c>
      <c r="C125" s="1">
        <v>0</v>
      </c>
    </row>
    <row r="126" spans="1:5" x14ac:dyDescent="0.2">
      <c r="A126" s="49">
        <f t="shared" si="1"/>
        <v>37011</v>
      </c>
      <c r="B126" s="1">
        <v>324.60000000000002</v>
      </c>
      <c r="C126" s="1">
        <v>0</v>
      </c>
    </row>
    <row r="127" spans="1:5" x14ac:dyDescent="0.2">
      <c r="A127" s="49">
        <f t="shared" si="1"/>
        <v>37042</v>
      </c>
      <c r="B127" s="1">
        <v>140.30000000000001</v>
      </c>
      <c r="C127" s="1">
        <v>7.7</v>
      </c>
    </row>
    <row r="128" spans="1:5" x14ac:dyDescent="0.2">
      <c r="A128" s="49">
        <f t="shared" si="1"/>
        <v>37072</v>
      </c>
      <c r="B128" s="1">
        <v>47</v>
      </c>
      <c r="C128" s="1">
        <v>62.4</v>
      </c>
    </row>
    <row r="129" spans="1:5" x14ac:dyDescent="0.2">
      <c r="A129" s="49">
        <f t="shared" si="1"/>
        <v>37103</v>
      </c>
      <c r="B129" s="1">
        <v>22.3</v>
      </c>
      <c r="C129" s="1">
        <v>65.7</v>
      </c>
    </row>
    <row r="130" spans="1:5" x14ac:dyDescent="0.2">
      <c r="A130" s="49">
        <f t="shared" si="1"/>
        <v>37134</v>
      </c>
      <c r="B130" s="1">
        <v>2.2999999999999998</v>
      </c>
      <c r="C130" s="1">
        <v>94.2</v>
      </c>
    </row>
    <row r="131" spans="1:5" x14ac:dyDescent="0.2">
      <c r="A131" s="49">
        <f t="shared" si="1"/>
        <v>37164</v>
      </c>
      <c r="B131" s="1">
        <v>118.8</v>
      </c>
      <c r="C131" s="1">
        <v>19.2</v>
      </c>
    </row>
    <row r="132" spans="1:5" x14ac:dyDescent="0.2">
      <c r="A132" s="49">
        <f t="shared" ref="A132:A195" si="2">EOMONTH(A131,1)</f>
        <v>37195</v>
      </c>
      <c r="B132" s="1">
        <v>276.7</v>
      </c>
      <c r="C132" s="1">
        <v>0</v>
      </c>
    </row>
    <row r="133" spans="1:5" x14ac:dyDescent="0.2">
      <c r="A133" s="49">
        <f t="shared" si="2"/>
        <v>37225</v>
      </c>
      <c r="B133" s="1">
        <v>370.8</v>
      </c>
      <c r="C133" s="1">
        <v>0</v>
      </c>
    </row>
    <row r="134" spans="1:5" x14ac:dyDescent="0.2">
      <c r="A134" s="49">
        <f t="shared" si="2"/>
        <v>37256</v>
      </c>
      <c r="B134" s="1">
        <v>563.29999999999995</v>
      </c>
      <c r="C134" s="1">
        <v>0</v>
      </c>
      <c r="D134">
        <f>SUM(B123:B134)</f>
        <v>3820.0000000000009</v>
      </c>
      <c r="E134">
        <f>SUM(C123:C134)</f>
        <v>249.2</v>
      </c>
    </row>
    <row r="135" spans="1:5" x14ac:dyDescent="0.2">
      <c r="A135" s="49">
        <f t="shared" si="2"/>
        <v>37287</v>
      </c>
      <c r="B135" s="1">
        <v>625.70000000000005</v>
      </c>
      <c r="C135" s="1">
        <v>0</v>
      </c>
    </row>
    <row r="136" spans="1:5" x14ac:dyDescent="0.2">
      <c r="A136" s="49">
        <f t="shared" si="2"/>
        <v>37315</v>
      </c>
      <c r="B136" s="1">
        <v>592</v>
      </c>
      <c r="C136" s="1">
        <v>0</v>
      </c>
    </row>
    <row r="137" spans="1:5" x14ac:dyDescent="0.2">
      <c r="A137" s="49">
        <f t="shared" si="2"/>
        <v>37346</v>
      </c>
      <c r="B137" s="1">
        <v>581.20000000000005</v>
      </c>
      <c r="C137" s="1">
        <v>0</v>
      </c>
    </row>
    <row r="138" spans="1:5" x14ac:dyDescent="0.2">
      <c r="A138" s="49">
        <f t="shared" si="2"/>
        <v>37376</v>
      </c>
      <c r="B138" s="1">
        <v>356.2</v>
      </c>
      <c r="C138" s="1">
        <v>6.6</v>
      </c>
    </row>
    <row r="139" spans="1:5" x14ac:dyDescent="0.2">
      <c r="A139" s="49">
        <f t="shared" si="2"/>
        <v>37407</v>
      </c>
      <c r="B139" s="1">
        <v>266.8</v>
      </c>
      <c r="C139" s="1">
        <v>5.3</v>
      </c>
    </row>
    <row r="140" spans="1:5" x14ac:dyDescent="0.2">
      <c r="A140" s="49">
        <f t="shared" si="2"/>
        <v>37437</v>
      </c>
      <c r="B140" s="1">
        <v>53.1</v>
      </c>
      <c r="C140" s="1">
        <v>54.5</v>
      </c>
    </row>
    <row r="141" spans="1:5" x14ac:dyDescent="0.2">
      <c r="A141" s="49">
        <f t="shared" si="2"/>
        <v>37468</v>
      </c>
      <c r="B141" s="1">
        <v>4.7</v>
      </c>
      <c r="C141" s="1">
        <v>129</v>
      </c>
    </row>
    <row r="142" spans="1:5" x14ac:dyDescent="0.2">
      <c r="A142" s="49">
        <f t="shared" si="2"/>
        <v>37499</v>
      </c>
      <c r="B142" s="1">
        <v>11</v>
      </c>
      <c r="C142" s="1">
        <v>72.3</v>
      </c>
    </row>
    <row r="143" spans="1:5" x14ac:dyDescent="0.2">
      <c r="A143" s="49">
        <f t="shared" si="2"/>
        <v>37529</v>
      </c>
      <c r="B143" s="1">
        <v>50.2</v>
      </c>
      <c r="C143" s="1">
        <v>47</v>
      </c>
    </row>
    <row r="144" spans="1:5" x14ac:dyDescent="0.2">
      <c r="A144" s="49">
        <f t="shared" si="2"/>
        <v>37560</v>
      </c>
      <c r="B144" s="1">
        <v>345.6</v>
      </c>
      <c r="C144" s="1">
        <v>6.3</v>
      </c>
    </row>
    <row r="145" spans="1:5" x14ac:dyDescent="0.2">
      <c r="A145" s="49">
        <f t="shared" si="2"/>
        <v>37590</v>
      </c>
      <c r="B145" s="1">
        <v>486.4</v>
      </c>
      <c r="C145" s="1">
        <v>0</v>
      </c>
    </row>
    <row r="146" spans="1:5" x14ac:dyDescent="0.2">
      <c r="A146" s="49">
        <f t="shared" si="2"/>
        <v>37621</v>
      </c>
      <c r="B146" s="1">
        <v>675.6</v>
      </c>
      <c r="C146" s="1">
        <v>0</v>
      </c>
      <c r="D146">
        <f>SUM(B135:B146)</f>
        <v>4048.4999999999995</v>
      </c>
      <c r="E146">
        <f>SUM(C135:C146)</f>
        <v>321</v>
      </c>
    </row>
    <row r="147" spans="1:5" x14ac:dyDescent="0.2">
      <c r="A147" s="49">
        <f t="shared" si="2"/>
        <v>37652</v>
      </c>
      <c r="B147" s="1">
        <v>868.4</v>
      </c>
      <c r="C147" s="1">
        <v>0</v>
      </c>
    </row>
    <row r="148" spans="1:5" x14ac:dyDescent="0.2">
      <c r="A148" s="49">
        <f t="shared" si="2"/>
        <v>37680</v>
      </c>
      <c r="B148" s="1">
        <v>755.9</v>
      </c>
      <c r="C148" s="1">
        <v>0</v>
      </c>
    </row>
    <row r="149" spans="1:5" x14ac:dyDescent="0.2">
      <c r="A149" s="49">
        <f t="shared" si="2"/>
        <v>37711</v>
      </c>
      <c r="B149" s="1">
        <v>638.70000000000005</v>
      </c>
      <c r="C149" s="1">
        <v>0</v>
      </c>
    </row>
    <row r="150" spans="1:5" x14ac:dyDescent="0.2">
      <c r="A150" s="49">
        <f t="shared" si="2"/>
        <v>37741</v>
      </c>
      <c r="B150" s="1">
        <v>397.4</v>
      </c>
      <c r="C150" s="1">
        <v>0.7</v>
      </c>
    </row>
    <row r="151" spans="1:5" x14ac:dyDescent="0.2">
      <c r="A151" s="49">
        <f t="shared" si="2"/>
        <v>37772</v>
      </c>
      <c r="B151" s="1">
        <v>217</v>
      </c>
      <c r="C151" s="1">
        <v>0</v>
      </c>
    </row>
    <row r="152" spans="1:5" x14ac:dyDescent="0.2">
      <c r="A152" s="49">
        <f t="shared" si="2"/>
        <v>37802</v>
      </c>
      <c r="B152" s="1">
        <v>65.3</v>
      </c>
      <c r="C152" s="1">
        <v>25.5</v>
      </c>
    </row>
    <row r="153" spans="1:5" x14ac:dyDescent="0.2">
      <c r="A153" s="49">
        <f t="shared" si="2"/>
        <v>37833</v>
      </c>
      <c r="B153" s="1">
        <v>12.5</v>
      </c>
      <c r="C153" s="1">
        <v>50.1</v>
      </c>
    </row>
    <row r="154" spans="1:5" x14ac:dyDescent="0.2">
      <c r="A154" s="49">
        <f t="shared" si="2"/>
        <v>37864</v>
      </c>
      <c r="B154" s="1">
        <v>18.899999999999999</v>
      </c>
      <c r="C154" s="1">
        <v>72.400000000000006</v>
      </c>
    </row>
    <row r="155" spans="1:5" x14ac:dyDescent="0.2">
      <c r="A155" s="49">
        <f t="shared" si="2"/>
        <v>37894</v>
      </c>
      <c r="B155" s="1">
        <v>104.1</v>
      </c>
      <c r="C155" s="1">
        <v>6</v>
      </c>
    </row>
    <row r="156" spans="1:5" x14ac:dyDescent="0.2">
      <c r="A156" s="49">
        <f t="shared" si="2"/>
        <v>37925</v>
      </c>
      <c r="B156" s="1">
        <v>331.9</v>
      </c>
      <c r="C156" s="1">
        <v>0</v>
      </c>
    </row>
    <row r="157" spans="1:5" x14ac:dyDescent="0.2">
      <c r="A157" s="49">
        <f t="shared" si="2"/>
        <v>37955</v>
      </c>
      <c r="B157" s="1">
        <v>434.4</v>
      </c>
      <c r="C157" s="1">
        <v>0</v>
      </c>
    </row>
    <row r="158" spans="1:5" x14ac:dyDescent="0.2">
      <c r="A158" s="49">
        <f t="shared" si="2"/>
        <v>37986</v>
      </c>
      <c r="B158" s="1">
        <v>610</v>
      </c>
      <c r="C158" s="1">
        <v>0</v>
      </c>
      <c r="D158">
        <f>SUM(B147:B158)</f>
        <v>4454.5</v>
      </c>
      <c r="E158">
        <f>SUM(C147:C158)</f>
        <v>154.69999999999999</v>
      </c>
    </row>
    <row r="159" spans="1:5" x14ac:dyDescent="0.2">
      <c r="A159" s="49">
        <f t="shared" si="2"/>
        <v>38017</v>
      </c>
      <c r="B159" s="1">
        <v>879.2</v>
      </c>
      <c r="C159" s="1">
        <v>0</v>
      </c>
    </row>
    <row r="160" spans="1:5" x14ac:dyDescent="0.2">
      <c r="A160" s="49">
        <f t="shared" si="2"/>
        <v>38046</v>
      </c>
      <c r="B160" s="1">
        <v>699.2</v>
      </c>
      <c r="C160" s="1">
        <v>0</v>
      </c>
    </row>
    <row r="161" spans="1:5" x14ac:dyDescent="0.2">
      <c r="A161" s="49">
        <f t="shared" si="2"/>
        <v>38077</v>
      </c>
      <c r="B161" s="1">
        <v>540.9</v>
      </c>
      <c r="C161" s="1">
        <v>0</v>
      </c>
    </row>
    <row r="162" spans="1:5" x14ac:dyDescent="0.2">
      <c r="A162" s="49">
        <f t="shared" si="2"/>
        <v>38107</v>
      </c>
      <c r="B162" s="1">
        <v>354.1</v>
      </c>
      <c r="C162" s="1">
        <v>0</v>
      </c>
    </row>
    <row r="163" spans="1:5" x14ac:dyDescent="0.2">
      <c r="A163" s="49">
        <f t="shared" si="2"/>
        <v>38138</v>
      </c>
      <c r="B163" s="1">
        <v>196.2</v>
      </c>
      <c r="C163" s="1">
        <v>6.7</v>
      </c>
    </row>
    <row r="164" spans="1:5" x14ac:dyDescent="0.2">
      <c r="A164" s="49">
        <f t="shared" si="2"/>
        <v>38168</v>
      </c>
      <c r="B164" s="1">
        <v>92.5</v>
      </c>
      <c r="C164" s="1">
        <v>16.3</v>
      </c>
    </row>
    <row r="165" spans="1:5" x14ac:dyDescent="0.2">
      <c r="A165" s="49">
        <f t="shared" si="2"/>
        <v>38199</v>
      </c>
      <c r="B165" s="1">
        <v>21.3</v>
      </c>
      <c r="C165" s="1">
        <v>49.3</v>
      </c>
    </row>
    <row r="166" spans="1:5" x14ac:dyDescent="0.2">
      <c r="A166" s="49">
        <f t="shared" si="2"/>
        <v>38230</v>
      </c>
      <c r="B166" s="1">
        <v>55</v>
      </c>
      <c r="C166" s="1">
        <v>30.6</v>
      </c>
    </row>
    <row r="167" spans="1:5" x14ac:dyDescent="0.2">
      <c r="A167" s="49">
        <f t="shared" si="2"/>
        <v>38260</v>
      </c>
      <c r="B167" s="1">
        <v>71.3</v>
      </c>
      <c r="C167" s="1">
        <v>13.7</v>
      </c>
    </row>
    <row r="168" spans="1:5" x14ac:dyDescent="0.2">
      <c r="A168" s="49">
        <f t="shared" si="2"/>
        <v>38291</v>
      </c>
      <c r="B168" s="1">
        <v>287.5</v>
      </c>
      <c r="C168" s="1">
        <v>0</v>
      </c>
    </row>
    <row r="169" spans="1:5" x14ac:dyDescent="0.2">
      <c r="A169" s="49">
        <f t="shared" si="2"/>
        <v>38321</v>
      </c>
      <c r="B169" s="1">
        <v>432.9</v>
      </c>
      <c r="C169" s="1">
        <v>0</v>
      </c>
    </row>
    <row r="170" spans="1:5" x14ac:dyDescent="0.2">
      <c r="A170" s="49">
        <f t="shared" si="2"/>
        <v>38352</v>
      </c>
      <c r="B170" s="1">
        <v>700.1</v>
      </c>
      <c r="C170" s="1">
        <v>0</v>
      </c>
      <c r="D170">
        <f>SUM(B159:B170)</f>
        <v>4330.2000000000007</v>
      </c>
      <c r="E170">
        <f>SUM(C159:C170)</f>
        <v>116.60000000000001</v>
      </c>
    </row>
    <row r="171" spans="1:5" x14ac:dyDescent="0.2">
      <c r="A171" s="49">
        <f t="shared" si="2"/>
        <v>38383</v>
      </c>
      <c r="B171" s="1">
        <v>814.7</v>
      </c>
      <c r="C171" s="1">
        <v>0</v>
      </c>
    </row>
    <row r="172" spans="1:5" x14ac:dyDescent="0.2">
      <c r="A172" s="49">
        <f t="shared" si="2"/>
        <v>38411</v>
      </c>
      <c r="B172" s="1">
        <v>683.5</v>
      </c>
      <c r="C172" s="1">
        <v>0</v>
      </c>
    </row>
    <row r="173" spans="1:5" x14ac:dyDescent="0.2">
      <c r="A173" s="49">
        <f t="shared" si="2"/>
        <v>38442</v>
      </c>
      <c r="B173" s="1">
        <v>680.5</v>
      </c>
      <c r="C173" s="1">
        <v>0</v>
      </c>
    </row>
    <row r="174" spans="1:5" x14ac:dyDescent="0.2">
      <c r="A174" s="49">
        <f t="shared" si="2"/>
        <v>38472</v>
      </c>
      <c r="B174" s="1">
        <v>354.6</v>
      </c>
      <c r="C174" s="1">
        <v>0</v>
      </c>
    </row>
    <row r="175" spans="1:5" x14ac:dyDescent="0.2">
      <c r="A175" s="49">
        <f t="shared" si="2"/>
        <v>38503</v>
      </c>
      <c r="B175" s="1">
        <v>244.9</v>
      </c>
      <c r="C175" s="1">
        <v>0</v>
      </c>
    </row>
    <row r="176" spans="1:5" x14ac:dyDescent="0.2">
      <c r="A176" s="49">
        <f t="shared" si="2"/>
        <v>38533</v>
      </c>
      <c r="B176" s="1">
        <v>27.3</v>
      </c>
      <c r="C176" s="1">
        <v>104.8</v>
      </c>
    </row>
    <row r="177" spans="1:5" x14ac:dyDescent="0.2">
      <c r="A177" s="49">
        <f t="shared" si="2"/>
        <v>38564</v>
      </c>
      <c r="B177" s="1">
        <v>6.8</v>
      </c>
      <c r="C177" s="1">
        <v>105.4</v>
      </c>
    </row>
    <row r="178" spans="1:5" x14ac:dyDescent="0.2">
      <c r="A178" s="49">
        <f t="shared" si="2"/>
        <v>38595</v>
      </c>
      <c r="B178" s="1">
        <v>11.9</v>
      </c>
      <c r="C178" s="1">
        <v>67.900000000000006</v>
      </c>
    </row>
    <row r="179" spans="1:5" x14ac:dyDescent="0.2">
      <c r="A179" s="49">
        <f t="shared" si="2"/>
        <v>38625</v>
      </c>
      <c r="B179" s="1">
        <v>63.4</v>
      </c>
      <c r="C179" s="1">
        <v>13.7</v>
      </c>
    </row>
    <row r="180" spans="1:5" x14ac:dyDescent="0.2">
      <c r="A180" s="49">
        <f t="shared" si="2"/>
        <v>38656</v>
      </c>
      <c r="B180" s="1">
        <v>259.89999999999998</v>
      </c>
      <c r="C180" s="1">
        <v>2.6</v>
      </c>
    </row>
    <row r="181" spans="1:5" x14ac:dyDescent="0.2">
      <c r="A181" s="49">
        <f t="shared" si="2"/>
        <v>38686</v>
      </c>
      <c r="B181" s="1">
        <v>433.1</v>
      </c>
      <c r="C181" s="1">
        <v>0</v>
      </c>
    </row>
    <row r="182" spans="1:5" x14ac:dyDescent="0.2">
      <c r="A182" s="49">
        <f t="shared" si="2"/>
        <v>38717</v>
      </c>
      <c r="B182" s="1">
        <v>721.6</v>
      </c>
      <c r="C182" s="1">
        <v>0</v>
      </c>
      <c r="D182">
        <f>SUM(B171:B182)</f>
        <v>4302.2000000000007</v>
      </c>
      <c r="E182">
        <f>SUM(C171:C182)</f>
        <v>294.40000000000003</v>
      </c>
    </row>
    <row r="183" spans="1:5" x14ac:dyDescent="0.2">
      <c r="A183" s="49">
        <f t="shared" si="2"/>
        <v>38748</v>
      </c>
      <c r="B183" s="1">
        <v>590.6</v>
      </c>
      <c r="C183" s="1">
        <v>0</v>
      </c>
    </row>
    <row r="184" spans="1:5" x14ac:dyDescent="0.2">
      <c r="A184" s="49">
        <f t="shared" si="2"/>
        <v>38776</v>
      </c>
      <c r="B184" s="1">
        <v>651.20000000000005</v>
      </c>
      <c r="C184" s="1">
        <v>0</v>
      </c>
    </row>
    <row r="185" spans="1:5" x14ac:dyDescent="0.2">
      <c r="A185" s="49">
        <f t="shared" si="2"/>
        <v>38807</v>
      </c>
      <c r="B185" s="1">
        <v>562.4</v>
      </c>
      <c r="C185" s="1">
        <v>0</v>
      </c>
    </row>
    <row r="186" spans="1:5" x14ac:dyDescent="0.2">
      <c r="A186" s="49">
        <f t="shared" si="2"/>
        <v>38837</v>
      </c>
      <c r="B186" s="1">
        <v>322.5</v>
      </c>
      <c r="C186" s="1">
        <v>0</v>
      </c>
    </row>
    <row r="187" spans="1:5" x14ac:dyDescent="0.2">
      <c r="A187" s="49">
        <f t="shared" si="2"/>
        <v>38868</v>
      </c>
      <c r="B187" s="1">
        <v>177.8</v>
      </c>
      <c r="C187" s="1">
        <v>17.7</v>
      </c>
    </row>
    <row r="188" spans="1:5" x14ac:dyDescent="0.2">
      <c r="A188" s="49">
        <f t="shared" si="2"/>
        <v>38898</v>
      </c>
      <c r="B188" s="1">
        <v>44.1</v>
      </c>
      <c r="C188" s="1">
        <v>32.200000000000003</v>
      </c>
    </row>
    <row r="189" spans="1:5" x14ac:dyDescent="0.2">
      <c r="A189" s="49">
        <f t="shared" si="2"/>
        <v>38929</v>
      </c>
      <c r="B189" s="1">
        <v>6.5</v>
      </c>
      <c r="C189" s="1">
        <v>117.2</v>
      </c>
    </row>
    <row r="190" spans="1:5" x14ac:dyDescent="0.2">
      <c r="A190" s="49">
        <f t="shared" si="2"/>
        <v>38960</v>
      </c>
      <c r="B190" s="1">
        <v>27.5</v>
      </c>
      <c r="C190" s="1">
        <v>45.5</v>
      </c>
    </row>
    <row r="191" spans="1:5" x14ac:dyDescent="0.2">
      <c r="A191" s="49">
        <f t="shared" si="2"/>
        <v>38990</v>
      </c>
      <c r="B191" s="1">
        <v>130.30000000000001</v>
      </c>
      <c r="C191" s="1">
        <v>2.2999999999999998</v>
      </c>
    </row>
    <row r="192" spans="1:5" x14ac:dyDescent="0.2">
      <c r="A192" s="49">
        <f t="shared" si="2"/>
        <v>39021</v>
      </c>
      <c r="B192" s="1">
        <v>335.1</v>
      </c>
      <c r="C192" s="1">
        <v>0</v>
      </c>
    </row>
    <row r="193" spans="1:5" x14ac:dyDescent="0.2">
      <c r="A193" s="49">
        <f t="shared" si="2"/>
        <v>39051</v>
      </c>
      <c r="B193" s="1">
        <v>415.9</v>
      </c>
      <c r="C193" s="1">
        <v>0</v>
      </c>
    </row>
    <row r="194" spans="1:5" x14ac:dyDescent="0.2">
      <c r="A194" s="49">
        <f t="shared" si="2"/>
        <v>39082</v>
      </c>
      <c r="B194" s="1">
        <v>545.20000000000005</v>
      </c>
      <c r="C194" s="1">
        <v>0</v>
      </c>
      <c r="D194">
        <f>SUM(B183:B194)</f>
        <v>3809.1000000000004</v>
      </c>
      <c r="E194">
        <f>SUM(C183:C194)</f>
        <v>214.90000000000003</v>
      </c>
    </row>
    <row r="195" spans="1:5" x14ac:dyDescent="0.2">
      <c r="A195" s="49">
        <f t="shared" si="2"/>
        <v>39113</v>
      </c>
      <c r="B195" s="1">
        <v>698.3</v>
      </c>
      <c r="C195" s="1">
        <v>0</v>
      </c>
    </row>
    <row r="196" spans="1:5" x14ac:dyDescent="0.2">
      <c r="A196" s="49">
        <f t="shared" ref="A196:A259" si="3">EOMONTH(A195,1)</f>
        <v>39141</v>
      </c>
      <c r="B196" s="1">
        <v>785.1</v>
      </c>
      <c r="C196" s="1">
        <v>0</v>
      </c>
    </row>
    <row r="197" spans="1:5" x14ac:dyDescent="0.2">
      <c r="A197" s="49">
        <f t="shared" si="3"/>
        <v>39172</v>
      </c>
      <c r="B197" s="1">
        <v>582</v>
      </c>
      <c r="C197" s="1">
        <v>0</v>
      </c>
    </row>
    <row r="198" spans="1:5" x14ac:dyDescent="0.2">
      <c r="A198" s="49">
        <f t="shared" si="3"/>
        <v>39202</v>
      </c>
      <c r="B198" s="1">
        <v>403</v>
      </c>
      <c r="C198" s="1">
        <v>0</v>
      </c>
    </row>
    <row r="199" spans="1:5" x14ac:dyDescent="0.2">
      <c r="A199" s="49">
        <f t="shared" si="3"/>
        <v>39233</v>
      </c>
      <c r="B199" s="1">
        <v>166.4</v>
      </c>
      <c r="C199" s="1">
        <v>11.2</v>
      </c>
    </row>
    <row r="200" spans="1:5" x14ac:dyDescent="0.2">
      <c r="A200" s="49">
        <f t="shared" si="3"/>
        <v>39263</v>
      </c>
      <c r="B200" s="1">
        <v>35.5</v>
      </c>
      <c r="C200" s="1">
        <v>51.2</v>
      </c>
    </row>
    <row r="201" spans="1:5" x14ac:dyDescent="0.2">
      <c r="A201" s="49">
        <f t="shared" si="3"/>
        <v>39294</v>
      </c>
      <c r="B201" s="1">
        <v>28</v>
      </c>
      <c r="C201" s="1">
        <v>53.8</v>
      </c>
    </row>
    <row r="202" spans="1:5" x14ac:dyDescent="0.2">
      <c r="A202" s="49">
        <f t="shared" si="3"/>
        <v>39325</v>
      </c>
      <c r="B202" s="1">
        <v>19.7</v>
      </c>
      <c r="C202" s="1">
        <v>65.099999999999994</v>
      </c>
    </row>
    <row r="203" spans="1:5" x14ac:dyDescent="0.2">
      <c r="A203" s="49">
        <f t="shared" si="3"/>
        <v>39355</v>
      </c>
      <c r="B203" s="1">
        <v>74.7</v>
      </c>
      <c r="C203" s="1">
        <v>28</v>
      </c>
    </row>
    <row r="204" spans="1:5" x14ac:dyDescent="0.2">
      <c r="A204" s="49">
        <f t="shared" si="3"/>
        <v>39386</v>
      </c>
      <c r="B204" s="1">
        <v>184.7</v>
      </c>
      <c r="C204" s="1">
        <v>10.9</v>
      </c>
    </row>
    <row r="205" spans="1:5" x14ac:dyDescent="0.2">
      <c r="A205" s="49">
        <f t="shared" si="3"/>
        <v>39416</v>
      </c>
      <c r="B205" s="1">
        <v>511.8</v>
      </c>
      <c r="C205" s="1">
        <v>0</v>
      </c>
    </row>
    <row r="206" spans="1:5" x14ac:dyDescent="0.2">
      <c r="A206" s="49">
        <f t="shared" si="3"/>
        <v>39447</v>
      </c>
      <c r="B206" s="1">
        <v>686.6</v>
      </c>
      <c r="C206" s="1">
        <v>0</v>
      </c>
      <c r="D206">
        <f>SUM(B195:B206)</f>
        <v>4175.8</v>
      </c>
      <c r="E206">
        <f>SUM(C195:C206)</f>
        <v>220.20000000000002</v>
      </c>
    </row>
    <row r="207" spans="1:5" x14ac:dyDescent="0.2">
      <c r="A207" s="49">
        <f t="shared" si="3"/>
        <v>39478</v>
      </c>
      <c r="B207" s="1">
        <v>676.8</v>
      </c>
      <c r="C207" s="1">
        <v>0</v>
      </c>
    </row>
    <row r="208" spans="1:5" x14ac:dyDescent="0.2">
      <c r="A208" s="49">
        <f t="shared" si="3"/>
        <v>39507</v>
      </c>
      <c r="B208" s="1">
        <v>651.20000000000005</v>
      </c>
      <c r="C208" s="1">
        <v>0</v>
      </c>
    </row>
    <row r="209" spans="1:5" x14ac:dyDescent="0.2">
      <c r="A209" s="49">
        <f t="shared" si="3"/>
        <v>39538</v>
      </c>
      <c r="B209" s="1">
        <v>686.1</v>
      </c>
      <c r="C209" s="1">
        <v>0</v>
      </c>
    </row>
    <row r="210" spans="1:5" x14ac:dyDescent="0.2">
      <c r="A210" s="49">
        <f t="shared" si="3"/>
        <v>39568</v>
      </c>
      <c r="B210" s="1">
        <v>297.89999999999998</v>
      </c>
      <c r="C210" s="1">
        <v>0</v>
      </c>
    </row>
    <row r="211" spans="1:5" x14ac:dyDescent="0.2">
      <c r="A211" s="49">
        <f t="shared" si="3"/>
        <v>39599</v>
      </c>
      <c r="B211" s="1">
        <v>243.1</v>
      </c>
      <c r="C211" s="1">
        <v>0.7</v>
      </c>
    </row>
    <row r="212" spans="1:5" x14ac:dyDescent="0.2">
      <c r="A212" s="49">
        <f t="shared" si="3"/>
        <v>39629</v>
      </c>
      <c r="B212" s="1">
        <v>40.6</v>
      </c>
      <c r="C212" s="1">
        <v>53</v>
      </c>
    </row>
    <row r="213" spans="1:5" x14ac:dyDescent="0.2">
      <c r="A213" s="49">
        <f t="shared" si="3"/>
        <v>39660</v>
      </c>
      <c r="B213" s="1">
        <v>7.6</v>
      </c>
      <c r="C213" s="1">
        <v>75.8</v>
      </c>
    </row>
    <row r="214" spans="1:5" x14ac:dyDescent="0.2">
      <c r="A214" s="49">
        <f t="shared" si="3"/>
        <v>39691</v>
      </c>
      <c r="B214" s="1">
        <v>36.200000000000003</v>
      </c>
      <c r="C214" s="1">
        <v>29.5</v>
      </c>
    </row>
    <row r="215" spans="1:5" x14ac:dyDescent="0.2">
      <c r="A215" s="49">
        <f t="shared" si="3"/>
        <v>39721</v>
      </c>
      <c r="B215" s="1">
        <v>93.2</v>
      </c>
      <c r="C215" s="1">
        <v>12</v>
      </c>
    </row>
    <row r="216" spans="1:5" x14ac:dyDescent="0.2">
      <c r="A216" s="49">
        <f t="shared" si="3"/>
        <v>39752</v>
      </c>
      <c r="B216" s="1">
        <v>325.7</v>
      </c>
      <c r="C216" s="1">
        <v>0</v>
      </c>
    </row>
    <row r="217" spans="1:5" x14ac:dyDescent="0.2">
      <c r="A217" s="49">
        <f t="shared" si="3"/>
        <v>39782</v>
      </c>
      <c r="B217" s="1">
        <v>499.7</v>
      </c>
      <c r="C217" s="1">
        <v>0</v>
      </c>
    </row>
    <row r="218" spans="1:5" x14ac:dyDescent="0.2">
      <c r="A218" s="49">
        <f t="shared" si="3"/>
        <v>39813</v>
      </c>
      <c r="B218" s="1">
        <v>694</v>
      </c>
      <c r="C218" s="1">
        <v>0</v>
      </c>
      <c r="D218">
        <f>SUM(B207:B218)</f>
        <v>4252.0999999999985</v>
      </c>
      <c r="E218">
        <f>SUM(C207:C218)</f>
        <v>171</v>
      </c>
    </row>
    <row r="219" spans="1:5" x14ac:dyDescent="0.2">
      <c r="A219" s="49">
        <f t="shared" si="3"/>
        <v>39844</v>
      </c>
      <c r="B219" s="21">
        <v>891.8</v>
      </c>
      <c r="C219" s="21">
        <v>0</v>
      </c>
    </row>
    <row r="220" spans="1:5" x14ac:dyDescent="0.2">
      <c r="A220" s="49">
        <f t="shared" si="3"/>
        <v>39872</v>
      </c>
      <c r="B220" s="21">
        <v>649.6</v>
      </c>
      <c r="C220" s="21">
        <v>0</v>
      </c>
    </row>
    <row r="221" spans="1:5" x14ac:dyDescent="0.2">
      <c r="A221" s="49">
        <f t="shared" si="3"/>
        <v>39903</v>
      </c>
      <c r="B221" s="21">
        <v>562.6</v>
      </c>
      <c r="C221" s="21">
        <v>0</v>
      </c>
    </row>
    <row r="222" spans="1:5" x14ac:dyDescent="0.2">
      <c r="A222" s="49">
        <f t="shared" si="3"/>
        <v>39933</v>
      </c>
      <c r="B222" s="21">
        <v>341.5</v>
      </c>
      <c r="C222" s="21">
        <v>3.2</v>
      </c>
    </row>
    <row r="223" spans="1:5" x14ac:dyDescent="0.2">
      <c r="A223" s="49">
        <f t="shared" si="3"/>
        <v>39964</v>
      </c>
      <c r="B223" s="21">
        <v>192.8</v>
      </c>
      <c r="C223" s="21">
        <v>2.2999999999999998</v>
      </c>
    </row>
    <row r="224" spans="1:5" x14ac:dyDescent="0.2">
      <c r="A224" s="49">
        <f t="shared" si="3"/>
        <v>39994</v>
      </c>
      <c r="B224" s="21">
        <v>75.7</v>
      </c>
      <c r="C224" s="21">
        <v>26.2</v>
      </c>
    </row>
    <row r="225" spans="1:5" x14ac:dyDescent="0.2">
      <c r="A225" s="49">
        <f t="shared" si="3"/>
        <v>40025</v>
      </c>
      <c r="B225" s="21">
        <v>37.6</v>
      </c>
      <c r="C225" s="21">
        <v>14.5</v>
      </c>
    </row>
    <row r="226" spans="1:5" x14ac:dyDescent="0.2">
      <c r="A226" s="49">
        <f t="shared" si="3"/>
        <v>40056</v>
      </c>
      <c r="B226" s="21">
        <v>34.4</v>
      </c>
      <c r="C226" s="21">
        <v>57.3</v>
      </c>
    </row>
    <row r="227" spans="1:5" x14ac:dyDescent="0.2">
      <c r="A227" s="49">
        <f t="shared" si="3"/>
        <v>40086</v>
      </c>
      <c r="B227" s="21">
        <v>88.8</v>
      </c>
      <c r="C227" s="21">
        <v>5.5</v>
      </c>
    </row>
    <row r="228" spans="1:5" x14ac:dyDescent="0.2">
      <c r="A228" s="49">
        <f t="shared" si="3"/>
        <v>40117</v>
      </c>
      <c r="B228" s="21">
        <v>329.1</v>
      </c>
      <c r="C228" s="21">
        <v>0</v>
      </c>
    </row>
    <row r="229" spans="1:5" x14ac:dyDescent="0.2">
      <c r="A229" s="49">
        <f t="shared" si="3"/>
        <v>40147</v>
      </c>
      <c r="B229" s="21">
        <v>396.5</v>
      </c>
      <c r="C229" s="21">
        <v>0</v>
      </c>
    </row>
    <row r="230" spans="1:5" x14ac:dyDescent="0.2">
      <c r="A230" s="49">
        <f t="shared" si="3"/>
        <v>40178</v>
      </c>
      <c r="B230" s="21">
        <v>669.5</v>
      </c>
      <c r="C230" s="21">
        <v>0</v>
      </c>
      <c r="D230">
        <f>SUM(B219:B230)</f>
        <v>4269.8999999999996</v>
      </c>
      <c r="E230">
        <f>SUM(C219:C230)</f>
        <v>109</v>
      </c>
    </row>
    <row r="231" spans="1:5" x14ac:dyDescent="0.2">
      <c r="A231" s="49">
        <f t="shared" si="3"/>
        <v>40209</v>
      </c>
      <c r="B231" s="21">
        <v>727.1</v>
      </c>
      <c r="C231" s="21">
        <v>0</v>
      </c>
    </row>
    <row r="232" spans="1:5" x14ac:dyDescent="0.2">
      <c r="A232" s="49">
        <f t="shared" si="3"/>
        <v>40237</v>
      </c>
      <c r="B232" s="21">
        <v>644.70000000000005</v>
      </c>
      <c r="C232" s="21">
        <v>0</v>
      </c>
    </row>
    <row r="233" spans="1:5" x14ac:dyDescent="0.2">
      <c r="A233" s="49">
        <f t="shared" si="3"/>
        <v>40268</v>
      </c>
      <c r="B233" s="21">
        <v>470.9</v>
      </c>
      <c r="C233" s="21">
        <v>0</v>
      </c>
    </row>
    <row r="234" spans="1:5" x14ac:dyDescent="0.2">
      <c r="A234" s="49">
        <f t="shared" si="3"/>
        <v>40298</v>
      </c>
      <c r="B234" s="21">
        <v>255.7</v>
      </c>
      <c r="C234" s="21">
        <v>0</v>
      </c>
    </row>
    <row r="235" spans="1:5" x14ac:dyDescent="0.2">
      <c r="A235" s="49">
        <f t="shared" si="3"/>
        <v>40329</v>
      </c>
      <c r="B235" s="21">
        <v>144.69999999999999</v>
      </c>
      <c r="C235" s="21">
        <v>21</v>
      </c>
    </row>
    <row r="236" spans="1:5" x14ac:dyDescent="0.2">
      <c r="A236" s="49">
        <f t="shared" si="3"/>
        <v>40359</v>
      </c>
      <c r="B236" s="21">
        <v>37.700000000000003</v>
      </c>
      <c r="C236" s="21">
        <v>26.8</v>
      </c>
    </row>
    <row r="237" spans="1:5" x14ac:dyDescent="0.2">
      <c r="A237" s="49">
        <f t="shared" si="3"/>
        <v>40390</v>
      </c>
      <c r="B237" s="21">
        <v>6.7</v>
      </c>
      <c r="C237" s="21">
        <v>100.6</v>
      </c>
    </row>
    <row r="238" spans="1:5" x14ac:dyDescent="0.2">
      <c r="A238" s="49">
        <f t="shared" si="3"/>
        <v>40421</v>
      </c>
      <c r="B238" s="21">
        <v>9.6999999999999993</v>
      </c>
      <c r="C238" s="21">
        <v>79.2</v>
      </c>
    </row>
    <row r="239" spans="1:5" x14ac:dyDescent="0.2">
      <c r="A239" s="49">
        <f t="shared" si="3"/>
        <v>40451</v>
      </c>
      <c r="B239" s="21">
        <v>122.7</v>
      </c>
      <c r="C239" s="21">
        <v>16.7</v>
      </c>
    </row>
    <row r="240" spans="1:5" x14ac:dyDescent="0.2">
      <c r="A240" s="49">
        <f t="shared" si="3"/>
        <v>40482</v>
      </c>
      <c r="B240" s="21">
        <v>279.60000000000002</v>
      </c>
      <c r="C240" s="21">
        <v>0</v>
      </c>
    </row>
    <row r="241" spans="1:5" x14ac:dyDescent="0.2">
      <c r="A241" s="49">
        <f t="shared" si="3"/>
        <v>40512</v>
      </c>
      <c r="B241" s="21">
        <v>337.9</v>
      </c>
      <c r="C241" s="21">
        <v>0</v>
      </c>
    </row>
    <row r="242" spans="1:5" x14ac:dyDescent="0.2">
      <c r="A242" s="49">
        <f t="shared" si="3"/>
        <v>40543</v>
      </c>
      <c r="B242" s="21">
        <v>719.4</v>
      </c>
      <c r="C242" s="21">
        <v>0</v>
      </c>
      <c r="D242">
        <f>SUM(B231:B242)</f>
        <v>3756.7999999999993</v>
      </c>
      <c r="E242">
        <f>SUM(C231:C242)</f>
        <v>244.29999999999995</v>
      </c>
    </row>
    <row r="243" spans="1:5" x14ac:dyDescent="0.2">
      <c r="A243" s="49">
        <f t="shared" si="3"/>
        <v>40574</v>
      </c>
      <c r="B243" s="21">
        <v>770</v>
      </c>
      <c r="C243" s="21">
        <v>0</v>
      </c>
    </row>
    <row r="244" spans="1:5" x14ac:dyDescent="0.2">
      <c r="A244" s="49">
        <f t="shared" si="3"/>
        <v>40602</v>
      </c>
      <c r="B244" s="21">
        <v>640.79999999999995</v>
      </c>
      <c r="C244" s="21">
        <v>0</v>
      </c>
    </row>
    <row r="245" spans="1:5" x14ac:dyDescent="0.2">
      <c r="A245" s="49">
        <f t="shared" si="3"/>
        <v>40633</v>
      </c>
      <c r="B245" s="21">
        <v>605.29999999999995</v>
      </c>
      <c r="C245" s="21">
        <v>0</v>
      </c>
    </row>
    <row r="246" spans="1:5" x14ac:dyDescent="0.2">
      <c r="A246" s="49">
        <f t="shared" si="3"/>
        <v>40663</v>
      </c>
      <c r="B246" s="21">
        <v>298.7</v>
      </c>
      <c r="C246" s="21">
        <v>0</v>
      </c>
    </row>
    <row r="247" spans="1:5" x14ac:dyDescent="0.2">
      <c r="A247" s="49">
        <f t="shared" si="3"/>
        <v>40694</v>
      </c>
      <c r="B247" s="21">
        <v>148.69999999999999</v>
      </c>
      <c r="C247" s="21">
        <v>13.2</v>
      </c>
    </row>
    <row r="248" spans="1:5" x14ac:dyDescent="0.2">
      <c r="A248" s="49">
        <f t="shared" si="3"/>
        <v>40724</v>
      </c>
      <c r="B248" s="21">
        <v>48.5</v>
      </c>
      <c r="C248" s="21">
        <v>21.6</v>
      </c>
    </row>
    <row r="249" spans="1:5" x14ac:dyDescent="0.2">
      <c r="A249" s="49">
        <f t="shared" si="3"/>
        <v>40755</v>
      </c>
      <c r="B249" s="21">
        <v>0.8</v>
      </c>
      <c r="C249" s="21">
        <v>128.19999999999999</v>
      </c>
    </row>
    <row r="250" spans="1:5" x14ac:dyDescent="0.2">
      <c r="A250" s="49">
        <f t="shared" si="3"/>
        <v>40786</v>
      </c>
      <c r="B250" s="21">
        <v>6.9</v>
      </c>
      <c r="C250" s="21">
        <v>54.3</v>
      </c>
    </row>
    <row r="251" spans="1:5" x14ac:dyDescent="0.2">
      <c r="A251" s="49">
        <f t="shared" si="3"/>
        <v>40816</v>
      </c>
      <c r="B251" s="21">
        <v>88.9</v>
      </c>
      <c r="C251" s="21">
        <v>17.2</v>
      </c>
    </row>
    <row r="252" spans="1:5" x14ac:dyDescent="0.2">
      <c r="A252" s="49">
        <f t="shared" si="3"/>
        <v>40847</v>
      </c>
      <c r="B252" s="21">
        <v>279.89999999999998</v>
      </c>
      <c r="C252" s="21">
        <v>0</v>
      </c>
    </row>
    <row r="253" spans="1:5" x14ac:dyDescent="0.2">
      <c r="A253" s="49">
        <f t="shared" si="3"/>
        <v>40877</v>
      </c>
      <c r="B253" s="21">
        <v>382.4</v>
      </c>
      <c r="C253" s="21">
        <v>0</v>
      </c>
    </row>
    <row r="254" spans="1:5" x14ac:dyDescent="0.2">
      <c r="A254" s="49">
        <f t="shared" si="3"/>
        <v>40908</v>
      </c>
      <c r="B254" s="21">
        <v>574.79999999999995</v>
      </c>
      <c r="C254" s="21">
        <v>0</v>
      </c>
      <c r="D254">
        <f>SUM(B243:B254)</f>
        <v>3845.7</v>
      </c>
      <c r="E254">
        <f>SUM(C243:C254)</f>
        <v>234.5</v>
      </c>
    </row>
    <row r="255" spans="1:5" x14ac:dyDescent="0.2">
      <c r="A255" s="49">
        <f t="shared" si="3"/>
        <v>40939</v>
      </c>
      <c r="B255" s="21">
        <v>657.3</v>
      </c>
      <c r="C255" s="21">
        <v>0</v>
      </c>
    </row>
    <row r="256" spans="1:5" x14ac:dyDescent="0.2">
      <c r="A256" s="49">
        <f t="shared" si="3"/>
        <v>40968</v>
      </c>
      <c r="B256" s="21">
        <v>573</v>
      </c>
      <c r="C256" s="21">
        <v>0</v>
      </c>
    </row>
    <row r="257" spans="1:5" x14ac:dyDescent="0.2">
      <c r="A257" s="49">
        <f t="shared" si="3"/>
        <v>40999</v>
      </c>
      <c r="B257" s="21">
        <v>370.1</v>
      </c>
      <c r="C257" s="21">
        <v>0</v>
      </c>
    </row>
    <row r="258" spans="1:5" x14ac:dyDescent="0.2">
      <c r="A258" s="49">
        <f t="shared" si="3"/>
        <v>41029</v>
      </c>
      <c r="B258" s="21">
        <v>365.3</v>
      </c>
      <c r="C258" s="21">
        <v>0</v>
      </c>
    </row>
    <row r="259" spans="1:5" x14ac:dyDescent="0.2">
      <c r="A259" s="49">
        <f t="shared" si="3"/>
        <v>41060</v>
      </c>
      <c r="B259" s="21">
        <v>103.8</v>
      </c>
      <c r="C259" s="21">
        <v>18.2</v>
      </c>
    </row>
    <row r="260" spans="1:5" x14ac:dyDescent="0.2">
      <c r="A260" s="49">
        <f t="shared" ref="A260:A323" si="4">EOMONTH(A259,1)</f>
        <v>41090</v>
      </c>
      <c r="B260" s="21">
        <v>42.1</v>
      </c>
      <c r="C260" s="21">
        <v>61.2</v>
      </c>
    </row>
    <row r="261" spans="1:5" x14ac:dyDescent="0.2">
      <c r="A261" s="49">
        <f t="shared" si="4"/>
        <v>41121</v>
      </c>
      <c r="B261" s="21">
        <v>0</v>
      </c>
      <c r="C261" s="21">
        <v>116.4</v>
      </c>
    </row>
    <row r="262" spans="1:5" x14ac:dyDescent="0.2">
      <c r="A262" s="49">
        <f t="shared" si="4"/>
        <v>41152</v>
      </c>
      <c r="B262" s="21">
        <v>19.399999999999999</v>
      </c>
      <c r="C262" s="21">
        <v>58.1</v>
      </c>
    </row>
    <row r="263" spans="1:5" x14ac:dyDescent="0.2">
      <c r="A263" s="49">
        <f t="shared" si="4"/>
        <v>41182</v>
      </c>
      <c r="B263" s="21">
        <v>125.4</v>
      </c>
      <c r="C263" s="21">
        <v>16.399999999999999</v>
      </c>
    </row>
    <row r="264" spans="1:5" x14ac:dyDescent="0.2">
      <c r="A264" s="49">
        <f t="shared" si="4"/>
        <v>41213</v>
      </c>
      <c r="B264" s="21">
        <v>279.2</v>
      </c>
      <c r="C264" s="21">
        <v>0</v>
      </c>
    </row>
    <row r="265" spans="1:5" x14ac:dyDescent="0.2">
      <c r="A265" s="49">
        <f t="shared" si="4"/>
        <v>41243</v>
      </c>
      <c r="B265" s="21">
        <v>483.6</v>
      </c>
      <c r="C265" s="21">
        <v>0</v>
      </c>
    </row>
    <row r="266" spans="1:5" x14ac:dyDescent="0.2">
      <c r="A266" s="49">
        <f t="shared" si="4"/>
        <v>41274</v>
      </c>
      <c r="B266" s="21">
        <v>565.5</v>
      </c>
      <c r="C266" s="21">
        <v>0</v>
      </c>
      <c r="D266">
        <f>SUM(B255:B266)</f>
        <v>3584.7</v>
      </c>
      <c r="E266">
        <f>SUM(C255:C266)</f>
        <v>270.3</v>
      </c>
    </row>
    <row r="267" spans="1:5" x14ac:dyDescent="0.2">
      <c r="A267" s="49">
        <f t="shared" si="4"/>
        <v>41305</v>
      </c>
      <c r="B267" s="21">
        <v>681.3</v>
      </c>
      <c r="C267" s="21">
        <v>0</v>
      </c>
    </row>
    <row r="268" spans="1:5" x14ac:dyDescent="0.2">
      <c r="A268" s="49">
        <f t="shared" si="4"/>
        <v>41333</v>
      </c>
      <c r="B268" s="21">
        <v>697.9000000000002</v>
      </c>
      <c r="C268" s="21">
        <v>0</v>
      </c>
    </row>
    <row r="269" spans="1:5" x14ac:dyDescent="0.2">
      <c r="A269" s="49">
        <f t="shared" si="4"/>
        <v>41364</v>
      </c>
      <c r="B269" s="21">
        <v>612</v>
      </c>
      <c r="C269" s="21">
        <v>0</v>
      </c>
    </row>
    <row r="270" spans="1:5" x14ac:dyDescent="0.2">
      <c r="A270" s="49">
        <f t="shared" si="4"/>
        <v>41394</v>
      </c>
      <c r="B270" s="21">
        <v>368.7</v>
      </c>
      <c r="C270" s="21">
        <v>0</v>
      </c>
    </row>
    <row r="271" spans="1:5" x14ac:dyDescent="0.2">
      <c r="A271" s="49">
        <f t="shared" si="4"/>
        <v>41425</v>
      </c>
      <c r="B271" s="21">
        <v>152.10000000000002</v>
      </c>
      <c r="C271" s="21">
        <v>19.600000000000001</v>
      </c>
    </row>
    <row r="272" spans="1:5" x14ac:dyDescent="0.2">
      <c r="A272" s="49">
        <f t="shared" si="4"/>
        <v>41455</v>
      </c>
      <c r="B272" s="21">
        <v>46.4</v>
      </c>
      <c r="C272" s="21">
        <v>31.3</v>
      </c>
    </row>
    <row r="273" spans="1:5" x14ac:dyDescent="0.2">
      <c r="A273" s="49">
        <f t="shared" si="4"/>
        <v>41486</v>
      </c>
      <c r="B273" s="21">
        <v>15.100000000000001</v>
      </c>
      <c r="C273" s="21">
        <v>85.9</v>
      </c>
    </row>
    <row r="274" spans="1:5" x14ac:dyDescent="0.2">
      <c r="A274" s="49">
        <f t="shared" si="4"/>
        <v>41517</v>
      </c>
      <c r="B274" s="21">
        <v>32.700000000000003</v>
      </c>
      <c r="C274" s="21">
        <v>42.1</v>
      </c>
    </row>
    <row r="275" spans="1:5" x14ac:dyDescent="0.2">
      <c r="A275" s="49">
        <f t="shared" si="4"/>
        <v>41547</v>
      </c>
      <c r="B275" s="21">
        <v>128.10000000000002</v>
      </c>
      <c r="C275" s="21">
        <v>20.5</v>
      </c>
    </row>
    <row r="276" spans="1:5" x14ac:dyDescent="0.2">
      <c r="A276" s="49">
        <f t="shared" si="4"/>
        <v>41578</v>
      </c>
      <c r="B276" s="21">
        <v>255.50000000000003</v>
      </c>
      <c r="C276" s="21">
        <v>0</v>
      </c>
    </row>
    <row r="277" spans="1:5" x14ac:dyDescent="0.2">
      <c r="A277" s="49">
        <f t="shared" si="4"/>
        <v>41608</v>
      </c>
      <c r="B277" s="21">
        <v>517.69999999999993</v>
      </c>
      <c r="C277" s="21">
        <v>0</v>
      </c>
    </row>
    <row r="278" spans="1:5" x14ac:dyDescent="0.2">
      <c r="A278" s="49">
        <f t="shared" si="4"/>
        <v>41639</v>
      </c>
      <c r="B278" s="21">
        <v>727.3</v>
      </c>
      <c r="C278" s="21">
        <v>0</v>
      </c>
      <c r="D278">
        <f>SUM(B267:B278)</f>
        <v>4234.7999999999993</v>
      </c>
      <c r="E278">
        <f>SUM(C267:C278)</f>
        <v>199.4</v>
      </c>
    </row>
    <row r="279" spans="1:5" x14ac:dyDescent="0.2">
      <c r="A279" s="49">
        <f t="shared" si="4"/>
        <v>41670</v>
      </c>
      <c r="B279" s="21">
        <v>827.9000000000002</v>
      </c>
      <c r="C279" s="21">
        <v>0</v>
      </c>
    </row>
    <row r="280" spans="1:5" x14ac:dyDescent="0.2">
      <c r="A280" s="49">
        <f t="shared" si="4"/>
        <v>41698</v>
      </c>
      <c r="B280" s="21">
        <v>775.2</v>
      </c>
      <c r="C280" s="21">
        <v>0</v>
      </c>
    </row>
    <row r="281" spans="1:5" x14ac:dyDescent="0.2">
      <c r="A281" s="49">
        <f t="shared" si="4"/>
        <v>41729</v>
      </c>
      <c r="B281" s="21">
        <v>756.99999999999989</v>
      </c>
      <c r="C281" s="21">
        <v>0</v>
      </c>
    </row>
    <row r="282" spans="1:5" x14ac:dyDescent="0.2">
      <c r="A282" s="49">
        <f t="shared" si="4"/>
        <v>41759</v>
      </c>
      <c r="B282" s="21">
        <v>375.90000000000003</v>
      </c>
      <c r="C282" s="21">
        <v>0</v>
      </c>
    </row>
    <row r="283" spans="1:5" x14ac:dyDescent="0.2">
      <c r="A283" s="49">
        <f t="shared" si="4"/>
        <v>41790</v>
      </c>
      <c r="B283" s="21">
        <v>135.70000000000002</v>
      </c>
      <c r="C283" s="21">
        <v>5.7</v>
      </c>
    </row>
    <row r="284" spans="1:5" x14ac:dyDescent="0.2">
      <c r="A284" s="49">
        <f t="shared" si="4"/>
        <v>41820</v>
      </c>
      <c r="B284" s="21">
        <v>37.300000000000004</v>
      </c>
      <c r="C284" s="21">
        <v>44.3</v>
      </c>
    </row>
    <row r="285" spans="1:5" x14ac:dyDescent="0.2">
      <c r="A285" s="49">
        <f t="shared" si="4"/>
        <v>41851</v>
      </c>
      <c r="B285" s="21">
        <v>36.800000000000004</v>
      </c>
      <c r="C285" s="21">
        <v>31.500000000000004</v>
      </c>
    </row>
    <row r="286" spans="1:5" x14ac:dyDescent="0.2">
      <c r="A286" s="49">
        <f t="shared" si="4"/>
        <v>41882</v>
      </c>
      <c r="B286" s="21">
        <v>31.099999999999998</v>
      </c>
      <c r="C286" s="21">
        <v>24.500000000000004</v>
      </c>
    </row>
    <row r="287" spans="1:5" x14ac:dyDescent="0.2">
      <c r="A287" s="49">
        <f t="shared" si="4"/>
        <v>41912</v>
      </c>
      <c r="B287" s="21">
        <v>114.00000000000003</v>
      </c>
      <c r="C287" s="21">
        <v>11.4</v>
      </c>
    </row>
    <row r="288" spans="1:5" x14ac:dyDescent="0.2">
      <c r="A288" s="49">
        <f t="shared" si="4"/>
        <v>41943</v>
      </c>
      <c r="B288" s="21">
        <v>244.6</v>
      </c>
      <c r="C288" s="21">
        <v>0</v>
      </c>
    </row>
    <row r="289" spans="1:5" x14ac:dyDescent="0.2">
      <c r="A289" s="49">
        <f t="shared" si="4"/>
        <v>41973</v>
      </c>
      <c r="B289" s="21">
        <v>521.9</v>
      </c>
      <c r="C289" s="21">
        <v>0</v>
      </c>
    </row>
    <row r="290" spans="1:5" x14ac:dyDescent="0.2">
      <c r="A290" s="49">
        <f t="shared" si="4"/>
        <v>42004</v>
      </c>
      <c r="B290" s="21">
        <v>597.6</v>
      </c>
      <c r="C290" s="21">
        <v>0</v>
      </c>
      <c r="D290">
        <f>SUM(B279:B290)</f>
        <v>4455.0000000000009</v>
      </c>
      <c r="E290">
        <f>SUM(C279:C290)</f>
        <v>117.4</v>
      </c>
    </row>
    <row r="291" spans="1:5" x14ac:dyDescent="0.2">
      <c r="A291" s="49">
        <f t="shared" si="4"/>
        <v>42035</v>
      </c>
      <c r="B291" s="21">
        <v>800.80000000000018</v>
      </c>
      <c r="C291" s="21">
        <v>0</v>
      </c>
    </row>
    <row r="292" spans="1:5" x14ac:dyDescent="0.2">
      <c r="A292" s="49">
        <f t="shared" si="4"/>
        <v>42063</v>
      </c>
      <c r="B292" s="21">
        <v>917.5</v>
      </c>
      <c r="C292" s="21">
        <v>0</v>
      </c>
    </row>
    <row r="293" spans="1:5" x14ac:dyDescent="0.2">
      <c r="A293" s="49">
        <f t="shared" si="4"/>
        <v>42094</v>
      </c>
      <c r="B293" s="21">
        <v>538</v>
      </c>
      <c r="C293" s="21">
        <v>0</v>
      </c>
    </row>
    <row r="294" spans="1:5" x14ac:dyDescent="0.2">
      <c r="A294" s="49">
        <f t="shared" si="4"/>
        <v>42124</v>
      </c>
      <c r="B294" s="21">
        <v>359.00000000000011</v>
      </c>
      <c r="C294" s="21">
        <v>0</v>
      </c>
    </row>
    <row r="295" spans="1:5" x14ac:dyDescent="0.2">
      <c r="A295" s="49">
        <f t="shared" si="4"/>
        <v>42155</v>
      </c>
      <c r="B295" s="21">
        <v>116.20000000000002</v>
      </c>
      <c r="C295" s="21">
        <v>29.8</v>
      </c>
    </row>
    <row r="296" spans="1:5" x14ac:dyDescent="0.2">
      <c r="A296" s="49">
        <f t="shared" si="4"/>
        <v>42185</v>
      </c>
      <c r="B296" s="21">
        <v>54.699999999999996</v>
      </c>
      <c r="C296" s="21">
        <v>15</v>
      </c>
    </row>
    <row r="297" spans="1:5" x14ac:dyDescent="0.2">
      <c r="A297" s="49">
        <f t="shared" si="4"/>
        <v>42216</v>
      </c>
      <c r="B297" s="21">
        <v>19.3</v>
      </c>
      <c r="C297" s="21">
        <v>57.70000000000001</v>
      </c>
    </row>
    <row r="298" spans="1:5" x14ac:dyDescent="0.2">
      <c r="A298" s="49">
        <f t="shared" si="4"/>
        <v>42247</v>
      </c>
      <c r="B298" s="21">
        <v>29.500000000000004</v>
      </c>
      <c r="C298" s="21">
        <v>47.899999999999991</v>
      </c>
    </row>
    <row r="299" spans="1:5" x14ac:dyDescent="0.2">
      <c r="A299" s="49">
        <f t="shared" si="4"/>
        <v>42277</v>
      </c>
      <c r="B299" s="21">
        <v>58.20000000000001</v>
      </c>
      <c r="C299" s="21">
        <v>45.300000000000004</v>
      </c>
    </row>
    <row r="300" spans="1:5" x14ac:dyDescent="0.2">
      <c r="A300" s="49">
        <f t="shared" si="4"/>
        <v>42308</v>
      </c>
      <c r="B300" s="21">
        <v>290.09999999999991</v>
      </c>
      <c r="C300" s="21">
        <v>0</v>
      </c>
    </row>
    <row r="301" spans="1:5" x14ac:dyDescent="0.2">
      <c r="A301" s="49">
        <f t="shared" si="4"/>
        <v>42338</v>
      </c>
      <c r="B301" s="21">
        <v>391.1</v>
      </c>
      <c r="C301" s="21">
        <v>0</v>
      </c>
    </row>
    <row r="302" spans="1:5" x14ac:dyDescent="0.2">
      <c r="A302" s="49">
        <f t="shared" si="4"/>
        <v>42369</v>
      </c>
      <c r="B302" s="21">
        <v>452.99999999999994</v>
      </c>
      <c r="C302" s="21">
        <v>0</v>
      </c>
      <c r="D302">
        <f>SUM(B291:B302)</f>
        <v>4027.3999999999996</v>
      </c>
      <c r="E302">
        <f>SUM(C291:C302)</f>
        <v>195.7</v>
      </c>
    </row>
    <row r="303" spans="1:5" x14ac:dyDescent="0.2">
      <c r="A303" s="49">
        <f t="shared" si="4"/>
        <v>42400</v>
      </c>
      <c r="B303" s="21">
        <v>717.80000000000007</v>
      </c>
      <c r="C303" s="21">
        <v>0</v>
      </c>
    </row>
    <row r="304" spans="1:5" x14ac:dyDescent="0.2">
      <c r="A304" s="49">
        <f t="shared" si="4"/>
        <v>42429</v>
      </c>
      <c r="B304" s="21">
        <v>627.40000000000009</v>
      </c>
      <c r="C304" s="21">
        <v>0</v>
      </c>
    </row>
    <row r="305" spans="1:5" x14ac:dyDescent="0.2">
      <c r="A305" s="49">
        <f t="shared" si="4"/>
        <v>42460</v>
      </c>
      <c r="B305" s="21">
        <v>492.6</v>
      </c>
      <c r="C305" s="21">
        <v>0</v>
      </c>
    </row>
    <row r="306" spans="1:5" x14ac:dyDescent="0.2">
      <c r="A306" s="49">
        <f t="shared" si="4"/>
        <v>42490</v>
      </c>
      <c r="B306" s="21">
        <v>431.80000000000007</v>
      </c>
      <c r="C306" s="21">
        <v>0</v>
      </c>
    </row>
    <row r="307" spans="1:5" x14ac:dyDescent="0.2">
      <c r="A307" s="49">
        <f t="shared" si="4"/>
        <v>42521</v>
      </c>
      <c r="B307" s="21">
        <v>174.59999999999997</v>
      </c>
      <c r="C307" s="21">
        <v>18.399999999999999</v>
      </c>
    </row>
    <row r="308" spans="1:5" x14ac:dyDescent="0.2">
      <c r="A308" s="49">
        <f t="shared" si="4"/>
        <v>42551</v>
      </c>
      <c r="B308" s="21">
        <v>51.2</v>
      </c>
      <c r="C308" s="21">
        <v>34.300000000000004</v>
      </c>
    </row>
    <row r="309" spans="1:5" x14ac:dyDescent="0.2">
      <c r="A309" s="49">
        <f t="shared" si="4"/>
        <v>42582</v>
      </c>
      <c r="B309" s="21">
        <v>4.8</v>
      </c>
      <c r="C309" s="21">
        <v>101.2</v>
      </c>
    </row>
    <row r="310" spans="1:5" x14ac:dyDescent="0.2">
      <c r="A310" s="49">
        <f t="shared" si="4"/>
        <v>42613</v>
      </c>
      <c r="B310" s="21">
        <v>2.1</v>
      </c>
      <c r="C310" s="21">
        <v>105</v>
      </c>
    </row>
    <row r="311" spans="1:5" x14ac:dyDescent="0.2">
      <c r="A311" s="49">
        <f t="shared" si="4"/>
        <v>42643</v>
      </c>
      <c r="B311" s="21">
        <v>68.600000000000009</v>
      </c>
      <c r="C311" s="21">
        <v>26.6</v>
      </c>
    </row>
    <row r="312" spans="1:5" x14ac:dyDescent="0.2">
      <c r="A312" s="49">
        <f t="shared" si="4"/>
        <v>42674</v>
      </c>
      <c r="B312" s="21">
        <v>242.10000000000002</v>
      </c>
      <c r="C312" s="21">
        <v>1.9</v>
      </c>
    </row>
    <row r="313" spans="1:5" x14ac:dyDescent="0.2">
      <c r="A313" s="49">
        <f t="shared" si="4"/>
        <v>42704</v>
      </c>
      <c r="B313" s="21">
        <v>388.20000000000005</v>
      </c>
      <c r="C313" s="21">
        <v>0</v>
      </c>
    </row>
    <row r="314" spans="1:5" x14ac:dyDescent="0.2">
      <c r="A314" s="49">
        <f t="shared" si="4"/>
        <v>42735</v>
      </c>
      <c r="B314" s="21">
        <v>647.79999999999984</v>
      </c>
      <c r="C314" s="21">
        <v>0</v>
      </c>
      <c r="D314">
        <f>SUM(B303:B314)</f>
        <v>3848.9999999999995</v>
      </c>
      <c r="E314">
        <f>SUM(C303:C314)</f>
        <v>287.39999999999998</v>
      </c>
    </row>
    <row r="315" spans="1:5" x14ac:dyDescent="0.2">
      <c r="A315" s="49">
        <f t="shared" si="4"/>
        <v>42766</v>
      </c>
      <c r="B315" s="21">
        <v>635.1</v>
      </c>
      <c r="C315" s="21">
        <v>0</v>
      </c>
    </row>
    <row r="316" spans="1:5" x14ac:dyDescent="0.2">
      <c r="A316" s="49">
        <f t="shared" si="4"/>
        <v>42794</v>
      </c>
      <c r="B316" s="21">
        <v>537.9</v>
      </c>
      <c r="C316" s="21">
        <v>0</v>
      </c>
    </row>
    <row r="317" spans="1:5" x14ac:dyDescent="0.2">
      <c r="A317" s="49">
        <f t="shared" si="4"/>
        <v>42825</v>
      </c>
      <c r="B317" s="21">
        <v>597.6</v>
      </c>
      <c r="C317" s="21">
        <v>0</v>
      </c>
    </row>
    <row r="318" spans="1:5" x14ac:dyDescent="0.2">
      <c r="A318" s="49">
        <f t="shared" si="4"/>
        <v>42855</v>
      </c>
      <c r="B318" s="21">
        <v>281.59999999999991</v>
      </c>
      <c r="C318" s="21">
        <v>0</v>
      </c>
    </row>
    <row r="319" spans="1:5" x14ac:dyDescent="0.2">
      <c r="A319" s="49">
        <f t="shared" si="4"/>
        <v>42886</v>
      </c>
      <c r="B319" s="21">
        <v>214.39999999999995</v>
      </c>
      <c r="C319" s="21">
        <v>2.7</v>
      </c>
    </row>
    <row r="320" spans="1:5" x14ac:dyDescent="0.2">
      <c r="A320" s="49">
        <f t="shared" si="4"/>
        <v>42916</v>
      </c>
      <c r="B320" s="21">
        <v>45.2</v>
      </c>
      <c r="C320" s="21">
        <v>43</v>
      </c>
    </row>
    <row r="321" spans="1:5" x14ac:dyDescent="0.2">
      <c r="A321" s="49">
        <f t="shared" si="4"/>
        <v>42947</v>
      </c>
      <c r="B321" s="21">
        <v>3.2</v>
      </c>
      <c r="C321" s="21">
        <v>58.500000000000007</v>
      </c>
    </row>
    <row r="322" spans="1:5" x14ac:dyDescent="0.2">
      <c r="A322" s="49">
        <f t="shared" si="4"/>
        <v>42978</v>
      </c>
      <c r="B322" s="21">
        <v>34.5</v>
      </c>
      <c r="C322" s="21">
        <v>28.6</v>
      </c>
    </row>
    <row r="323" spans="1:5" x14ac:dyDescent="0.2">
      <c r="A323" s="49">
        <f t="shared" si="4"/>
        <v>43008</v>
      </c>
      <c r="B323" s="21">
        <v>81.100000000000009</v>
      </c>
      <c r="C323" s="21">
        <v>36.299999999999997</v>
      </c>
    </row>
    <row r="324" spans="1:5" x14ac:dyDescent="0.2">
      <c r="A324" s="49">
        <f t="shared" ref="A324:A326" si="5">EOMONTH(A323,1)</f>
        <v>43039</v>
      </c>
      <c r="B324" s="21">
        <v>208.89999999999998</v>
      </c>
      <c r="C324" s="21">
        <v>3.2</v>
      </c>
    </row>
    <row r="325" spans="1:5" x14ac:dyDescent="0.2">
      <c r="A325" s="49">
        <f t="shared" si="5"/>
        <v>43069</v>
      </c>
      <c r="B325" s="21">
        <v>480.00000000000006</v>
      </c>
      <c r="C325" s="21">
        <v>0</v>
      </c>
    </row>
    <row r="326" spans="1:5" x14ac:dyDescent="0.2">
      <c r="A326" s="49">
        <f t="shared" si="5"/>
        <v>43100</v>
      </c>
      <c r="B326" s="21">
        <v>755.7</v>
      </c>
      <c r="C326" s="21">
        <v>0</v>
      </c>
      <c r="D326">
        <f>SUM(B315:B326)</f>
        <v>3875.2</v>
      </c>
      <c r="E326">
        <f>SUM(C315:C326)</f>
        <v>172.3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44"/>
  <sheetViews>
    <sheetView topLeftCell="C1" workbookViewId="0"/>
  </sheetViews>
  <sheetFormatPr defaultRowHeight="12.75" x14ac:dyDescent="0.2"/>
  <cols>
    <col min="1" max="4" width="9.140625" style="117"/>
    <col min="5" max="5" width="9.28515625" style="123" customWidth="1"/>
    <col min="6" max="6" width="9.5703125" style="123" customWidth="1"/>
    <col min="7" max="20" width="9.140625" style="117"/>
    <col min="21" max="21" width="10.28515625" style="117" bestFit="1" customWidth="1"/>
    <col min="22" max="26" width="9.140625" style="117"/>
    <col min="27" max="27" width="11" bestFit="1" customWidth="1"/>
    <col min="28" max="256" width="9.140625" style="117"/>
    <col min="257" max="257" width="9.28515625" style="117" customWidth="1"/>
    <col min="258" max="258" width="9.5703125" style="117" customWidth="1"/>
    <col min="259" max="272" width="9.140625" style="117"/>
    <col min="273" max="273" width="9.85546875" style="117" bestFit="1" customWidth="1"/>
    <col min="274" max="274" width="11" style="117" bestFit="1" customWidth="1"/>
    <col min="275" max="512" width="9.140625" style="117"/>
    <col min="513" max="513" width="9.28515625" style="117" customWidth="1"/>
    <col min="514" max="514" width="9.5703125" style="117" customWidth="1"/>
    <col min="515" max="528" width="9.140625" style="117"/>
    <col min="529" max="529" width="9.85546875" style="117" bestFit="1" customWidth="1"/>
    <col min="530" max="530" width="11" style="117" bestFit="1" customWidth="1"/>
    <col min="531" max="768" width="9.140625" style="117"/>
    <col min="769" max="769" width="9.28515625" style="117" customWidth="1"/>
    <col min="770" max="770" width="9.5703125" style="117" customWidth="1"/>
    <col min="771" max="784" width="9.140625" style="117"/>
    <col min="785" max="785" width="9.85546875" style="117" bestFit="1" customWidth="1"/>
    <col min="786" max="786" width="11" style="117" bestFit="1" customWidth="1"/>
    <col min="787" max="1024" width="9.140625" style="117"/>
    <col min="1025" max="1025" width="9.28515625" style="117" customWidth="1"/>
    <col min="1026" max="1026" width="9.5703125" style="117" customWidth="1"/>
    <col min="1027" max="1040" width="9.140625" style="117"/>
    <col min="1041" max="1041" width="9.85546875" style="117" bestFit="1" customWidth="1"/>
    <col min="1042" max="1042" width="11" style="117" bestFit="1" customWidth="1"/>
    <col min="1043" max="1280" width="9.140625" style="117"/>
    <col min="1281" max="1281" width="9.28515625" style="117" customWidth="1"/>
    <col min="1282" max="1282" width="9.5703125" style="117" customWidth="1"/>
    <col min="1283" max="1296" width="9.140625" style="117"/>
    <col min="1297" max="1297" width="9.85546875" style="117" bestFit="1" customWidth="1"/>
    <col min="1298" max="1298" width="11" style="117" bestFit="1" customWidth="1"/>
    <col min="1299" max="1536" width="9.140625" style="117"/>
    <col min="1537" max="1537" width="9.28515625" style="117" customWidth="1"/>
    <col min="1538" max="1538" width="9.5703125" style="117" customWidth="1"/>
    <col min="1539" max="1552" width="9.140625" style="117"/>
    <col min="1553" max="1553" width="9.85546875" style="117" bestFit="1" customWidth="1"/>
    <col min="1554" max="1554" width="11" style="117" bestFit="1" customWidth="1"/>
    <col min="1555" max="1792" width="9.140625" style="117"/>
    <col min="1793" max="1793" width="9.28515625" style="117" customWidth="1"/>
    <col min="1794" max="1794" width="9.5703125" style="117" customWidth="1"/>
    <col min="1795" max="1808" width="9.140625" style="117"/>
    <col min="1809" max="1809" width="9.85546875" style="117" bestFit="1" customWidth="1"/>
    <col min="1810" max="1810" width="11" style="117" bestFit="1" customWidth="1"/>
    <col min="1811" max="2048" width="9.140625" style="117"/>
    <col min="2049" max="2049" width="9.28515625" style="117" customWidth="1"/>
    <col min="2050" max="2050" width="9.5703125" style="117" customWidth="1"/>
    <col min="2051" max="2064" width="9.140625" style="117"/>
    <col min="2065" max="2065" width="9.85546875" style="117" bestFit="1" customWidth="1"/>
    <col min="2066" max="2066" width="11" style="117" bestFit="1" customWidth="1"/>
    <col min="2067" max="2304" width="9.140625" style="117"/>
    <col min="2305" max="2305" width="9.28515625" style="117" customWidth="1"/>
    <col min="2306" max="2306" width="9.5703125" style="117" customWidth="1"/>
    <col min="2307" max="2320" width="9.140625" style="117"/>
    <col min="2321" max="2321" width="9.85546875" style="117" bestFit="1" customWidth="1"/>
    <col min="2322" max="2322" width="11" style="117" bestFit="1" customWidth="1"/>
    <col min="2323" max="2560" width="9.140625" style="117"/>
    <col min="2561" max="2561" width="9.28515625" style="117" customWidth="1"/>
    <col min="2562" max="2562" width="9.5703125" style="117" customWidth="1"/>
    <col min="2563" max="2576" width="9.140625" style="117"/>
    <col min="2577" max="2577" width="9.85546875" style="117" bestFit="1" customWidth="1"/>
    <col min="2578" max="2578" width="11" style="117" bestFit="1" customWidth="1"/>
    <col min="2579" max="2816" width="9.140625" style="117"/>
    <col min="2817" max="2817" width="9.28515625" style="117" customWidth="1"/>
    <col min="2818" max="2818" width="9.5703125" style="117" customWidth="1"/>
    <col min="2819" max="2832" width="9.140625" style="117"/>
    <col min="2833" max="2833" width="9.85546875" style="117" bestFit="1" customWidth="1"/>
    <col min="2834" max="2834" width="11" style="117" bestFit="1" customWidth="1"/>
    <col min="2835" max="3072" width="9.140625" style="117"/>
    <col min="3073" max="3073" width="9.28515625" style="117" customWidth="1"/>
    <col min="3074" max="3074" width="9.5703125" style="117" customWidth="1"/>
    <col min="3075" max="3088" width="9.140625" style="117"/>
    <col min="3089" max="3089" width="9.85546875" style="117" bestFit="1" customWidth="1"/>
    <col min="3090" max="3090" width="11" style="117" bestFit="1" customWidth="1"/>
    <col min="3091" max="3328" width="9.140625" style="117"/>
    <col min="3329" max="3329" width="9.28515625" style="117" customWidth="1"/>
    <col min="3330" max="3330" width="9.5703125" style="117" customWidth="1"/>
    <col min="3331" max="3344" width="9.140625" style="117"/>
    <col min="3345" max="3345" width="9.85546875" style="117" bestFit="1" customWidth="1"/>
    <col min="3346" max="3346" width="11" style="117" bestFit="1" customWidth="1"/>
    <col min="3347" max="3584" width="9.140625" style="117"/>
    <col min="3585" max="3585" width="9.28515625" style="117" customWidth="1"/>
    <col min="3586" max="3586" width="9.5703125" style="117" customWidth="1"/>
    <col min="3587" max="3600" width="9.140625" style="117"/>
    <col min="3601" max="3601" width="9.85546875" style="117" bestFit="1" customWidth="1"/>
    <col min="3602" max="3602" width="11" style="117" bestFit="1" customWidth="1"/>
    <col min="3603" max="3840" width="9.140625" style="117"/>
    <col min="3841" max="3841" width="9.28515625" style="117" customWidth="1"/>
    <col min="3842" max="3842" width="9.5703125" style="117" customWidth="1"/>
    <col min="3843" max="3856" width="9.140625" style="117"/>
    <col min="3857" max="3857" width="9.85546875" style="117" bestFit="1" customWidth="1"/>
    <col min="3858" max="3858" width="11" style="117" bestFit="1" customWidth="1"/>
    <col min="3859" max="4096" width="9.140625" style="117"/>
    <col min="4097" max="4097" width="9.28515625" style="117" customWidth="1"/>
    <col min="4098" max="4098" width="9.5703125" style="117" customWidth="1"/>
    <col min="4099" max="4112" width="9.140625" style="117"/>
    <col min="4113" max="4113" width="9.85546875" style="117" bestFit="1" customWidth="1"/>
    <col min="4114" max="4114" width="11" style="117" bestFit="1" customWidth="1"/>
    <col min="4115" max="4352" width="9.140625" style="117"/>
    <col min="4353" max="4353" width="9.28515625" style="117" customWidth="1"/>
    <col min="4354" max="4354" width="9.5703125" style="117" customWidth="1"/>
    <col min="4355" max="4368" width="9.140625" style="117"/>
    <col min="4369" max="4369" width="9.85546875" style="117" bestFit="1" customWidth="1"/>
    <col min="4370" max="4370" width="11" style="117" bestFit="1" customWidth="1"/>
    <col min="4371" max="4608" width="9.140625" style="117"/>
    <col min="4609" max="4609" width="9.28515625" style="117" customWidth="1"/>
    <col min="4610" max="4610" width="9.5703125" style="117" customWidth="1"/>
    <col min="4611" max="4624" width="9.140625" style="117"/>
    <col min="4625" max="4625" width="9.85546875" style="117" bestFit="1" customWidth="1"/>
    <col min="4626" max="4626" width="11" style="117" bestFit="1" customWidth="1"/>
    <col min="4627" max="4864" width="9.140625" style="117"/>
    <col min="4865" max="4865" width="9.28515625" style="117" customWidth="1"/>
    <col min="4866" max="4866" width="9.5703125" style="117" customWidth="1"/>
    <col min="4867" max="4880" width="9.140625" style="117"/>
    <col min="4881" max="4881" width="9.85546875" style="117" bestFit="1" customWidth="1"/>
    <col min="4882" max="4882" width="11" style="117" bestFit="1" customWidth="1"/>
    <col min="4883" max="5120" width="9.140625" style="117"/>
    <col min="5121" max="5121" width="9.28515625" style="117" customWidth="1"/>
    <col min="5122" max="5122" width="9.5703125" style="117" customWidth="1"/>
    <col min="5123" max="5136" width="9.140625" style="117"/>
    <col min="5137" max="5137" width="9.85546875" style="117" bestFit="1" customWidth="1"/>
    <col min="5138" max="5138" width="11" style="117" bestFit="1" customWidth="1"/>
    <col min="5139" max="5376" width="9.140625" style="117"/>
    <col min="5377" max="5377" width="9.28515625" style="117" customWidth="1"/>
    <col min="5378" max="5378" width="9.5703125" style="117" customWidth="1"/>
    <col min="5379" max="5392" width="9.140625" style="117"/>
    <col min="5393" max="5393" width="9.85546875" style="117" bestFit="1" customWidth="1"/>
    <col min="5394" max="5394" width="11" style="117" bestFit="1" customWidth="1"/>
    <col min="5395" max="5632" width="9.140625" style="117"/>
    <col min="5633" max="5633" width="9.28515625" style="117" customWidth="1"/>
    <col min="5634" max="5634" width="9.5703125" style="117" customWidth="1"/>
    <col min="5635" max="5648" width="9.140625" style="117"/>
    <col min="5649" max="5649" width="9.85546875" style="117" bestFit="1" customWidth="1"/>
    <col min="5650" max="5650" width="11" style="117" bestFit="1" customWidth="1"/>
    <col min="5651" max="5888" width="9.140625" style="117"/>
    <col min="5889" max="5889" width="9.28515625" style="117" customWidth="1"/>
    <col min="5890" max="5890" width="9.5703125" style="117" customWidth="1"/>
    <col min="5891" max="5904" width="9.140625" style="117"/>
    <col min="5905" max="5905" width="9.85546875" style="117" bestFit="1" customWidth="1"/>
    <col min="5906" max="5906" width="11" style="117" bestFit="1" customWidth="1"/>
    <col min="5907" max="6144" width="9.140625" style="117"/>
    <col min="6145" max="6145" width="9.28515625" style="117" customWidth="1"/>
    <col min="6146" max="6146" width="9.5703125" style="117" customWidth="1"/>
    <col min="6147" max="6160" width="9.140625" style="117"/>
    <col min="6161" max="6161" width="9.85546875" style="117" bestFit="1" customWidth="1"/>
    <col min="6162" max="6162" width="11" style="117" bestFit="1" customWidth="1"/>
    <col min="6163" max="6400" width="9.140625" style="117"/>
    <col min="6401" max="6401" width="9.28515625" style="117" customWidth="1"/>
    <col min="6402" max="6402" width="9.5703125" style="117" customWidth="1"/>
    <col min="6403" max="6416" width="9.140625" style="117"/>
    <col min="6417" max="6417" width="9.85546875" style="117" bestFit="1" customWidth="1"/>
    <col min="6418" max="6418" width="11" style="117" bestFit="1" customWidth="1"/>
    <col min="6419" max="6656" width="9.140625" style="117"/>
    <col min="6657" max="6657" width="9.28515625" style="117" customWidth="1"/>
    <col min="6658" max="6658" width="9.5703125" style="117" customWidth="1"/>
    <col min="6659" max="6672" width="9.140625" style="117"/>
    <col min="6673" max="6673" width="9.85546875" style="117" bestFit="1" customWidth="1"/>
    <col min="6674" max="6674" width="11" style="117" bestFit="1" customWidth="1"/>
    <col min="6675" max="6912" width="9.140625" style="117"/>
    <col min="6913" max="6913" width="9.28515625" style="117" customWidth="1"/>
    <col min="6914" max="6914" width="9.5703125" style="117" customWidth="1"/>
    <col min="6915" max="6928" width="9.140625" style="117"/>
    <col min="6929" max="6929" width="9.85546875" style="117" bestFit="1" customWidth="1"/>
    <col min="6930" max="6930" width="11" style="117" bestFit="1" customWidth="1"/>
    <col min="6931" max="7168" width="9.140625" style="117"/>
    <col min="7169" max="7169" width="9.28515625" style="117" customWidth="1"/>
    <col min="7170" max="7170" width="9.5703125" style="117" customWidth="1"/>
    <col min="7171" max="7184" width="9.140625" style="117"/>
    <col min="7185" max="7185" width="9.85546875" style="117" bestFit="1" customWidth="1"/>
    <col min="7186" max="7186" width="11" style="117" bestFit="1" customWidth="1"/>
    <col min="7187" max="7424" width="9.140625" style="117"/>
    <col min="7425" max="7425" width="9.28515625" style="117" customWidth="1"/>
    <col min="7426" max="7426" width="9.5703125" style="117" customWidth="1"/>
    <col min="7427" max="7440" width="9.140625" style="117"/>
    <col min="7441" max="7441" width="9.85546875" style="117" bestFit="1" customWidth="1"/>
    <col min="7442" max="7442" width="11" style="117" bestFit="1" customWidth="1"/>
    <col min="7443" max="7680" width="9.140625" style="117"/>
    <col min="7681" max="7681" width="9.28515625" style="117" customWidth="1"/>
    <col min="7682" max="7682" width="9.5703125" style="117" customWidth="1"/>
    <col min="7683" max="7696" width="9.140625" style="117"/>
    <col min="7697" max="7697" width="9.85546875" style="117" bestFit="1" customWidth="1"/>
    <col min="7698" max="7698" width="11" style="117" bestFit="1" customWidth="1"/>
    <col min="7699" max="7936" width="9.140625" style="117"/>
    <col min="7937" max="7937" width="9.28515625" style="117" customWidth="1"/>
    <col min="7938" max="7938" width="9.5703125" style="117" customWidth="1"/>
    <col min="7939" max="7952" width="9.140625" style="117"/>
    <col min="7953" max="7953" width="9.85546875" style="117" bestFit="1" customWidth="1"/>
    <col min="7954" max="7954" width="11" style="117" bestFit="1" customWidth="1"/>
    <col min="7955" max="8192" width="9.140625" style="117"/>
    <col min="8193" max="8193" width="9.28515625" style="117" customWidth="1"/>
    <col min="8194" max="8194" width="9.5703125" style="117" customWidth="1"/>
    <col min="8195" max="8208" width="9.140625" style="117"/>
    <col min="8209" max="8209" width="9.85546875" style="117" bestFit="1" customWidth="1"/>
    <col min="8210" max="8210" width="11" style="117" bestFit="1" customWidth="1"/>
    <col min="8211" max="8448" width="9.140625" style="117"/>
    <col min="8449" max="8449" width="9.28515625" style="117" customWidth="1"/>
    <col min="8450" max="8450" width="9.5703125" style="117" customWidth="1"/>
    <col min="8451" max="8464" width="9.140625" style="117"/>
    <col min="8465" max="8465" width="9.85546875" style="117" bestFit="1" customWidth="1"/>
    <col min="8466" max="8466" width="11" style="117" bestFit="1" customWidth="1"/>
    <col min="8467" max="8704" width="9.140625" style="117"/>
    <col min="8705" max="8705" width="9.28515625" style="117" customWidth="1"/>
    <col min="8706" max="8706" width="9.5703125" style="117" customWidth="1"/>
    <col min="8707" max="8720" width="9.140625" style="117"/>
    <col min="8721" max="8721" width="9.85546875" style="117" bestFit="1" customWidth="1"/>
    <col min="8722" max="8722" width="11" style="117" bestFit="1" customWidth="1"/>
    <col min="8723" max="8960" width="9.140625" style="117"/>
    <col min="8961" max="8961" width="9.28515625" style="117" customWidth="1"/>
    <col min="8962" max="8962" width="9.5703125" style="117" customWidth="1"/>
    <col min="8963" max="8976" width="9.140625" style="117"/>
    <col min="8977" max="8977" width="9.85546875" style="117" bestFit="1" customWidth="1"/>
    <col min="8978" max="8978" width="11" style="117" bestFit="1" customWidth="1"/>
    <col min="8979" max="9216" width="9.140625" style="117"/>
    <col min="9217" max="9217" width="9.28515625" style="117" customWidth="1"/>
    <col min="9218" max="9218" width="9.5703125" style="117" customWidth="1"/>
    <col min="9219" max="9232" width="9.140625" style="117"/>
    <col min="9233" max="9233" width="9.85546875" style="117" bestFit="1" customWidth="1"/>
    <col min="9234" max="9234" width="11" style="117" bestFit="1" customWidth="1"/>
    <col min="9235" max="9472" width="9.140625" style="117"/>
    <col min="9473" max="9473" width="9.28515625" style="117" customWidth="1"/>
    <col min="9474" max="9474" width="9.5703125" style="117" customWidth="1"/>
    <col min="9475" max="9488" width="9.140625" style="117"/>
    <col min="9489" max="9489" width="9.85546875" style="117" bestFit="1" customWidth="1"/>
    <col min="9490" max="9490" width="11" style="117" bestFit="1" customWidth="1"/>
    <col min="9491" max="9728" width="9.140625" style="117"/>
    <col min="9729" max="9729" width="9.28515625" style="117" customWidth="1"/>
    <col min="9730" max="9730" width="9.5703125" style="117" customWidth="1"/>
    <col min="9731" max="9744" width="9.140625" style="117"/>
    <col min="9745" max="9745" width="9.85546875" style="117" bestFit="1" customWidth="1"/>
    <col min="9746" max="9746" width="11" style="117" bestFit="1" customWidth="1"/>
    <col min="9747" max="9984" width="9.140625" style="117"/>
    <col min="9985" max="9985" width="9.28515625" style="117" customWidth="1"/>
    <col min="9986" max="9986" width="9.5703125" style="117" customWidth="1"/>
    <col min="9987" max="10000" width="9.140625" style="117"/>
    <col min="10001" max="10001" width="9.85546875" style="117" bestFit="1" customWidth="1"/>
    <col min="10002" max="10002" width="11" style="117" bestFit="1" customWidth="1"/>
    <col min="10003" max="10240" width="9.140625" style="117"/>
    <col min="10241" max="10241" width="9.28515625" style="117" customWidth="1"/>
    <col min="10242" max="10242" width="9.5703125" style="117" customWidth="1"/>
    <col min="10243" max="10256" width="9.140625" style="117"/>
    <col min="10257" max="10257" width="9.85546875" style="117" bestFit="1" customWidth="1"/>
    <col min="10258" max="10258" width="11" style="117" bestFit="1" customWidth="1"/>
    <col min="10259" max="10496" width="9.140625" style="117"/>
    <col min="10497" max="10497" width="9.28515625" style="117" customWidth="1"/>
    <col min="10498" max="10498" width="9.5703125" style="117" customWidth="1"/>
    <col min="10499" max="10512" width="9.140625" style="117"/>
    <col min="10513" max="10513" width="9.85546875" style="117" bestFit="1" customWidth="1"/>
    <col min="10514" max="10514" width="11" style="117" bestFit="1" customWidth="1"/>
    <col min="10515" max="10752" width="9.140625" style="117"/>
    <col min="10753" max="10753" width="9.28515625" style="117" customWidth="1"/>
    <col min="10754" max="10754" width="9.5703125" style="117" customWidth="1"/>
    <col min="10755" max="10768" width="9.140625" style="117"/>
    <col min="10769" max="10769" width="9.85546875" style="117" bestFit="1" customWidth="1"/>
    <col min="10770" max="10770" width="11" style="117" bestFit="1" customWidth="1"/>
    <col min="10771" max="11008" width="9.140625" style="117"/>
    <col min="11009" max="11009" width="9.28515625" style="117" customWidth="1"/>
    <col min="11010" max="11010" width="9.5703125" style="117" customWidth="1"/>
    <col min="11011" max="11024" width="9.140625" style="117"/>
    <col min="11025" max="11025" width="9.85546875" style="117" bestFit="1" customWidth="1"/>
    <col min="11026" max="11026" width="11" style="117" bestFit="1" customWidth="1"/>
    <col min="11027" max="11264" width="9.140625" style="117"/>
    <col min="11265" max="11265" width="9.28515625" style="117" customWidth="1"/>
    <col min="11266" max="11266" width="9.5703125" style="117" customWidth="1"/>
    <col min="11267" max="11280" width="9.140625" style="117"/>
    <col min="11281" max="11281" width="9.85546875" style="117" bestFit="1" customWidth="1"/>
    <col min="11282" max="11282" width="11" style="117" bestFit="1" customWidth="1"/>
    <col min="11283" max="11520" width="9.140625" style="117"/>
    <col min="11521" max="11521" width="9.28515625" style="117" customWidth="1"/>
    <col min="11522" max="11522" width="9.5703125" style="117" customWidth="1"/>
    <col min="11523" max="11536" width="9.140625" style="117"/>
    <col min="11537" max="11537" width="9.85546875" style="117" bestFit="1" customWidth="1"/>
    <col min="11538" max="11538" width="11" style="117" bestFit="1" customWidth="1"/>
    <col min="11539" max="11776" width="9.140625" style="117"/>
    <col min="11777" max="11777" width="9.28515625" style="117" customWidth="1"/>
    <col min="11778" max="11778" width="9.5703125" style="117" customWidth="1"/>
    <col min="11779" max="11792" width="9.140625" style="117"/>
    <col min="11793" max="11793" width="9.85546875" style="117" bestFit="1" customWidth="1"/>
    <col min="11794" max="11794" width="11" style="117" bestFit="1" customWidth="1"/>
    <col min="11795" max="12032" width="9.140625" style="117"/>
    <col min="12033" max="12033" width="9.28515625" style="117" customWidth="1"/>
    <col min="12034" max="12034" width="9.5703125" style="117" customWidth="1"/>
    <col min="12035" max="12048" width="9.140625" style="117"/>
    <col min="12049" max="12049" width="9.85546875" style="117" bestFit="1" customWidth="1"/>
    <col min="12050" max="12050" width="11" style="117" bestFit="1" customWidth="1"/>
    <col min="12051" max="12288" width="9.140625" style="117"/>
    <col min="12289" max="12289" width="9.28515625" style="117" customWidth="1"/>
    <col min="12290" max="12290" width="9.5703125" style="117" customWidth="1"/>
    <col min="12291" max="12304" width="9.140625" style="117"/>
    <col min="12305" max="12305" width="9.85546875" style="117" bestFit="1" customWidth="1"/>
    <col min="12306" max="12306" width="11" style="117" bestFit="1" customWidth="1"/>
    <col min="12307" max="12544" width="9.140625" style="117"/>
    <col min="12545" max="12545" width="9.28515625" style="117" customWidth="1"/>
    <col min="12546" max="12546" width="9.5703125" style="117" customWidth="1"/>
    <col min="12547" max="12560" width="9.140625" style="117"/>
    <col min="12561" max="12561" width="9.85546875" style="117" bestFit="1" customWidth="1"/>
    <col min="12562" max="12562" width="11" style="117" bestFit="1" customWidth="1"/>
    <col min="12563" max="12800" width="9.140625" style="117"/>
    <col min="12801" max="12801" width="9.28515625" style="117" customWidth="1"/>
    <col min="12802" max="12802" width="9.5703125" style="117" customWidth="1"/>
    <col min="12803" max="12816" width="9.140625" style="117"/>
    <col min="12817" max="12817" width="9.85546875" style="117" bestFit="1" customWidth="1"/>
    <col min="12818" max="12818" width="11" style="117" bestFit="1" customWidth="1"/>
    <col min="12819" max="13056" width="9.140625" style="117"/>
    <col min="13057" max="13057" width="9.28515625" style="117" customWidth="1"/>
    <col min="13058" max="13058" width="9.5703125" style="117" customWidth="1"/>
    <col min="13059" max="13072" width="9.140625" style="117"/>
    <col min="13073" max="13073" width="9.85546875" style="117" bestFit="1" customWidth="1"/>
    <col min="13074" max="13074" width="11" style="117" bestFit="1" customWidth="1"/>
    <col min="13075" max="13312" width="9.140625" style="117"/>
    <col min="13313" max="13313" width="9.28515625" style="117" customWidth="1"/>
    <col min="13314" max="13314" width="9.5703125" style="117" customWidth="1"/>
    <col min="13315" max="13328" width="9.140625" style="117"/>
    <col min="13329" max="13329" width="9.85546875" style="117" bestFit="1" customWidth="1"/>
    <col min="13330" max="13330" width="11" style="117" bestFit="1" customWidth="1"/>
    <col min="13331" max="13568" width="9.140625" style="117"/>
    <col min="13569" max="13569" width="9.28515625" style="117" customWidth="1"/>
    <col min="13570" max="13570" width="9.5703125" style="117" customWidth="1"/>
    <col min="13571" max="13584" width="9.140625" style="117"/>
    <col min="13585" max="13585" width="9.85546875" style="117" bestFit="1" customWidth="1"/>
    <col min="13586" max="13586" width="11" style="117" bestFit="1" customWidth="1"/>
    <col min="13587" max="13824" width="9.140625" style="117"/>
    <col min="13825" max="13825" width="9.28515625" style="117" customWidth="1"/>
    <col min="13826" max="13826" width="9.5703125" style="117" customWidth="1"/>
    <col min="13827" max="13840" width="9.140625" style="117"/>
    <col min="13841" max="13841" width="9.85546875" style="117" bestFit="1" customWidth="1"/>
    <col min="13842" max="13842" width="11" style="117" bestFit="1" customWidth="1"/>
    <col min="13843" max="14080" width="9.140625" style="117"/>
    <col min="14081" max="14081" width="9.28515625" style="117" customWidth="1"/>
    <col min="14082" max="14082" width="9.5703125" style="117" customWidth="1"/>
    <col min="14083" max="14096" width="9.140625" style="117"/>
    <col min="14097" max="14097" width="9.85546875" style="117" bestFit="1" customWidth="1"/>
    <col min="14098" max="14098" width="11" style="117" bestFit="1" customWidth="1"/>
    <col min="14099" max="14336" width="9.140625" style="117"/>
    <col min="14337" max="14337" width="9.28515625" style="117" customWidth="1"/>
    <col min="14338" max="14338" width="9.5703125" style="117" customWidth="1"/>
    <col min="14339" max="14352" width="9.140625" style="117"/>
    <col min="14353" max="14353" width="9.85546875" style="117" bestFit="1" customWidth="1"/>
    <col min="14354" max="14354" width="11" style="117" bestFit="1" customWidth="1"/>
    <col min="14355" max="14592" width="9.140625" style="117"/>
    <col min="14593" max="14593" width="9.28515625" style="117" customWidth="1"/>
    <col min="14594" max="14594" width="9.5703125" style="117" customWidth="1"/>
    <col min="14595" max="14608" width="9.140625" style="117"/>
    <col min="14609" max="14609" width="9.85546875" style="117" bestFit="1" customWidth="1"/>
    <col min="14610" max="14610" width="11" style="117" bestFit="1" customWidth="1"/>
    <col min="14611" max="14848" width="9.140625" style="117"/>
    <col min="14849" max="14849" width="9.28515625" style="117" customWidth="1"/>
    <col min="14850" max="14850" width="9.5703125" style="117" customWidth="1"/>
    <col min="14851" max="14864" width="9.140625" style="117"/>
    <col min="14865" max="14865" width="9.85546875" style="117" bestFit="1" customWidth="1"/>
    <col min="14866" max="14866" width="11" style="117" bestFit="1" customWidth="1"/>
    <col min="14867" max="15104" width="9.140625" style="117"/>
    <col min="15105" max="15105" width="9.28515625" style="117" customWidth="1"/>
    <col min="15106" max="15106" width="9.5703125" style="117" customWidth="1"/>
    <col min="15107" max="15120" width="9.140625" style="117"/>
    <col min="15121" max="15121" width="9.85546875" style="117" bestFit="1" customWidth="1"/>
    <col min="15122" max="15122" width="11" style="117" bestFit="1" customWidth="1"/>
    <col min="15123" max="15360" width="9.140625" style="117"/>
    <col min="15361" max="15361" width="9.28515625" style="117" customWidth="1"/>
    <col min="15362" max="15362" width="9.5703125" style="117" customWidth="1"/>
    <col min="15363" max="15376" width="9.140625" style="117"/>
    <col min="15377" max="15377" width="9.85546875" style="117" bestFit="1" customWidth="1"/>
    <col min="15378" max="15378" width="11" style="117" bestFit="1" customWidth="1"/>
    <col min="15379" max="15616" width="9.140625" style="117"/>
    <col min="15617" max="15617" width="9.28515625" style="117" customWidth="1"/>
    <col min="15618" max="15618" width="9.5703125" style="117" customWidth="1"/>
    <col min="15619" max="15632" width="9.140625" style="117"/>
    <col min="15633" max="15633" width="9.85546875" style="117" bestFit="1" customWidth="1"/>
    <col min="15634" max="15634" width="11" style="117" bestFit="1" customWidth="1"/>
    <col min="15635" max="15872" width="9.140625" style="117"/>
    <col min="15873" max="15873" width="9.28515625" style="117" customWidth="1"/>
    <col min="15874" max="15874" width="9.5703125" style="117" customWidth="1"/>
    <col min="15875" max="15888" width="9.140625" style="117"/>
    <col min="15889" max="15889" width="9.85546875" style="117" bestFit="1" customWidth="1"/>
    <col min="15890" max="15890" width="11" style="117" bestFit="1" customWidth="1"/>
    <col min="15891" max="16128" width="9.140625" style="117"/>
    <col min="16129" max="16129" width="9.28515625" style="117" customWidth="1"/>
    <col min="16130" max="16130" width="9.5703125" style="117" customWidth="1"/>
    <col min="16131" max="16144" width="9.140625" style="117"/>
    <col min="16145" max="16145" width="9.85546875" style="117" bestFit="1" customWidth="1"/>
    <col min="16146" max="16146" width="11" style="117" bestFit="1" customWidth="1"/>
    <col min="16147" max="16384" width="9.140625" style="117"/>
  </cols>
  <sheetData>
    <row r="1" spans="1:27" x14ac:dyDescent="0.2">
      <c r="A1" s="121" t="s">
        <v>121</v>
      </c>
      <c r="D1" s="482"/>
      <c r="E1" s="482"/>
      <c r="F1" s="121"/>
      <c r="G1" s="121"/>
      <c r="H1" s="121"/>
      <c r="I1" s="121"/>
    </row>
    <row r="2" spans="1:27" x14ac:dyDescent="0.2">
      <c r="A2" s="122"/>
    </row>
    <row r="3" spans="1:27" x14ac:dyDescent="0.2">
      <c r="A3" s="124" t="s">
        <v>122</v>
      </c>
      <c r="B3" s="124"/>
      <c r="C3" s="124"/>
      <c r="D3" s="124"/>
      <c r="E3" s="125"/>
      <c r="F3" s="125"/>
    </row>
    <row r="4" spans="1:27" x14ac:dyDescent="0.2">
      <c r="A4" s="126"/>
      <c r="B4" s="126"/>
      <c r="C4" s="126"/>
      <c r="D4" s="126"/>
      <c r="E4" s="127"/>
      <c r="F4" s="127"/>
    </row>
    <row r="5" spans="1:27" x14ac:dyDescent="0.2">
      <c r="A5" s="128" t="s">
        <v>123</v>
      </c>
      <c r="B5" s="128">
        <v>1993</v>
      </c>
      <c r="C5" s="128">
        <v>1994</v>
      </c>
      <c r="D5" s="128">
        <v>1995</v>
      </c>
      <c r="E5" s="128">
        <v>1996</v>
      </c>
      <c r="F5" s="128">
        <v>1997</v>
      </c>
      <c r="G5" s="128">
        <v>1998</v>
      </c>
      <c r="H5" s="128">
        <v>1999</v>
      </c>
      <c r="I5" s="128">
        <v>2000</v>
      </c>
      <c r="J5" s="128">
        <f t="shared" ref="J5:P5" si="0">J25</f>
        <v>2001</v>
      </c>
      <c r="K5" s="128">
        <f t="shared" si="0"/>
        <v>2002</v>
      </c>
      <c r="L5" s="128">
        <f t="shared" si="0"/>
        <v>2003</v>
      </c>
      <c r="M5" s="128">
        <f t="shared" si="0"/>
        <v>2004</v>
      </c>
      <c r="N5" s="128">
        <f t="shared" si="0"/>
        <v>2005</v>
      </c>
      <c r="O5" s="128">
        <f t="shared" si="0"/>
        <v>2006</v>
      </c>
      <c r="P5" s="128">
        <f t="shared" si="0"/>
        <v>2007</v>
      </c>
      <c r="Q5" s="128">
        <v>2008</v>
      </c>
      <c r="R5" s="128">
        <v>2009</v>
      </c>
      <c r="S5" s="128">
        <v>2010</v>
      </c>
      <c r="T5" s="128">
        <v>2011</v>
      </c>
      <c r="U5" s="128">
        <f>U25</f>
        <v>2012</v>
      </c>
      <c r="V5" s="128">
        <f t="shared" ref="V5:Z5" si="1">V25</f>
        <v>2013</v>
      </c>
      <c r="W5" s="128">
        <f t="shared" si="1"/>
        <v>2014</v>
      </c>
      <c r="X5" s="128">
        <f t="shared" si="1"/>
        <v>2015</v>
      </c>
      <c r="Y5" s="128">
        <f t="shared" si="1"/>
        <v>2016</v>
      </c>
      <c r="Z5" s="128">
        <f t="shared" si="1"/>
        <v>2017</v>
      </c>
      <c r="AA5" s="249" t="s">
        <v>297</v>
      </c>
    </row>
    <row r="6" spans="1:27" x14ac:dyDescent="0.2">
      <c r="A6" s="126"/>
      <c r="B6" s="126"/>
      <c r="C6" s="126"/>
      <c r="D6" s="126"/>
      <c r="E6" s="125"/>
      <c r="F6" s="125"/>
    </row>
    <row r="7" spans="1:27" x14ac:dyDescent="0.2">
      <c r="A7" s="129"/>
      <c r="B7" s="129"/>
      <c r="C7" s="129"/>
      <c r="D7" s="129"/>
      <c r="E7" s="125"/>
      <c r="F7" s="125"/>
      <c r="G7" s="125"/>
      <c r="H7" s="125"/>
    </row>
    <row r="8" spans="1:27" x14ac:dyDescent="0.2">
      <c r="A8" s="129" t="s">
        <v>124</v>
      </c>
      <c r="B8" s="130">
        <f>'HDD and CDD'!B27</f>
        <v>687.2</v>
      </c>
      <c r="C8" s="130">
        <f>'HDD and CDD'!B39</f>
        <v>968.6</v>
      </c>
      <c r="D8" s="130">
        <f>'HDD and CDD'!B51</f>
        <v>667.5</v>
      </c>
      <c r="E8" s="130">
        <f>'HDD and CDD'!B63</f>
        <v>789.4</v>
      </c>
      <c r="F8" s="130">
        <f>'HDD and CDD'!B75</f>
        <v>777.9</v>
      </c>
      <c r="G8" s="130">
        <f>'HDD and CDD'!B87</f>
        <v>652.79999999999995</v>
      </c>
      <c r="H8" s="130">
        <f>'HDD and CDD'!B99</f>
        <v>789.6</v>
      </c>
      <c r="I8" s="130">
        <f>'HDD and CDD'!B111</f>
        <v>773</v>
      </c>
      <c r="J8" s="130">
        <f>'HDD and CDD'!B123</f>
        <v>715</v>
      </c>
      <c r="K8" s="130">
        <f>'HDD and CDD'!B135</f>
        <v>625.70000000000005</v>
      </c>
      <c r="L8" s="130">
        <f>'HDD and CDD'!B147</f>
        <v>868.4</v>
      </c>
      <c r="M8" s="130">
        <f>'HDD and CDD'!B159</f>
        <v>879.2</v>
      </c>
      <c r="N8" s="130">
        <f>'HDD and CDD'!B171</f>
        <v>814.7</v>
      </c>
      <c r="O8" s="130">
        <f>'HDD and CDD'!B183</f>
        <v>590.6</v>
      </c>
      <c r="P8" s="130">
        <f>'HDD and CDD'!B195</f>
        <v>698.3</v>
      </c>
      <c r="Q8" s="130">
        <f>'HDD and CDD'!B207</f>
        <v>676.8</v>
      </c>
      <c r="R8" s="130">
        <f>'HDD and CDD'!B219</f>
        <v>891.8</v>
      </c>
      <c r="S8" s="130">
        <f>'HDD and CDD'!B231</f>
        <v>727.1</v>
      </c>
      <c r="T8" s="130">
        <f>'HDD and CDD'!B243</f>
        <v>770</v>
      </c>
      <c r="U8" s="130">
        <f>'HDD and CDD'!B255</f>
        <v>657.3</v>
      </c>
      <c r="V8" s="130">
        <f>'HDD and CDD'!B267</f>
        <v>681.3</v>
      </c>
      <c r="W8" s="130">
        <f>'HDD and CDD'!B279</f>
        <v>827.9000000000002</v>
      </c>
      <c r="X8" s="130">
        <f>'HDD and CDD'!B291</f>
        <v>800.80000000000018</v>
      </c>
      <c r="Y8" s="130">
        <f>'HDD and CDD'!B303</f>
        <v>717.80000000000007</v>
      </c>
      <c r="Z8" s="130">
        <f>'HDD and CDD'!B315</f>
        <v>635.1</v>
      </c>
      <c r="AA8" s="250">
        <f>TREND(G8:Z8,$G$5:$Z$5,2019)</f>
        <v>728.58541353383453</v>
      </c>
    </row>
    <row r="9" spans="1:27" x14ac:dyDescent="0.2">
      <c r="A9" s="129" t="s">
        <v>125</v>
      </c>
      <c r="B9" s="130">
        <f>'HDD and CDD'!B28</f>
        <v>738.1</v>
      </c>
      <c r="C9" s="130">
        <f>'HDD and CDD'!B40</f>
        <v>774.2</v>
      </c>
      <c r="D9" s="130">
        <f>'HDD and CDD'!B52</f>
        <v>735.3</v>
      </c>
      <c r="E9" s="130">
        <f>'HDD and CDD'!B64</f>
        <v>712.6</v>
      </c>
      <c r="F9" s="130">
        <f>'HDD and CDD'!B76</f>
        <v>615</v>
      </c>
      <c r="G9" s="130">
        <f>'HDD and CDD'!B88</f>
        <v>547.1</v>
      </c>
      <c r="H9" s="130">
        <f>'HDD and CDD'!B100</f>
        <v>578.4</v>
      </c>
      <c r="I9" s="130">
        <f>'HDD and CDD'!B112</f>
        <v>643.79999999999995</v>
      </c>
      <c r="J9" s="130">
        <f>'HDD and CDD'!B124</f>
        <v>620.20000000000005</v>
      </c>
      <c r="K9" s="130">
        <f>'HDD and CDD'!B136</f>
        <v>592</v>
      </c>
      <c r="L9" s="130">
        <f>'HDD and CDD'!B148</f>
        <v>755.9</v>
      </c>
      <c r="M9" s="130">
        <f>'HDD and CDD'!B160</f>
        <v>699.2</v>
      </c>
      <c r="N9" s="130">
        <f>'HDD and CDD'!B172</f>
        <v>683.5</v>
      </c>
      <c r="O9" s="130">
        <f>'HDD and CDD'!B184</f>
        <v>651.20000000000005</v>
      </c>
      <c r="P9" s="130">
        <f>'HDD and CDD'!B196</f>
        <v>785.1</v>
      </c>
      <c r="Q9" s="130">
        <f>'HDD and CDD'!B208</f>
        <v>651.20000000000005</v>
      </c>
      <c r="R9" s="130">
        <f>'HDD and CDD'!B220</f>
        <v>649.6</v>
      </c>
      <c r="S9" s="130">
        <f>'HDD and CDD'!B232</f>
        <v>644.70000000000005</v>
      </c>
      <c r="T9" s="130">
        <f>'HDD and CDD'!B244</f>
        <v>640.79999999999995</v>
      </c>
      <c r="U9" s="130">
        <f>'HDD and CDD'!B256</f>
        <v>573</v>
      </c>
      <c r="V9" s="130">
        <f>'HDD and CDD'!B268</f>
        <v>697.9000000000002</v>
      </c>
      <c r="W9" s="130">
        <f>'HDD and CDD'!B280</f>
        <v>775.2</v>
      </c>
      <c r="X9" s="130">
        <f>'HDD and CDD'!B292</f>
        <v>917.5</v>
      </c>
      <c r="Y9" s="130">
        <f>'HDD and CDD'!B304</f>
        <v>627.40000000000009</v>
      </c>
      <c r="Z9" s="130">
        <f>'HDD and CDD'!B316</f>
        <v>537.9</v>
      </c>
      <c r="AA9" s="250">
        <f t="shared" ref="AA9:AA19" si="2">TREND(G9:Z9,$G$5:$Z$5,2019)</f>
        <v>711.62060150376055</v>
      </c>
    </row>
    <row r="10" spans="1:27" x14ac:dyDescent="0.2">
      <c r="A10" s="129" t="s">
        <v>126</v>
      </c>
      <c r="B10" s="130">
        <f>'HDD and CDD'!B29</f>
        <v>632</v>
      </c>
      <c r="C10" s="130">
        <f>'HDD and CDD'!B41</f>
        <v>619.9</v>
      </c>
      <c r="D10" s="130">
        <f>'HDD and CDD'!B53</f>
        <v>523.70000000000005</v>
      </c>
      <c r="E10" s="130">
        <f>'HDD and CDD'!B65</f>
        <v>670.4</v>
      </c>
      <c r="F10" s="130">
        <f>'HDD and CDD'!B77</f>
        <v>619.1</v>
      </c>
      <c r="G10" s="130">
        <f>'HDD and CDD'!B89</f>
        <v>505.1</v>
      </c>
      <c r="H10" s="130">
        <f>'HDD and CDD'!B101</f>
        <v>592.5</v>
      </c>
      <c r="I10" s="130">
        <f>'HDD and CDD'!B113</f>
        <v>446.9</v>
      </c>
      <c r="J10" s="130">
        <f>'HDD and CDD'!B125</f>
        <v>618.70000000000005</v>
      </c>
      <c r="K10" s="130">
        <f>'HDD and CDD'!B137</f>
        <v>581.20000000000005</v>
      </c>
      <c r="L10" s="130">
        <f>'HDD and CDD'!B149</f>
        <v>638.70000000000005</v>
      </c>
      <c r="M10" s="130">
        <f>'HDD and CDD'!B161</f>
        <v>540.9</v>
      </c>
      <c r="N10" s="130">
        <f>'HDD and CDD'!B173</f>
        <v>680.5</v>
      </c>
      <c r="O10" s="130">
        <f>'HDD and CDD'!B185</f>
        <v>562.4</v>
      </c>
      <c r="P10" s="130">
        <f>'HDD and CDD'!B197</f>
        <v>582</v>
      </c>
      <c r="Q10" s="130">
        <f>'HDD and CDD'!B209</f>
        <v>686.1</v>
      </c>
      <c r="R10" s="130">
        <f>'HDD and CDD'!B221</f>
        <v>562.6</v>
      </c>
      <c r="S10" s="130">
        <f>'HDD and CDD'!B233</f>
        <v>470.9</v>
      </c>
      <c r="T10" s="130">
        <f>'HDD and CDD'!B245</f>
        <v>605.29999999999995</v>
      </c>
      <c r="U10" s="130">
        <f>'HDD and CDD'!B257</f>
        <v>370.1</v>
      </c>
      <c r="V10" s="130">
        <f>'HDD and CDD'!B269</f>
        <v>612</v>
      </c>
      <c r="W10" s="130">
        <f>'HDD and CDD'!B281</f>
        <v>756.99999999999989</v>
      </c>
      <c r="X10" s="130">
        <f>'HDD and CDD'!B293</f>
        <v>538</v>
      </c>
      <c r="Y10" s="130">
        <f>'HDD and CDD'!B305</f>
        <v>492.6</v>
      </c>
      <c r="Z10" s="130">
        <f>'HDD and CDD'!B317</f>
        <v>597.6</v>
      </c>
      <c r="AA10" s="250">
        <f t="shared" si="2"/>
        <v>577.69691729323313</v>
      </c>
    </row>
    <row r="11" spans="1:27" x14ac:dyDescent="0.2">
      <c r="A11" s="129" t="s">
        <v>127</v>
      </c>
      <c r="B11" s="130">
        <f>'HDD and CDD'!B30</f>
        <v>343.4</v>
      </c>
      <c r="C11" s="130">
        <f>'HDD and CDD'!B42</f>
        <v>343.8</v>
      </c>
      <c r="D11" s="130">
        <f>'HDD and CDD'!B54</f>
        <v>434.4</v>
      </c>
      <c r="E11" s="130">
        <f>'HDD and CDD'!B66</f>
        <v>421.9</v>
      </c>
      <c r="F11" s="130">
        <f>'HDD and CDD'!B78</f>
        <v>391.9</v>
      </c>
      <c r="G11" s="130">
        <f>'HDD and CDD'!B90</f>
        <v>312</v>
      </c>
      <c r="H11" s="130">
        <f>'HDD and CDD'!B102</f>
        <v>332.6</v>
      </c>
      <c r="I11" s="130">
        <f>'HDD and CDD'!B114</f>
        <v>358.3</v>
      </c>
      <c r="J11" s="130">
        <f>'HDD and CDD'!B126</f>
        <v>324.60000000000002</v>
      </c>
      <c r="K11" s="130">
        <f>'HDD and CDD'!B138</f>
        <v>356.2</v>
      </c>
      <c r="L11" s="130">
        <f>'HDD and CDD'!B150</f>
        <v>397.4</v>
      </c>
      <c r="M11" s="130">
        <f>'HDD and CDD'!B162</f>
        <v>354.1</v>
      </c>
      <c r="N11" s="130">
        <f>'HDD and CDD'!B174</f>
        <v>354.6</v>
      </c>
      <c r="O11" s="130">
        <f>'HDD and CDD'!B186</f>
        <v>322.5</v>
      </c>
      <c r="P11" s="130">
        <f>'HDD and CDD'!B198</f>
        <v>403</v>
      </c>
      <c r="Q11" s="130">
        <f>'HDD and CDD'!B210</f>
        <v>297.89999999999998</v>
      </c>
      <c r="R11" s="130">
        <f>'HDD and CDD'!B222</f>
        <v>341.5</v>
      </c>
      <c r="S11" s="130">
        <f>'HDD and CDD'!B234</f>
        <v>255.7</v>
      </c>
      <c r="T11" s="130">
        <f>'HDD and CDD'!B246</f>
        <v>298.7</v>
      </c>
      <c r="U11" s="130">
        <f>'HDD and CDD'!B258</f>
        <v>365.3</v>
      </c>
      <c r="V11" s="130">
        <f>'HDD and CDD'!B270</f>
        <v>368.7</v>
      </c>
      <c r="W11" s="130">
        <f>'HDD and CDD'!B282</f>
        <v>375.90000000000003</v>
      </c>
      <c r="X11" s="130">
        <f>'HDD and CDD'!B294</f>
        <v>359.00000000000011</v>
      </c>
      <c r="Y11" s="130">
        <f>'HDD and CDD'!B306</f>
        <v>431.80000000000007</v>
      </c>
      <c r="Z11" s="130">
        <f>'HDD and CDD'!B318</f>
        <v>281.59999999999991</v>
      </c>
      <c r="AA11" s="250">
        <f t="shared" si="2"/>
        <v>350.66067669172912</v>
      </c>
    </row>
    <row r="12" spans="1:27" x14ac:dyDescent="0.2">
      <c r="A12" s="129" t="s">
        <v>80</v>
      </c>
      <c r="B12" s="130">
        <f>'HDD and CDD'!B31</f>
        <v>176.6</v>
      </c>
      <c r="C12" s="130">
        <f>'HDD and CDD'!B43</f>
        <v>226.7</v>
      </c>
      <c r="D12" s="130">
        <f>'HDD and CDD'!B55</f>
        <v>171.9</v>
      </c>
      <c r="E12" s="130">
        <f>'HDD and CDD'!B67</f>
        <v>216.1</v>
      </c>
      <c r="F12" s="130">
        <f>'HDD and CDD'!B79</f>
        <v>289</v>
      </c>
      <c r="G12" s="130">
        <f>'HDD and CDD'!B91</f>
        <v>77.099999999999994</v>
      </c>
      <c r="H12" s="130">
        <f>'HDD and CDD'!B103</f>
        <v>126.7</v>
      </c>
      <c r="I12" s="130">
        <f>'HDD and CDD'!B115</f>
        <v>152.4</v>
      </c>
      <c r="J12" s="130">
        <f>'HDD and CDD'!B127</f>
        <v>140.30000000000001</v>
      </c>
      <c r="K12" s="130">
        <f>'HDD and CDD'!B139</f>
        <v>266.8</v>
      </c>
      <c r="L12" s="130">
        <f>'HDD and CDD'!B151</f>
        <v>217</v>
      </c>
      <c r="M12" s="130">
        <f>'HDD and CDD'!B163</f>
        <v>196.2</v>
      </c>
      <c r="N12" s="130">
        <f>'HDD and CDD'!B175</f>
        <v>244.9</v>
      </c>
      <c r="O12" s="130">
        <f>'HDD and CDD'!B187</f>
        <v>177.8</v>
      </c>
      <c r="P12" s="130">
        <f>'HDD and CDD'!B199</f>
        <v>166.4</v>
      </c>
      <c r="Q12" s="130">
        <f>'HDD and CDD'!B211</f>
        <v>243.1</v>
      </c>
      <c r="R12" s="130">
        <f>'HDD and CDD'!B223</f>
        <v>192.8</v>
      </c>
      <c r="S12" s="130">
        <f>'HDD and CDD'!B235</f>
        <v>144.69999999999999</v>
      </c>
      <c r="T12" s="130">
        <f>'HDD and CDD'!B247</f>
        <v>148.69999999999999</v>
      </c>
      <c r="U12" s="130">
        <f>'HDD and CDD'!B259</f>
        <v>103.8</v>
      </c>
      <c r="V12" s="130">
        <f>'HDD and CDD'!B271</f>
        <v>152.10000000000002</v>
      </c>
      <c r="W12" s="130">
        <f>'HDD and CDD'!B283</f>
        <v>135.70000000000002</v>
      </c>
      <c r="X12" s="130">
        <f>'HDD and CDD'!B295</f>
        <v>116.20000000000002</v>
      </c>
      <c r="Y12" s="130">
        <f>'HDD and CDD'!B307</f>
        <v>174.59999999999997</v>
      </c>
      <c r="Z12" s="130">
        <f>'HDD and CDD'!B319</f>
        <v>214.39999999999995</v>
      </c>
      <c r="AA12" s="250">
        <f t="shared" si="2"/>
        <v>168.09691729323305</v>
      </c>
    </row>
    <row r="13" spans="1:27" x14ac:dyDescent="0.2">
      <c r="A13" s="129" t="s">
        <v>128</v>
      </c>
      <c r="B13" s="130">
        <f>'HDD and CDD'!B32</f>
        <v>47.3</v>
      </c>
      <c r="C13" s="130">
        <f>'HDD and CDD'!B44</f>
        <v>38.4</v>
      </c>
      <c r="D13" s="130">
        <f>'HDD and CDD'!B56</f>
        <v>25.9</v>
      </c>
      <c r="E13" s="130">
        <f>'HDD and CDD'!B68</f>
        <v>29.4</v>
      </c>
      <c r="F13" s="130">
        <f>'HDD and CDD'!B80</f>
        <v>30.4</v>
      </c>
      <c r="G13" s="130">
        <f>'HDD and CDD'!B92</f>
        <v>66.7</v>
      </c>
      <c r="H13" s="130">
        <f>'HDD and CDD'!B104</f>
        <v>44.4</v>
      </c>
      <c r="I13" s="130">
        <f>'HDD and CDD'!B116</f>
        <v>41.1</v>
      </c>
      <c r="J13" s="130">
        <f>'HDD and CDD'!B128</f>
        <v>47</v>
      </c>
      <c r="K13" s="130">
        <f>'HDD and CDD'!B140</f>
        <v>53.1</v>
      </c>
      <c r="L13" s="130">
        <f>'HDD and CDD'!B152</f>
        <v>65.3</v>
      </c>
      <c r="M13" s="130">
        <f>'HDD and CDD'!B164</f>
        <v>92.5</v>
      </c>
      <c r="N13" s="130">
        <f>'HDD and CDD'!B176</f>
        <v>27.3</v>
      </c>
      <c r="O13" s="130">
        <f>'HDD and CDD'!B188</f>
        <v>44.1</v>
      </c>
      <c r="P13" s="130">
        <f>'HDD and CDD'!B200</f>
        <v>35.5</v>
      </c>
      <c r="Q13" s="130">
        <f>'HDD and CDD'!B212</f>
        <v>40.6</v>
      </c>
      <c r="R13" s="130">
        <f>'HDD and CDD'!B224</f>
        <v>75.7</v>
      </c>
      <c r="S13" s="130">
        <f>'HDD and CDD'!B236</f>
        <v>37.700000000000003</v>
      </c>
      <c r="T13" s="130">
        <f>'HDD and CDD'!B248</f>
        <v>48.5</v>
      </c>
      <c r="U13" s="130">
        <f>'HDD and CDD'!B260</f>
        <v>42.1</v>
      </c>
      <c r="V13" s="130">
        <f>'HDD and CDD'!B272</f>
        <v>46.4</v>
      </c>
      <c r="W13" s="130">
        <f>'HDD and CDD'!B284</f>
        <v>37.300000000000004</v>
      </c>
      <c r="X13" s="130">
        <f>'HDD and CDD'!B296</f>
        <v>54.699999999999996</v>
      </c>
      <c r="Y13" s="130">
        <f>'HDD and CDD'!B308</f>
        <v>51.2</v>
      </c>
      <c r="Z13" s="130">
        <f>'HDD and CDD'!B320</f>
        <v>45.2</v>
      </c>
      <c r="AA13" s="250">
        <f t="shared" si="2"/>
        <v>44.168571428571454</v>
      </c>
    </row>
    <row r="14" spans="1:27" x14ac:dyDescent="0.2">
      <c r="A14" s="129" t="s">
        <v>129</v>
      </c>
      <c r="B14" s="130">
        <f>'HDD and CDD'!B33</f>
        <v>2.9</v>
      </c>
      <c r="C14" s="130">
        <f>'HDD and CDD'!B45</f>
        <v>6.3</v>
      </c>
      <c r="D14" s="130">
        <f>'HDD and CDD'!B57</f>
        <v>17.3</v>
      </c>
      <c r="E14" s="130">
        <f>'HDD and CDD'!B69</f>
        <v>18.899999999999999</v>
      </c>
      <c r="F14" s="130">
        <f>'HDD and CDD'!B81</f>
        <v>22.1</v>
      </c>
      <c r="G14" s="130">
        <f>'HDD and CDD'!B93</f>
        <v>6.9</v>
      </c>
      <c r="H14" s="130">
        <f>'HDD and CDD'!B105</f>
        <v>3.2</v>
      </c>
      <c r="I14" s="130">
        <f>'HDD and CDD'!B117</f>
        <v>18.600000000000001</v>
      </c>
      <c r="J14" s="130">
        <f>'HDD and CDD'!B129</f>
        <v>22.3</v>
      </c>
      <c r="K14" s="130">
        <f>'HDD and CDD'!B141</f>
        <v>4.7</v>
      </c>
      <c r="L14" s="130">
        <f>'HDD and CDD'!B153</f>
        <v>12.5</v>
      </c>
      <c r="M14" s="130">
        <f>'HDD and CDD'!B165</f>
        <v>21.3</v>
      </c>
      <c r="N14" s="130">
        <f>'HDD and CDD'!B177</f>
        <v>6.8</v>
      </c>
      <c r="O14" s="130">
        <f>'HDD and CDD'!B189</f>
        <v>6.5</v>
      </c>
      <c r="P14" s="130">
        <f>'HDD and CDD'!B201</f>
        <v>28</v>
      </c>
      <c r="Q14" s="130">
        <f>'HDD and CDD'!B213</f>
        <v>7.6</v>
      </c>
      <c r="R14" s="130">
        <f>'HDD and CDD'!B225</f>
        <v>37.6</v>
      </c>
      <c r="S14" s="130">
        <f>'HDD and CDD'!B237</f>
        <v>6.7</v>
      </c>
      <c r="T14" s="130">
        <f>'HDD and CDD'!B249</f>
        <v>0.8</v>
      </c>
      <c r="U14" s="130">
        <f>'HDD and CDD'!B261</f>
        <v>0</v>
      </c>
      <c r="V14" s="130">
        <f>'HDD and CDD'!B273</f>
        <v>15.100000000000001</v>
      </c>
      <c r="W14" s="130">
        <f>'HDD and CDD'!B285</f>
        <v>36.800000000000004</v>
      </c>
      <c r="X14" s="130">
        <f>'HDD and CDD'!B297</f>
        <v>19.3</v>
      </c>
      <c r="Y14" s="130">
        <f>'HDD and CDD'!B309</f>
        <v>4.8</v>
      </c>
      <c r="Z14" s="130">
        <f>'HDD and CDD'!B321</f>
        <v>3.2</v>
      </c>
      <c r="AA14" s="250">
        <f t="shared" si="2"/>
        <v>13.884661654135343</v>
      </c>
    </row>
    <row r="15" spans="1:27" x14ac:dyDescent="0.2">
      <c r="A15" s="129" t="s">
        <v>130</v>
      </c>
      <c r="B15" s="130">
        <f>'HDD and CDD'!B34</f>
        <v>7.5</v>
      </c>
      <c r="C15" s="130">
        <f>'HDD and CDD'!B46</f>
        <v>39.200000000000003</v>
      </c>
      <c r="D15" s="130">
        <f>'HDD and CDD'!B58</f>
        <v>4.3</v>
      </c>
      <c r="E15" s="130">
        <f>'HDD and CDD'!B70</f>
        <v>6.2</v>
      </c>
      <c r="F15" s="130">
        <f>'HDD and CDD'!B82</f>
        <v>49.4</v>
      </c>
      <c r="G15" s="130">
        <f>'HDD and CDD'!B94</f>
        <v>12.1</v>
      </c>
      <c r="H15" s="130">
        <f>'HDD and CDD'!B106</f>
        <v>28.8</v>
      </c>
      <c r="I15" s="130">
        <f>'HDD and CDD'!B118</f>
        <v>29.7</v>
      </c>
      <c r="J15" s="130">
        <f>'HDD and CDD'!B130</f>
        <v>2.2999999999999998</v>
      </c>
      <c r="K15" s="130">
        <f>'HDD and CDD'!B142</f>
        <v>11</v>
      </c>
      <c r="L15" s="130">
        <f>'HDD and CDD'!B154</f>
        <v>18.899999999999999</v>
      </c>
      <c r="M15" s="130">
        <f>'HDD and CDD'!B166</f>
        <v>55</v>
      </c>
      <c r="N15" s="130">
        <f>'HDD and CDD'!B178</f>
        <v>11.9</v>
      </c>
      <c r="O15" s="130">
        <f>'HDD and CDD'!B190</f>
        <v>27.5</v>
      </c>
      <c r="P15" s="130">
        <f>'HDD and CDD'!B202</f>
        <v>19.7</v>
      </c>
      <c r="Q15" s="130">
        <f>'HDD and CDD'!B214</f>
        <v>36.200000000000003</v>
      </c>
      <c r="R15" s="130">
        <f>'HDD and CDD'!B226</f>
        <v>34.4</v>
      </c>
      <c r="S15" s="130">
        <f>'HDD and CDD'!B238</f>
        <v>9.6999999999999993</v>
      </c>
      <c r="T15" s="130">
        <f>'HDD and CDD'!B250</f>
        <v>6.9</v>
      </c>
      <c r="U15" s="130">
        <f>'HDD and CDD'!B262</f>
        <v>19.399999999999999</v>
      </c>
      <c r="V15" s="130">
        <f>'HDD and CDD'!B274</f>
        <v>32.700000000000003</v>
      </c>
      <c r="W15" s="130">
        <f>'HDD and CDD'!B286</f>
        <v>31.099999999999998</v>
      </c>
      <c r="X15" s="130">
        <f>'HDD and CDD'!B298</f>
        <v>29.500000000000004</v>
      </c>
      <c r="Y15" s="130">
        <f>'HDD and CDD'!B310</f>
        <v>2.1</v>
      </c>
      <c r="Z15" s="130">
        <f>'HDD and CDD'!B322</f>
        <v>34.5</v>
      </c>
      <c r="AA15" s="250">
        <f t="shared" si="2"/>
        <v>25.054736842105285</v>
      </c>
    </row>
    <row r="16" spans="1:27" x14ac:dyDescent="0.2">
      <c r="A16" s="129" t="s">
        <v>131</v>
      </c>
      <c r="B16" s="130">
        <f>'HDD and CDD'!B35</f>
        <v>156.4</v>
      </c>
      <c r="C16" s="130">
        <f>'HDD and CDD'!B47</f>
        <v>105.4</v>
      </c>
      <c r="D16" s="130">
        <f>'HDD and CDD'!B59</f>
        <v>143.6</v>
      </c>
      <c r="E16" s="130">
        <f>'HDD and CDD'!B71</f>
        <v>102.2</v>
      </c>
      <c r="F16" s="130">
        <f>'HDD and CDD'!B83</f>
        <v>115.2</v>
      </c>
      <c r="G16" s="130">
        <f>'HDD and CDD'!B95</f>
        <v>63</v>
      </c>
      <c r="H16" s="130">
        <f>'HDD and CDD'!B107</f>
        <v>88.9</v>
      </c>
      <c r="I16" s="130">
        <f>'HDD and CDD'!B119</f>
        <v>134</v>
      </c>
      <c r="J16" s="130">
        <f>'HDD and CDD'!B131</f>
        <v>118.8</v>
      </c>
      <c r="K16" s="130">
        <f>'HDD and CDD'!B143</f>
        <v>50.2</v>
      </c>
      <c r="L16" s="130">
        <f>'HDD and CDD'!B155</f>
        <v>104.1</v>
      </c>
      <c r="M16" s="130">
        <f>'HDD and CDD'!B167</f>
        <v>71.3</v>
      </c>
      <c r="N16" s="130">
        <f>'HDD and CDD'!B179</f>
        <v>63.4</v>
      </c>
      <c r="O16" s="130">
        <f>'HDD and CDD'!B191</f>
        <v>130.30000000000001</v>
      </c>
      <c r="P16" s="130">
        <f>'HDD and CDD'!B203</f>
        <v>74.7</v>
      </c>
      <c r="Q16" s="130">
        <f>'HDD and CDD'!B215</f>
        <v>93.2</v>
      </c>
      <c r="R16" s="130">
        <f>'HDD and CDD'!B227</f>
        <v>88.8</v>
      </c>
      <c r="S16" s="130">
        <f>'HDD and CDD'!B239</f>
        <v>122.7</v>
      </c>
      <c r="T16" s="130">
        <f>'HDD and CDD'!B251</f>
        <v>88.9</v>
      </c>
      <c r="U16" s="130">
        <f>'HDD and CDD'!B263</f>
        <v>125.4</v>
      </c>
      <c r="V16" s="130">
        <f>'HDD and CDD'!B275</f>
        <v>128.10000000000002</v>
      </c>
      <c r="W16" s="130">
        <f>'HDD and CDD'!B287</f>
        <v>114.00000000000003</v>
      </c>
      <c r="X16" s="130">
        <f>'HDD and CDD'!B299</f>
        <v>58.20000000000001</v>
      </c>
      <c r="Y16" s="130">
        <f>'HDD and CDD'!B311</f>
        <v>68.600000000000009</v>
      </c>
      <c r="Z16" s="130">
        <f>'HDD and CDD'!B323</f>
        <v>81.100000000000009</v>
      </c>
      <c r="AA16" s="250">
        <f t="shared" si="2"/>
        <v>94.78315789473686</v>
      </c>
    </row>
    <row r="17" spans="1:27" x14ac:dyDescent="0.2">
      <c r="A17" s="129" t="s">
        <v>132</v>
      </c>
      <c r="B17" s="130">
        <f>'HDD and CDD'!B36</f>
        <v>335.9</v>
      </c>
      <c r="C17" s="130">
        <f>'HDD and CDD'!B48</f>
        <v>263.7</v>
      </c>
      <c r="D17" s="130">
        <f>'HDD and CDD'!B60</f>
        <v>245.5</v>
      </c>
      <c r="E17" s="130">
        <f>'HDD and CDD'!B72</f>
        <v>301.39999999999998</v>
      </c>
      <c r="F17" s="130">
        <f>'HDD and CDD'!B84</f>
        <v>288.89999999999998</v>
      </c>
      <c r="G17" s="130">
        <f>'HDD and CDD'!B96</f>
        <v>257.60000000000002</v>
      </c>
      <c r="H17" s="130">
        <f>'HDD and CDD'!B108</f>
        <v>319</v>
      </c>
      <c r="I17" s="130">
        <f>'HDD and CDD'!B120</f>
        <v>251.6</v>
      </c>
      <c r="J17" s="130">
        <f>'HDD and CDD'!B132</f>
        <v>276.7</v>
      </c>
      <c r="K17" s="130">
        <f>'HDD and CDD'!B144</f>
        <v>345.6</v>
      </c>
      <c r="L17" s="130">
        <f>'HDD and CDD'!B156</f>
        <v>331.9</v>
      </c>
      <c r="M17" s="130">
        <f>'HDD and CDD'!B168</f>
        <v>287.5</v>
      </c>
      <c r="N17" s="130">
        <f>'HDD and CDD'!B180</f>
        <v>259.89999999999998</v>
      </c>
      <c r="O17" s="130">
        <f>'HDD and CDD'!B192</f>
        <v>335.1</v>
      </c>
      <c r="P17" s="130">
        <f>'HDD and CDD'!B204</f>
        <v>184.7</v>
      </c>
      <c r="Q17" s="130">
        <f>'HDD and CDD'!B216</f>
        <v>325.7</v>
      </c>
      <c r="R17" s="130">
        <f>'HDD and CDD'!B228</f>
        <v>329.1</v>
      </c>
      <c r="S17" s="130">
        <f>'HDD and CDD'!B240</f>
        <v>279.60000000000002</v>
      </c>
      <c r="T17" s="130">
        <f>'HDD and CDD'!B252</f>
        <v>279.89999999999998</v>
      </c>
      <c r="U17" s="130">
        <f>'HDD and CDD'!B264</f>
        <v>279.2</v>
      </c>
      <c r="V17" s="130">
        <f>'HDD and CDD'!B276</f>
        <v>255.50000000000003</v>
      </c>
      <c r="W17" s="130">
        <f>'HDD and CDD'!B288</f>
        <v>244.6</v>
      </c>
      <c r="X17" s="130">
        <f>'HDD and CDD'!B300</f>
        <v>290.09999999999991</v>
      </c>
      <c r="Y17" s="130">
        <f>'HDD and CDD'!B312</f>
        <v>242.10000000000002</v>
      </c>
      <c r="Z17" s="130">
        <f>'HDD and CDD'!B324</f>
        <v>208.89999999999998</v>
      </c>
      <c r="AA17" s="250">
        <f t="shared" si="2"/>
        <v>250.08022556391006</v>
      </c>
    </row>
    <row r="18" spans="1:27" x14ac:dyDescent="0.2">
      <c r="A18" s="129" t="s">
        <v>133</v>
      </c>
      <c r="B18" s="130">
        <f>'HDD and CDD'!B37</f>
        <v>463.5</v>
      </c>
      <c r="C18" s="130">
        <f>'HDD and CDD'!B49</f>
        <v>405.3</v>
      </c>
      <c r="D18" s="130">
        <f>'HDD and CDD'!B61</f>
        <v>539.20000000000005</v>
      </c>
      <c r="E18" s="130">
        <f>'HDD and CDD'!B73</f>
        <v>548.1</v>
      </c>
      <c r="F18" s="130">
        <f>'HDD and CDD'!B85</f>
        <v>471.4</v>
      </c>
      <c r="G18" s="130">
        <f>'HDD and CDD'!B97</f>
        <v>440.1</v>
      </c>
      <c r="H18" s="130">
        <f>'HDD and CDD'!B109</f>
        <v>405.1</v>
      </c>
      <c r="I18" s="130">
        <f>'HDD and CDD'!B121</f>
        <v>470.9</v>
      </c>
      <c r="J18" s="130">
        <f>'HDD and CDD'!B133</f>
        <v>370.8</v>
      </c>
      <c r="K18" s="130">
        <f>'HDD and CDD'!B145</f>
        <v>486.4</v>
      </c>
      <c r="L18" s="130">
        <f>'HDD and CDD'!B157</f>
        <v>434.4</v>
      </c>
      <c r="M18" s="130">
        <f>'HDD and CDD'!B169</f>
        <v>432.9</v>
      </c>
      <c r="N18" s="130">
        <f>'HDD and CDD'!B181</f>
        <v>433.1</v>
      </c>
      <c r="O18" s="130">
        <f>'HDD and CDD'!B193</f>
        <v>415.9</v>
      </c>
      <c r="P18" s="130">
        <f>'HDD and CDD'!B205</f>
        <v>511.8</v>
      </c>
      <c r="Q18" s="130">
        <f>'HDD and CDD'!B217</f>
        <v>499.7</v>
      </c>
      <c r="R18" s="130">
        <f>'HDD and CDD'!B229</f>
        <v>396.5</v>
      </c>
      <c r="S18" s="130">
        <f>'HDD and CDD'!B241</f>
        <v>337.9</v>
      </c>
      <c r="T18" s="130">
        <f>'HDD and CDD'!B253</f>
        <v>382.4</v>
      </c>
      <c r="U18" s="130">
        <f>'HDD and CDD'!B265</f>
        <v>483.6</v>
      </c>
      <c r="V18" s="130">
        <f>'HDD and CDD'!B277</f>
        <v>517.69999999999993</v>
      </c>
      <c r="W18" s="130">
        <f>'HDD and CDD'!B289</f>
        <v>521.9</v>
      </c>
      <c r="X18" s="130">
        <f>'HDD and CDD'!B301</f>
        <v>391.1</v>
      </c>
      <c r="Y18" s="130">
        <f>'HDD and CDD'!B313</f>
        <v>388.20000000000005</v>
      </c>
      <c r="Z18" s="130">
        <f>'HDD and CDD'!B325</f>
        <v>480.00000000000006</v>
      </c>
      <c r="AA18" s="250">
        <f t="shared" si="2"/>
        <v>449.75090225563918</v>
      </c>
    </row>
    <row r="19" spans="1:27" x14ac:dyDescent="0.2">
      <c r="A19" s="129" t="s">
        <v>134</v>
      </c>
      <c r="B19" s="130">
        <f>'HDD and CDD'!B38</f>
        <v>649.6</v>
      </c>
      <c r="C19" s="130">
        <f>'HDD and CDD'!B50</f>
        <v>591.1</v>
      </c>
      <c r="D19" s="130">
        <f>'HDD and CDD'!B62</f>
        <v>741.3</v>
      </c>
      <c r="E19" s="130">
        <f>'HDD and CDD'!B74</f>
        <v>596.5</v>
      </c>
      <c r="F19" s="130">
        <f>'HDD and CDD'!B86</f>
        <v>630.70000000000005</v>
      </c>
      <c r="G19" s="130">
        <f>'HDD and CDD'!B98</f>
        <v>572.1</v>
      </c>
      <c r="H19" s="130">
        <f>'HDD and CDD'!B110</f>
        <v>623.70000000000005</v>
      </c>
      <c r="I19" s="130">
        <f>'HDD and CDD'!B122</f>
        <v>826.5</v>
      </c>
      <c r="J19" s="130">
        <f>'HDD and CDD'!B134</f>
        <v>563.29999999999995</v>
      </c>
      <c r="K19" s="130">
        <f>'HDD and CDD'!B146</f>
        <v>675.6</v>
      </c>
      <c r="L19" s="130">
        <f>'HDD and CDD'!B158</f>
        <v>610</v>
      </c>
      <c r="M19" s="130">
        <f>'HDD and CDD'!B170</f>
        <v>700.1</v>
      </c>
      <c r="N19" s="130">
        <f>'HDD and CDD'!B182</f>
        <v>721.6</v>
      </c>
      <c r="O19" s="130">
        <f>'HDD and CDD'!B194</f>
        <v>545.20000000000005</v>
      </c>
      <c r="P19" s="130">
        <f>'HDD and CDD'!B206</f>
        <v>686.6</v>
      </c>
      <c r="Q19" s="130">
        <f>'HDD and CDD'!B218</f>
        <v>694</v>
      </c>
      <c r="R19" s="130">
        <f>'HDD and CDD'!B230</f>
        <v>669.5</v>
      </c>
      <c r="S19" s="130">
        <f>'HDD and CDD'!B242</f>
        <v>719.4</v>
      </c>
      <c r="T19" s="130">
        <f>'HDD and CDD'!B254</f>
        <v>574.79999999999995</v>
      </c>
      <c r="U19" s="130">
        <f>'HDD and CDD'!B266</f>
        <v>565.5</v>
      </c>
      <c r="V19" s="130">
        <f>'HDD and CDD'!B278</f>
        <v>727.3</v>
      </c>
      <c r="W19" s="130">
        <f>'HDD and CDD'!B290</f>
        <v>597.6</v>
      </c>
      <c r="X19" s="130">
        <f>'HDD and CDD'!B302</f>
        <v>452.99999999999994</v>
      </c>
      <c r="Y19" s="130">
        <f>'HDD and CDD'!B314</f>
        <v>647.79999999999984</v>
      </c>
      <c r="Z19" s="130">
        <f>'HDD and CDD'!B326</f>
        <v>755.7</v>
      </c>
      <c r="AA19" s="250">
        <f t="shared" si="2"/>
        <v>632.64684210526275</v>
      </c>
    </row>
    <row r="20" spans="1:27" x14ac:dyDescent="0.2">
      <c r="A20" s="129"/>
      <c r="B20" s="129"/>
      <c r="C20" s="129"/>
      <c r="D20" s="129"/>
      <c r="E20" s="129"/>
      <c r="F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7" x14ac:dyDescent="0.2">
      <c r="A21" s="129" t="s">
        <v>12</v>
      </c>
      <c r="B21" s="130">
        <f t="shared" ref="B21:Z21" si="3">SUM(B8:B19)</f>
        <v>4240.4000000000005</v>
      </c>
      <c r="C21" s="130">
        <f t="shared" si="3"/>
        <v>4382.6000000000004</v>
      </c>
      <c r="D21" s="130">
        <f t="shared" si="3"/>
        <v>4249.9000000000005</v>
      </c>
      <c r="E21" s="130">
        <f t="shared" si="3"/>
        <v>4413.1000000000004</v>
      </c>
      <c r="F21" s="130">
        <f t="shared" si="3"/>
        <v>4301</v>
      </c>
      <c r="G21" s="130">
        <f t="shared" si="3"/>
        <v>3512.5999999999995</v>
      </c>
      <c r="H21" s="130">
        <f t="shared" si="3"/>
        <v>3932.8999999999996</v>
      </c>
      <c r="I21" s="130">
        <f t="shared" si="3"/>
        <v>4146.7999999999993</v>
      </c>
      <c r="J21" s="130">
        <f t="shared" si="3"/>
        <v>3820.0000000000009</v>
      </c>
      <c r="K21" s="130">
        <f t="shared" si="3"/>
        <v>4048.4999999999995</v>
      </c>
      <c r="L21" s="130">
        <f t="shared" si="3"/>
        <v>4454.5</v>
      </c>
      <c r="M21" s="130">
        <f t="shared" si="3"/>
        <v>4330.2000000000007</v>
      </c>
      <c r="N21" s="130">
        <f t="shared" si="3"/>
        <v>4302.2000000000007</v>
      </c>
      <c r="O21" s="130">
        <f t="shared" si="3"/>
        <v>3809.1000000000004</v>
      </c>
      <c r="P21" s="130">
        <f t="shared" si="3"/>
        <v>4175.8</v>
      </c>
      <c r="Q21" s="130">
        <f t="shared" si="3"/>
        <v>4252.0999999999985</v>
      </c>
      <c r="R21" s="130">
        <f t="shared" si="3"/>
        <v>4269.8999999999996</v>
      </c>
      <c r="S21" s="130">
        <f t="shared" si="3"/>
        <v>3756.7999999999993</v>
      </c>
      <c r="T21" s="130">
        <f t="shared" si="3"/>
        <v>3845.7</v>
      </c>
      <c r="U21" s="130">
        <f t="shared" si="3"/>
        <v>3584.7</v>
      </c>
      <c r="V21" s="130">
        <f t="shared" si="3"/>
        <v>4234.7999999999993</v>
      </c>
      <c r="W21" s="130">
        <f t="shared" si="3"/>
        <v>4455.0000000000009</v>
      </c>
      <c r="X21" s="130">
        <f t="shared" si="3"/>
        <v>4027.3999999999996</v>
      </c>
      <c r="Y21" s="130">
        <f t="shared" si="3"/>
        <v>3848.9999999999995</v>
      </c>
      <c r="Z21" s="130">
        <f t="shared" si="3"/>
        <v>3875.2</v>
      </c>
    </row>
    <row r="22" spans="1:27" x14ac:dyDescent="0.2">
      <c r="A22" s="124"/>
      <c r="B22" s="124"/>
      <c r="C22" s="124"/>
      <c r="D22" s="124"/>
      <c r="E22" s="125"/>
      <c r="F22" s="125"/>
      <c r="U22" s="131"/>
    </row>
    <row r="23" spans="1:27" x14ac:dyDescent="0.2">
      <c r="A23" s="124" t="s">
        <v>135</v>
      </c>
      <c r="B23" s="124"/>
      <c r="C23" s="124"/>
      <c r="D23" s="124"/>
      <c r="E23" s="125"/>
      <c r="F23" s="125"/>
    </row>
    <row r="24" spans="1:27" x14ac:dyDescent="0.2">
      <c r="A24" s="126"/>
      <c r="B24" s="126"/>
      <c r="C24" s="126"/>
      <c r="D24" s="126"/>
      <c r="E24" s="127"/>
      <c r="F24" s="127"/>
    </row>
    <row r="25" spans="1:27" x14ac:dyDescent="0.2">
      <c r="A25" s="128" t="s">
        <v>123</v>
      </c>
      <c r="B25" s="128">
        <v>1993</v>
      </c>
      <c r="C25" s="128">
        <v>1994</v>
      </c>
      <c r="D25" s="128">
        <v>1995</v>
      </c>
      <c r="E25" s="128">
        <v>1996</v>
      </c>
      <c r="F25" s="128">
        <v>1997</v>
      </c>
      <c r="G25" s="128">
        <v>1998</v>
      </c>
      <c r="H25" s="128">
        <v>1999</v>
      </c>
      <c r="I25" s="128">
        <v>2000</v>
      </c>
      <c r="J25" s="128">
        <v>2001</v>
      </c>
      <c r="K25" s="128">
        <v>2002</v>
      </c>
      <c r="L25" s="128">
        <v>2003</v>
      </c>
      <c r="M25" s="128">
        <v>2004</v>
      </c>
      <c r="N25" s="128">
        <v>2005</v>
      </c>
      <c r="O25" s="128">
        <v>2006</v>
      </c>
      <c r="P25" s="128">
        <v>2007</v>
      </c>
      <c r="Q25" s="128">
        <v>2008</v>
      </c>
      <c r="R25" s="128">
        <v>2009</v>
      </c>
      <c r="S25" s="128">
        <v>2010</v>
      </c>
      <c r="T25" s="128">
        <v>2011</v>
      </c>
      <c r="U25" s="128">
        <v>2012</v>
      </c>
      <c r="V25" s="128">
        <v>2013</v>
      </c>
      <c r="W25" s="128">
        <v>2014</v>
      </c>
      <c r="X25" s="128">
        <v>2015</v>
      </c>
      <c r="Y25" s="128">
        <v>2016</v>
      </c>
      <c r="Z25" s="128">
        <v>2017</v>
      </c>
      <c r="AA25" s="249" t="s">
        <v>297</v>
      </c>
    </row>
    <row r="26" spans="1:27" x14ac:dyDescent="0.2">
      <c r="A26" s="126"/>
      <c r="B26" s="126"/>
      <c r="C26" s="126"/>
      <c r="D26" s="126"/>
      <c r="E26" s="125"/>
      <c r="F26" s="125"/>
      <c r="AA26" s="251"/>
    </row>
    <row r="27" spans="1:27" x14ac:dyDescent="0.2">
      <c r="E27" s="125"/>
      <c r="F27" s="125"/>
      <c r="AA27" s="251"/>
    </row>
    <row r="28" spans="1:27" x14ac:dyDescent="0.2">
      <c r="A28" s="129" t="s">
        <v>124</v>
      </c>
      <c r="B28" s="130">
        <f>'HDD and CDD'!C27</f>
        <v>0</v>
      </c>
      <c r="C28" s="130">
        <f>'HDD and CDD'!C39</f>
        <v>0</v>
      </c>
      <c r="D28" s="130">
        <f>'HDD and CDD'!C51</f>
        <v>0</v>
      </c>
      <c r="E28" s="130">
        <f>'HDD and CDD'!C63</f>
        <v>0</v>
      </c>
      <c r="F28" s="130">
        <f>'HDD and CDD'!C75</f>
        <v>0</v>
      </c>
      <c r="G28" s="130">
        <f>'HDD and CDD'!C87</f>
        <v>0</v>
      </c>
      <c r="H28" s="130">
        <f>'HDD and CDD'!C99</f>
        <v>0</v>
      </c>
      <c r="I28" s="130">
        <f>'HDD and CDD'!C111</f>
        <v>0</v>
      </c>
      <c r="J28" s="130">
        <f>'HDD and CDD'!C123</f>
        <v>0</v>
      </c>
      <c r="K28" s="130">
        <f>'HDD and CDD'!C135</f>
        <v>0</v>
      </c>
      <c r="L28" s="130">
        <f>'HDD and CDD'!C147</f>
        <v>0</v>
      </c>
      <c r="M28" s="130">
        <f>'HDD and CDD'!C159</f>
        <v>0</v>
      </c>
      <c r="N28" s="130">
        <f>'HDD and CDD'!C171</f>
        <v>0</v>
      </c>
      <c r="O28" s="130">
        <f>'HDD and CDD'!C183</f>
        <v>0</v>
      </c>
      <c r="P28" s="130">
        <f>'HDD and CDD'!C195</f>
        <v>0</v>
      </c>
      <c r="Q28" s="130">
        <f>'HDD and CDD'!C207</f>
        <v>0</v>
      </c>
      <c r="R28" s="130">
        <f>'HDD and CDD'!C219</f>
        <v>0</v>
      </c>
      <c r="S28" s="130">
        <f>'HDD and CDD'!C231</f>
        <v>0</v>
      </c>
      <c r="T28" s="130">
        <f>'HDD and CDD'!C243</f>
        <v>0</v>
      </c>
      <c r="U28" s="130">
        <f>'HDD and CDD'!C255</f>
        <v>0</v>
      </c>
      <c r="V28" s="130">
        <f>'HDD and CDD'!C267</f>
        <v>0</v>
      </c>
      <c r="W28" s="130">
        <f>'HDD and CDD'!C279</f>
        <v>0</v>
      </c>
      <c r="X28" s="130">
        <f>'HDD and CDD'!C291</f>
        <v>0</v>
      </c>
      <c r="Y28" s="130">
        <f>'HDD and CDD'!C303</f>
        <v>0</v>
      </c>
      <c r="Z28" s="130">
        <f>'HDD and CDD'!C315</f>
        <v>0</v>
      </c>
      <c r="AA28" s="250">
        <f>TREND(G28:Z28,$G$5:$Z$5,2018)</f>
        <v>0</v>
      </c>
    </row>
    <row r="29" spans="1:27" x14ac:dyDescent="0.2">
      <c r="A29" s="129" t="s">
        <v>125</v>
      </c>
      <c r="B29" s="130">
        <f>'HDD and CDD'!C28</f>
        <v>0</v>
      </c>
      <c r="C29" s="130">
        <f>'HDD and CDD'!C40</f>
        <v>0</v>
      </c>
      <c r="D29" s="130">
        <f>'HDD and CDD'!C52</f>
        <v>0</v>
      </c>
      <c r="E29" s="130">
        <f>'HDD and CDD'!C64</f>
        <v>0</v>
      </c>
      <c r="F29" s="130">
        <f>'HDD and CDD'!C76</f>
        <v>0</v>
      </c>
      <c r="G29" s="130">
        <f>'HDD and CDD'!C88</f>
        <v>0</v>
      </c>
      <c r="H29" s="130">
        <f>'HDD and CDD'!C100</f>
        <v>0</v>
      </c>
      <c r="I29" s="130">
        <f>'HDD and CDD'!C112</f>
        <v>0</v>
      </c>
      <c r="J29" s="130">
        <f>'HDD and CDD'!C124</f>
        <v>0</v>
      </c>
      <c r="K29" s="130">
        <f>'HDD and CDD'!C136</f>
        <v>0</v>
      </c>
      <c r="L29" s="130">
        <f>'HDD and CDD'!C148</f>
        <v>0</v>
      </c>
      <c r="M29" s="130">
        <f>'HDD and CDD'!C160</f>
        <v>0</v>
      </c>
      <c r="N29" s="130">
        <f>'HDD and CDD'!C172</f>
        <v>0</v>
      </c>
      <c r="O29" s="130">
        <f>'HDD and CDD'!C184</f>
        <v>0</v>
      </c>
      <c r="P29" s="130">
        <f>'HDD and CDD'!C196</f>
        <v>0</v>
      </c>
      <c r="Q29" s="130">
        <f>'HDD and CDD'!C208</f>
        <v>0</v>
      </c>
      <c r="R29" s="130">
        <f>'HDD and CDD'!C220</f>
        <v>0</v>
      </c>
      <c r="S29" s="130">
        <f>'HDD and CDD'!C232</f>
        <v>0</v>
      </c>
      <c r="T29" s="130">
        <f>'HDD and CDD'!C244</f>
        <v>0</v>
      </c>
      <c r="U29" s="130">
        <f>'HDD and CDD'!C256</f>
        <v>0</v>
      </c>
      <c r="V29" s="130">
        <f>'HDD and CDD'!C268</f>
        <v>0</v>
      </c>
      <c r="W29" s="130">
        <f>'HDD and CDD'!C280</f>
        <v>0</v>
      </c>
      <c r="X29" s="130">
        <f>'HDD and CDD'!C292</f>
        <v>0</v>
      </c>
      <c r="Y29" s="130">
        <f>'HDD and CDD'!C304</f>
        <v>0</v>
      </c>
      <c r="Z29" s="130">
        <f>'HDD and CDD'!C316</f>
        <v>0</v>
      </c>
      <c r="AA29" s="250">
        <f t="shared" ref="AA29:AA39" si="4">TREND(G29:Z29,$G$5:$Z$5,2018)</f>
        <v>0</v>
      </c>
    </row>
    <row r="30" spans="1:27" x14ac:dyDescent="0.2">
      <c r="A30" s="129" t="s">
        <v>126</v>
      </c>
      <c r="B30" s="130">
        <f>'HDD and CDD'!C29</f>
        <v>0</v>
      </c>
      <c r="C30" s="130">
        <f>'HDD and CDD'!C41</f>
        <v>0</v>
      </c>
      <c r="D30" s="130">
        <f>'HDD and CDD'!C53</f>
        <v>0</v>
      </c>
      <c r="E30" s="130">
        <f>'HDD and CDD'!C65</f>
        <v>0</v>
      </c>
      <c r="F30" s="130">
        <f>'HDD and CDD'!C77</f>
        <v>0</v>
      </c>
      <c r="G30" s="130">
        <f>'HDD and CDD'!C89</f>
        <v>0</v>
      </c>
      <c r="H30" s="130">
        <f>'HDD and CDD'!C101</f>
        <v>0</v>
      </c>
      <c r="I30" s="130">
        <f>'HDD and CDD'!C113</f>
        <v>0</v>
      </c>
      <c r="J30" s="130">
        <f>'HDD and CDD'!C125</f>
        <v>0</v>
      </c>
      <c r="K30" s="130">
        <f>'HDD and CDD'!C137</f>
        <v>0</v>
      </c>
      <c r="L30" s="130">
        <f>'HDD and CDD'!C149</f>
        <v>0</v>
      </c>
      <c r="M30" s="130">
        <f>'HDD and CDD'!C161</f>
        <v>0</v>
      </c>
      <c r="N30" s="130">
        <f>'HDD and CDD'!C173</f>
        <v>0</v>
      </c>
      <c r="O30" s="130">
        <f>'HDD and CDD'!C185</f>
        <v>0</v>
      </c>
      <c r="P30" s="130">
        <f>'HDD and CDD'!C197</f>
        <v>0</v>
      </c>
      <c r="Q30" s="130">
        <f>'HDD and CDD'!C209</f>
        <v>0</v>
      </c>
      <c r="R30" s="130">
        <f>'HDD and CDD'!C221</f>
        <v>0</v>
      </c>
      <c r="S30" s="130">
        <f>'HDD and CDD'!C233</f>
        <v>0</v>
      </c>
      <c r="T30" s="130">
        <f>'HDD and CDD'!C245</f>
        <v>0</v>
      </c>
      <c r="U30" s="130">
        <f>'HDD and CDD'!C257</f>
        <v>0</v>
      </c>
      <c r="V30" s="130">
        <f>'HDD and CDD'!C269</f>
        <v>0</v>
      </c>
      <c r="W30" s="130">
        <f>'HDD and CDD'!C281</f>
        <v>0</v>
      </c>
      <c r="X30" s="130">
        <f>'HDD and CDD'!C293</f>
        <v>0</v>
      </c>
      <c r="Y30" s="130">
        <f>'HDD and CDD'!C305</f>
        <v>0</v>
      </c>
      <c r="Z30" s="130">
        <f>'HDD and CDD'!C317</f>
        <v>0</v>
      </c>
      <c r="AA30" s="250">
        <f t="shared" si="4"/>
        <v>0</v>
      </c>
    </row>
    <row r="31" spans="1:27" x14ac:dyDescent="0.2">
      <c r="A31" s="129" t="s">
        <v>127</v>
      </c>
      <c r="B31" s="130">
        <f>'HDD and CDD'!C30</f>
        <v>0</v>
      </c>
      <c r="C31" s="130">
        <f>'HDD and CDD'!C42</f>
        <v>0</v>
      </c>
      <c r="D31" s="130">
        <f>'HDD and CDD'!C54</f>
        <v>0</v>
      </c>
      <c r="E31" s="130">
        <f>'HDD and CDD'!C66</f>
        <v>0</v>
      </c>
      <c r="F31" s="130">
        <f>'HDD and CDD'!C78</f>
        <v>0</v>
      </c>
      <c r="G31" s="130">
        <f>'HDD and CDD'!C90</f>
        <v>0</v>
      </c>
      <c r="H31" s="130">
        <f>'HDD and CDD'!C102</f>
        <v>0</v>
      </c>
      <c r="I31" s="130">
        <f>'HDD and CDD'!C114</f>
        <v>0</v>
      </c>
      <c r="J31" s="130">
        <f>'HDD and CDD'!C126</f>
        <v>0</v>
      </c>
      <c r="K31" s="130">
        <f>'HDD and CDD'!C138</f>
        <v>6.6</v>
      </c>
      <c r="L31" s="130">
        <f>'HDD and CDD'!C150</f>
        <v>0.7</v>
      </c>
      <c r="M31" s="130">
        <f>'HDD and CDD'!C162</f>
        <v>0</v>
      </c>
      <c r="N31" s="130">
        <f>'HDD and CDD'!C174</f>
        <v>0</v>
      </c>
      <c r="O31" s="130">
        <f>'HDD and CDD'!C186</f>
        <v>0</v>
      </c>
      <c r="P31" s="130">
        <f>'HDD and CDD'!C198</f>
        <v>0</v>
      </c>
      <c r="Q31" s="130">
        <f>'HDD and CDD'!C210</f>
        <v>0</v>
      </c>
      <c r="R31" s="130">
        <f>'HDD and CDD'!C222</f>
        <v>3.2</v>
      </c>
      <c r="S31" s="130">
        <f>'HDD and CDD'!C234</f>
        <v>0</v>
      </c>
      <c r="T31" s="130">
        <f>'HDD and CDD'!C246</f>
        <v>0</v>
      </c>
      <c r="U31" s="130">
        <f>'HDD and CDD'!C258</f>
        <v>0</v>
      </c>
      <c r="V31" s="130">
        <f>'HDD and CDD'!C270</f>
        <v>0</v>
      </c>
      <c r="W31" s="130">
        <f>'HDD and CDD'!C282</f>
        <v>0</v>
      </c>
      <c r="X31" s="130">
        <f>'HDD and CDD'!C294</f>
        <v>0</v>
      </c>
      <c r="Y31" s="130">
        <f>'HDD and CDD'!C306</f>
        <v>0</v>
      </c>
      <c r="Z31" s="130">
        <f>'HDD and CDD'!C318</f>
        <v>0</v>
      </c>
      <c r="AA31" s="250">
        <f t="shared" si="4"/>
        <v>-2.210526315788286E-2</v>
      </c>
    </row>
    <row r="32" spans="1:27" x14ac:dyDescent="0.2">
      <c r="A32" s="129" t="s">
        <v>80</v>
      </c>
      <c r="B32" s="130">
        <f>'HDD and CDD'!C31</f>
        <v>1.5</v>
      </c>
      <c r="C32" s="130">
        <f>'HDD and CDD'!C43</f>
        <v>6.9</v>
      </c>
      <c r="D32" s="130">
        <f>'HDD and CDD'!C55</f>
        <v>1.7</v>
      </c>
      <c r="E32" s="130">
        <f>'HDD and CDD'!C67</f>
        <v>10</v>
      </c>
      <c r="F32" s="130">
        <f>'HDD and CDD'!C79</f>
        <v>0</v>
      </c>
      <c r="G32" s="130">
        <f>'HDD and CDD'!C91</f>
        <v>16.8</v>
      </c>
      <c r="H32" s="130">
        <f>'HDD and CDD'!C103</f>
        <v>10.5</v>
      </c>
      <c r="I32" s="130">
        <f>'HDD and CDD'!C115</f>
        <v>18.7</v>
      </c>
      <c r="J32" s="130">
        <f>'HDD and CDD'!C127</f>
        <v>7.7</v>
      </c>
      <c r="K32" s="130">
        <f>'HDD and CDD'!C139</f>
        <v>5.3</v>
      </c>
      <c r="L32" s="130">
        <f>'HDD and CDD'!C151</f>
        <v>0</v>
      </c>
      <c r="M32" s="130">
        <f>'HDD and CDD'!C163</f>
        <v>6.7</v>
      </c>
      <c r="N32" s="130">
        <f>'HDD and CDD'!C175</f>
        <v>0</v>
      </c>
      <c r="O32" s="130">
        <f>'HDD and CDD'!C187</f>
        <v>17.7</v>
      </c>
      <c r="P32" s="130">
        <f>'HDD and CDD'!C199</f>
        <v>11.2</v>
      </c>
      <c r="Q32" s="130">
        <f>'HDD and CDD'!C211</f>
        <v>0.7</v>
      </c>
      <c r="R32" s="130">
        <f>'HDD and CDD'!C223</f>
        <v>2.2999999999999998</v>
      </c>
      <c r="S32" s="130">
        <f>'HDD and CDD'!C235</f>
        <v>21</v>
      </c>
      <c r="T32" s="130">
        <f>'HDD and CDD'!C247</f>
        <v>13.2</v>
      </c>
      <c r="U32" s="130">
        <f>'HDD and CDD'!C259</f>
        <v>18.2</v>
      </c>
      <c r="V32" s="130">
        <f>'HDD and CDD'!C271</f>
        <v>19.600000000000001</v>
      </c>
      <c r="W32" s="130">
        <f>'HDD and CDD'!C283</f>
        <v>5.7</v>
      </c>
      <c r="X32" s="130">
        <f>'HDD and CDD'!C295</f>
        <v>29.8</v>
      </c>
      <c r="Y32" s="130">
        <f>'HDD and CDD'!C307</f>
        <v>18.399999999999999</v>
      </c>
      <c r="Z32" s="130">
        <f>'HDD and CDD'!C319</f>
        <v>2.7</v>
      </c>
      <c r="AA32" s="250">
        <f t="shared" si="4"/>
        <v>14.639999999999873</v>
      </c>
    </row>
    <row r="33" spans="1:27" x14ac:dyDescent="0.2">
      <c r="A33" s="129" t="s">
        <v>128</v>
      </c>
      <c r="B33" s="130">
        <f>'HDD and CDD'!C32</f>
        <v>26.2</v>
      </c>
      <c r="C33" s="130">
        <f>'HDD and CDD'!C44</f>
        <v>61.6</v>
      </c>
      <c r="D33" s="130">
        <f>'HDD and CDD'!C56</f>
        <v>70.8</v>
      </c>
      <c r="E33" s="130">
        <f>'HDD and CDD'!C68</f>
        <v>38.6</v>
      </c>
      <c r="F33" s="130">
        <f>'HDD and CDD'!C80</f>
        <v>50.4</v>
      </c>
      <c r="G33" s="130">
        <f>'HDD and CDD'!C92</f>
        <v>63.7</v>
      </c>
      <c r="H33" s="130">
        <f>'HDD and CDD'!C104</f>
        <v>76.5</v>
      </c>
      <c r="I33" s="130">
        <f>'HDD and CDD'!C116</f>
        <v>35.4</v>
      </c>
      <c r="J33" s="130">
        <f>'HDD and CDD'!C128</f>
        <v>62.4</v>
      </c>
      <c r="K33" s="130">
        <f>'HDD and CDD'!C140</f>
        <v>54.5</v>
      </c>
      <c r="L33" s="130">
        <f>'HDD and CDD'!C152</f>
        <v>25.5</v>
      </c>
      <c r="M33" s="130">
        <f>'HDD and CDD'!C164</f>
        <v>16.3</v>
      </c>
      <c r="N33" s="130">
        <f>'HDD and CDD'!C176</f>
        <v>104.8</v>
      </c>
      <c r="O33" s="130">
        <f>'HDD and CDD'!C188</f>
        <v>32.200000000000003</v>
      </c>
      <c r="P33" s="130">
        <f>'HDD and CDD'!C200</f>
        <v>51.2</v>
      </c>
      <c r="Q33" s="130">
        <f>'HDD and CDD'!C212</f>
        <v>53</v>
      </c>
      <c r="R33" s="130">
        <f>'HDD and CDD'!C224</f>
        <v>26.2</v>
      </c>
      <c r="S33" s="130">
        <f>'HDD and CDD'!C236</f>
        <v>26.8</v>
      </c>
      <c r="T33" s="130">
        <f>'HDD and CDD'!C248</f>
        <v>21.6</v>
      </c>
      <c r="U33" s="130">
        <f>'HDD and CDD'!C260</f>
        <v>61.2</v>
      </c>
      <c r="V33" s="130">
        <f>'HDD and CDD'!C272</f>
        <v>31.3</v>
      </c>
      <c r="W33" s="130">
        <f>'HDD and CDD'!C284</f>
        <v>44.3</v>
      </c>
      <c r="X33" s="130">
        <f>'HDD and CDD'!C296</f>
        <v>15</v>
      </c>
      <c r="Y33" s="130">
        <f>'HDD and CDD'!C308</f>
        <v>34.300000000000004</v>
      </c>
      <c r="Z33" s="130">
        <f>'HDD and CDD'!C320</f>
        <v>43</v>
      </c>
      <c r="AA33" s="250">
        <f t="shared" si="4"/>
        <v>28.525789473684199</v>
      </c>
    </row>
    <row r="34" spans="1:27" x14ac:dyDescent="0.2">
      <c r="A34" s="129" t="s">
        <v>129</v>
      </c>
      <c r="B34" s="130">
        <f>'HDD and CDD'!C33</f>
        <v>97.1</v>
      </c>
      <c r="C34" s="130">
        <f>'HDD and CDD'!C45</f>
        <v>77.7</v>
      </c>
      <c r="D34" s="130">
        <f>'HDD and CDD'!C57</f>
        <v>105.9</v>
      </c>
      <c r="E34" s="130">
        <f>'HDD and CDD'!C69</f>
        <v>41.9</v>
      </c>
      <c r="F34" s="130">
        <f>'HDD and CDD'!C81</f>
        <v>59.8</v>
      </c>
      <c r="G34" s="130">
        <f>'HDD and CDD'!C93</f>
        <v>64.8</v>
      </c>
      <c r="H34" s="130">
        <f>'HDD and CDD'!C105</f>
        <v>138.9</v>
      </c>
      <c r="I34" s="130">
        <f>'HDD and CDD'!C117</f>
        <v>44.8</v>
      </c>
      <c r="J34" s="130">
        <f>'HDD and CDD'!C129</f>
        <v>65.7</v>
      </c>
      <c r="K34" s="130">
        <f>'HDD and CDD'!C141</f>
        <v>129</v>
      </c>
      <c r="L34" s="130">
        <f>'HDD and CDD'!C153</f>
        <v>50.1</v>
      </c>
      <c r="M34" s="130">
        <f>'HDD and CDD'!C165</f>
        <v>49.3</v>
      </c>
      <c r="N34" s="130">
        <f>'HDD and CDD'!C177</f>
        <v>105.4</v>
      </c>
      <c r="O34" s="130">
        <f>'HDD and CDD'!C189</f>
        <v>117.2</v>
      </c>
      <c r="P34" s="130">
        <f>'HDD and CDD'!C201</f>
        <v>53.8</v>
      </c>
      <c r="Q34" s="130">
        <f>'HDD and CDD'!C213</f>
        <v>75.8</v>
      </c>
      <c r="R34" s="130">
        <f>'HDD and CDD'!C225</f>
        <v>14.5</v>
      </c>
      <c r="S34" s="130">
        <f>'HDD and CDD'!C237</f>
        <v>100.6</v>
      </c>
      <c r="T34" s="130">
        <f>'HDD and CDD'!C249</f>
        <v>128.19999999999999</v>
      </c>
      <c r="U34" s="130">
        <f>'HDD and CDD'!C261</f>
        <v>116.4</v>
      </c>
      <c r="V34" s="130">
        <f>'HDD and CDD'!C273</f>
        <v>85.9</v>
      </c>
      <c r="W34" s="130">
        <f>'HDD and CDD'!C285</f>
        <v>31.500000000000004</v>
      </c>
      <c r="X34" s="130">
        <f>'HDD and CDD'!C297</f>
        <v>57.70000000000001</v>
      </c>
      <c r="Y34" s="130">
        <f>'HDD and CDD'!C309</f>
        <v>101.2</v>
      </c>
      <c r="Z34" s="130">
        <f>'HDD and CDD'!C321</f>
        <v>58.500000000000007</v>
      </c>
      <c r="AA34" s="250">
        <f t="shared" si="4"/>
        <v>74.357894736842013</v>
      </c>
    </row>
    <row r="35" spans="1:27" x14ac:dyDescent="0.2">
      <c r="A35" s="129" t="s">
        <v>130</v>
      </c>
      <c r="B35" s="130">
        <f>'HDD and CDD'!C34</f>
        <v>93.8</v>
      </c>
      <c r="C35" s="130">
        <f>'HDD and CDD'!C46</f>
        <v>27.3</v>
      </c>
      <c r="D35" s="130">
        <f>'HDD and CDD'!C58</f>
        <v>101.9</v>
      </c>
      <c r="E35" s="130">
        <f>'HDD and CDD'!C70</f>
        <v>55.2</v>
      </c>
      <c r="F35" s="130">
        <f>'HDD and CDD'!C82</f>
        <v>21.9</v>
      </c>
      <c r="G35" s="130">
        <f>'HDD and CDD'!C94</f>
        <v>83.1</v>
      </c>
      <c r="H35" s="130">
        <f>'HDD and CDD'!C106</f>
        <v>30.9</v>
      </c>
      <c r="I35" s="130">
        <f>'HDD and CDD'!C118</f>
        <v>46.3</v>
      </c>
      <c r="J35" s="130">
        <f>'HDD and CDD'!C130</f>
        <v>94.2</v>
      </c>
      <c r="K35" s="130">
        <f>'HDD and CDD'!C142</f>
        <v>72.3</v>
      </c>
      <c r="L35" s="130">
        <f>'HDD and CDD'!C154</f>
        <v>72.400000000000006</v>
      </c>
      <c r="M35" s="130">
        <f>'HDD and CDD'!C166</f>
        <v>30.6</v>
      </c>
      <c r="N35" s="130">
        <f>'HDD and CDD'!C178</f>
        <v>67.900000000000006</v>
      </c>
      <c r="O35" s="130">
        <f>'HDD and CDD'!C190</f>
        <v>45.5</v>
      </c>
      <c r="P35" s="130">
        <f>'HDD and CDD'!C202</f>
        <v>65.099999999999994</v>
      </c>
      <c r="Q35" s="130">
        <f>'HDD and CDD'!C214</f>
        <v>29.5</v>
      </c>
      <c r="R35" s="130">
        <f>'HDD and CDD'!C226</f>
        <v>57.3</v>
      </c>
      <c r="S35" s="130">
        <f>'HDD and CDD'!C238</f>
        <v>79.2</v>
      </c>
      <c r="T35" s="130">
        <f>'HDD and CDD'!C250</f>
        <v>54.3</v>
      </c>
      <c r="U35" s="130">
        <f>'HDD and CDD'!C262</f>
        <v>58.1</v>
      </c>
      <c r="V35" s="130">
        <f>'HDD and CDD'!C274</f>
        <v>42.1</v>
      </c>
      <c r="W35" s="130">
        <f>'HDD and CDD'!C286</f>
        <v>24.500000000000004</v>
      </c>
      <c r="X35" s="130">
        <f>'HDD and CDD'!C298</f>
        <v>47.899999999999991</v>
      </c>
      <c r="Y35" s="130">
        <f>'HDD and CDD'!C310</f>
        <v>105</v>
      </c>
      <c r="Z35" s="130">
        <f>'HDD and CDD'!C322</f>
        <v>28.6</v>
      </c>
      <c r="AA35" s="250">
        <f t="shared" si="4"/>
        <v>49.661578947368298</v>
      </c>
    </row>
    <row r="36" spans="1:27" x14ac:dyDescent="0.2">
      <c r="A36" s="129" t="s">
        <v>131</v>
      </c>
      <c r="B36" s="130">
        <f>'HDD and CDD'!C35</f>
        <v>4</v>
      </c>
      <c r="C36" s="130">
        <f>'HDD and CDD'!C47</f>
        <v>7.5</v>
      </c>
      <c r="D36" s="130">
        <f>'HDD and CDD'!C59</f>
        <v>10.8</v>
      </c>
      <c r="E36" s="130">
        <f>'HDD and CDD'!C71</f>
        <v>12.6</v>
      </c>
      <c r="F36" s="130">
        <f>'HDD and CDD'!C83</f>
        <v>5.4</v>
      </c>
      <c r="G36" s="130">
        <f>'HDD and CDD'!C95</f>
        <v>26</v>
      </c>
      <c r="H36" s="130">
        <f>'HDD and CDD'!C107</f>
        <v>27.7</v>
      </c>
      <c r="I36" s="130">
        <f>'HDD and CDD'!C119</f>
        <v>23.8</v>
      </c>
      <c r="J36" s="130">
        <f>'HDD and CDD'!C131</f>
        <v>19.2</v>
      </c>
      <c r="K36" s="130">
        <f>'HDD and CDD'!C143</f>
        <v>47</v>
      </c>
      <c r="L36" s="130">
        <f>'HDD and CDD'!C155</f>
        <v>6</v>
      </c>
      <c r="M36" s="130">
        <f>'HDD and CDD'!C167</f>
        <v>13.7</v>
      </c>
      <c r="N36" s="130">
        <f>'HDD and CDD'!C179</f>
        <v>13.7</v>
      </c>
      <c r="O36" s="130">
        <f>'HDD and CDD'!C191</f>
        <v>2.2999999999999998</v>
      </c>
      <c r="P36" s="130">
        <f>'HDD and CDD'!C203</f>
        <v>28</v>
      </c>
      <c r="Q36" s="130">
        <f>'HDD and CDD'!C215</f>
        <v>12</v>
      </c>
      <c r="R36" s="130">
        <f>'HDD and CDD'!C227</f>
        <v>5.5</v>
      </c>
      <c r="S36" s="130">
        <f>'HDD and CDD'!C239</f>
        <v>16.7</v>
      </c>
      <c r="T36" s="130">
        <f>'HDD and CDD'!C251</f>
        <v>17.2</v>
      </c>
      <c r="U36" s="130">
        <f>'HDD and CDD'!C263</f>
        <v>16.399999999999999</v>
      </c>
      <c r="V36" s="130">
        <f>'HDD and CDD'!C275</f>
        <v>20.5</v>
      </c>
      <c r="W36" s="130">
        <f>'HDD and CDD'!C287</f>
        <v>11.4</v>
      </c>
      <c r="X36" s="130">
        <f>'HDD and CDD'!C299</f>
        <v>45.300000000000004</v>
      </c>
      <c r="Y36" s="130">
        <f>'HDD and CDD'!C311</f>
        <v>26.6</v>
      </c>
      <c r="Z36" s="130">
        <f>'HDD and CDD'!C323</f>
        <v>36.299999999999997</v>
      </c>
      <c r="AA36" s="250">
        <f t="shared" si="4"/>
        <v>22.606842105263183</v>
      </c>
    </row>
    <row r="37" spans="1:27" x14ac:dyDescent="0.2">
      <c r="A37" s="129" t="s">
        <v>132</v>
      </c>
      <c r="B37" s="130">
        <f>'HDD and CDD'!C36</f>
        <v>1</v>
      </c>
      <c r="C37" s="130">
        <f>'HDD and CDD'!C48</f>
        <v>0</v>
      </c>
      <c r="D37" s="130">
        <f>'HDD and CDD'!C60</f>
        <v>0</v>
      </c>
      <c r="E37" s="130">
        <f>'HDD and CDD'!C72</f>
        <v>0</v>
      </c>
      <c r="F37" s="130">
        <f>'HDD and CDD'!C84</f>
        <v>1.6</v>
      </c>
      <c r="G37" s="130">
        <f>'HDD and CDD'!C96</f>
        <v>0</v>
      </c>
      <c r="H37" s="130">
        <f>'HDD and CDD'!C108</f>
        <v>0</v>
      </c>
      <c r="I37" s="130">
        <f>'HDD and CDD'!C120</f>
        <v>0</v>
      </c>
      <c r="J37" s="130">
        <f>'HDD and CDD'!C132</f>
        <v>0</v>
      </c>
      <c r="K37" s="130">
        <f>'HDD and CDD'!C144</f>
        <v>6.3</v>
      </c>
      <c r="L37" s="130">
        <f>'HDD and CDD'!C156</f>
        <v>0</v>
      </c>
      <c r="M37" s="130">
        <f>'HDD and CDD'!C168</f>
        <v>0</v>
      </c>
      <c r="N37" s="130">
        <f>'HDD and CDD'!C180</f>
        <v>2.6</v>
      </c>
      <c r="O37" s="130">
        <f>'HDD and CDD'!C192</f>
        <v>0</v>
      </c>
      <c r="P37" s="130">
        <f>'HDD and CDD'!C204</f>
        <v>10.9</v>
      </c>
      <c r="Q37" s="130">
        <f>'HDD and CDD'!C216</f>
        <v>0</v>
      </c>
      <c r="R37" s="130">
        <f>'HDD and CDD'!C228</f>
        <v>0</v>
      </c>
      <c r="S37" s="130">
        <f>'HDD and CDD'!C240</f>
        <v>0</v>
      </c>
      <c r="T37" s="130">
        <f>'HDD and CDD'!C252</f>
        <v>0</v>
      </c>
      <c r="U37" s="130">
        <f>'HDD and CDD'!C264</f>
        <v>0</v>
      </c>
      <c r="V37" s="130">
        <f>'HDD and CDD'!C276</f>
        <v>0</v>
      </c>
      <c r="W37" s="130">
        <f>'HDD and CDD'!C288</f>
        <v>0</v>
      </c>
      <c r="X37" s="130">
        <f>'HDD and CDD'!C300</f>
        <v>0</v>
      </c>
      <c r="Y37" s="130">
        <f>'HDD and CDD'!C312</f>
        <v>1.9</v>
      </c>
      <c r="Z37" s="130">
        <f>'HDD and CDD'!C324</f>
        <v>3.2</v>
      </c>
      <c r="AA37" s="250">
        <f t="shared" si="4"/>
        <v>1.2442105263157892</v>
      </c>
    </row>
    <row r="38" spans="1:27" x14ac:dyDescent="0.2">
      <c r="A38" s="129" t="s">
        <v>133</v>
      </c>
      <c r="B38" s="130">
        <f>'HDD and CDD'!C37</f>
        <v>0</v>
      </c>
      <c r="C38" s="130">
        <f>'HDD and CDD'!C49</f>
        <v>0</v>
      </c>
      <c r="D38" s="130">
        <f>'HDD and CDD'!C61</f>
        <v>0</v>
      </c>
      <c r="E38" s="130">
        <f>'HDD and CDD'!C73</f>
        <v>0</v>
      </c>
      <c r="F38" s="130">
        <f>'HDD and CDD'!C85</f>
        <v>0</v>
      </c>
      <c r="G38" s="130">
        <f>'HDD and CDD'!C97</f>
        <v>0</v>
      </c>
      <c r="H38" s="130">
        <f>'HDD and CDD'!C109</f>
        <v>0</v>
      </c>
      <c r="I38" s="130">
        <f>'HDD and CDD'!C121</f>
        <v>0</v>
      </c>
      <c r="J38" s="130">
        <f>'HDD and CDD'!C133</f>
        <v>0</v>
      </c>
      <c r="K38" s="130">
        <f>'HDD and CDD'!C145</f>
        <v>0</v>
      </c>
      <c r="L38" s="130">
        <f>'HDD and CDD'!C157</f>
        <v>0</v>
      </c>
      <c r="M38" s="130">
        <f>'HDD and CDD'!C169</f>
        <v>0</v>
      </c>
      <c r="N38" s="130">
        <f>'HDD and CDD'!C181</f>
        <v>0</v>
      </c>
      <c r="O38" s="130">
        <f>'HDD and CDD'!C193</f>
        <v>0</v>
      </c>
      <c r="P38" s="130">
        <f>'HDD and CDD'!C205</f>
        <v>0</v>
      </c>
      <c r="Q38" s="130">
        <f>'HDD and CDD'!C217</f>
        <v>0</v>
      </c>
      <c r="R38" s="130">
        <f>'HDD and CDD'!C229</f>
        <v>0</v>
      </c>
      <c r="S38" s="130">
        <f>'HDD and CDD'!C241</f>
        <v>0</v>
      </c>
      <c r="T38" s="130">
        <f>'HDD and CDD'!C253</f>
        <v>0</v>
      </c>
      <c r="U38" s="130">
        <f>'HDD and CDD'!C265</f>
        <v>0</v>
      </c>
      <c r="V38" s="130">
        <f>'HDD and CDD'!C277</f>
        <v>0</v>
      </c>
      <c r="W38" s="130">
        <f>'HDD and CDD'!C289</f>
        <v>0</v>
      </c>
      <c r="X38" s="130">
        <f>'HDD and CDD'!C301</f>
        <v>0</v>
      </c>
      <c r="Y38" s="130">
        <f>'HDD and CDD'!C313</f>
        <v>0</v>
      </c>
      <c r="Z38" s="130">
        <f>'HDD and CDD'!C325</f>
        <v>0</v>
      </c>
      <c r="AA38" s="250">
        <f t="shared" si="4"/>
        <v>0</v>
      </c>
    </row>
    <row r="39" spans="1:27" x14ac:dyDescent="0.2">
      <c r="A39" s="129" t="s">
        <v>134</v>
      </c>
      <c r="B39" s="130">
        <f>'HDD and CDD'!C38</f>
        <v>0</v>
      </c>
      <c r="C39" s="130">
        <f>'HDD and CDD'!C50</f>
        <v>0</v>
      </c>
      <c r="D39" s="130">
        <f>'HDD and CDD'!C62</f>
        <v>0</v>
      </c>
      <c r="E39" s="130">
        <f>'HDD and CDD'!C74</f>
        <v>0</v>
      </c>
      <c r="F39" s="130">
        <f>'HDD and CDD'!C86</f>
        <v>0</v>
      </c>
      <c r="G39" s="130">
        <f>'HDD and CDD'!C98</f>
        <v>0</v>
      </c>
      <c r="H39" s="130">
        <f>'HDD and CDD'!C110</f>
        <v>0</v>
      </c>
      <c r="I39" s="130">
        <f>'HDD and CDD'!C122</f>
        <v>0</v>
      </c>
      <c r="J39" s="130">
        <f>'HDD and CDD'!C134</f>
        <v>0</v>
      </c>
      <c r="K39" s="130">
        <f>'HDD and CDD'!C146</f>
        <v>0</v>
      </c>
      <c r="L39" s="130">
        <f>'HDD and CDD'!C158</f>
        <v>0</v>
      </c>
      <c r="M39" s="130">
        <f>'HDD and CDD'!C170</f>
        <v>0</v>
      </c>
      <c r="N39" s="130">
        <f>'HDD and CDD'!C182</f>
        <v>0</v>
      </c>
      <c r="O39" s="130">
        <f>'HDD and CDD'!C194</f>
        <v>0</v>
      </c>
      <c r="P39" s="130">
        <f>'HDD and CDD'!C206</f>
        <v>0</v>
      </c>
      <c r="Q39" s="130">
        <f>'HDD and CDD'!C218</f>
        <v>0</v>
      </c>
      <c r="R39" s="130">
        <f>'HDD and CDD'!C230</f>
        <v>0</v>
      </c>
      <c r="S39" s="130">
        <f>'HDD and CDD'!C242</f>
        <v>0</v>
      </c>
      <c r="T39" s="130">
        <f>'HDD and CDD'!C254</f>
        <v>0</v>
      </c>
      <c r="U39" s="130">
        <f>'HDD and CDD'!C266</f>
        <v>0</v>
      </c>
      <c r="V39" s="130">
        <f>'HDD and CDD'!C278</f>
        <v>0</v>
      </c>
      <c r="W39" s="130">
        <f>'HDD and CDD'!C290</f>
        <v>0</v>
      </c>
      <c r="X39" s="130">
        <f>'HDD and CDD'!C302</f>
        <v>0</v>
      </c>
      <c r="Y39" s="130">
        <f>'HDD and CDD'!C314</f>
        <v>0</v>
      </c>
      <c r="Z39" s="130">
        <f>'HDD and CDD'!C326</f>
        <v>0</v>
      </c>
      <c r="AA39" s="250">
        <f t="shared" si="4"/>
        <v>0</v>
      </c>
    </row>
    <row r="40" spans="1:27" x14ac:dyDescent="0.2">
      <c r="A40" s="129"/>
      <c r="B40" s="129"/>
      <c r="C40" s="129"/>
      <c r="D40" s="129"/>
      <c r="E40" s="129"/>
      <c r="F40" s="129"/>
      <c r="G40" s="125"/>
      <c r="H40" s="125"/>
      <c r="Q40" s="129"/>
      <c r="R40" s="129"/>
      <c r="S40" s="129"/>
      <c r="T40" s="129"/>
      <c r="U40" s="129"/>
    </row>
    <row r="41" spans="1:27" x14ac:dyDescent="0.2">
      <c r="A41" s="129" t="s">
        <v>12</v>
      </c>
      <c r="B41" s="130">
        <f t="shared" ref="B41:Z41" si="5">SUM(B28:B39)</f>
        <v>223.6</v>
      </c>
      <c r="C41" s="130">
        <f t="shared" si="5"/>
        <v>181</v>
      </c>
      <c r="D41" s="130">
        <f t="shared" si="5"/>
        <v>291.10000000000002</v>
      </c>
      <c r="E41" s="130">
        <f t="shared" si="5"/>
        <v>158.29999999999998</v>
      </c>
      <c r="F41" s="130">
        <f t="shared" si="5"/>
        <v>139.1</v>
      </c>
      <c r="G41" s="130">
        <f t="shared" si="5"/>
        <v>254.4</v>
      </c>
      <c r="H41" s="130">
        <f t="shared" si="5"/>
        <v>284.5</v>
      </c>
      <c r="I41" s="130">
        <f t="shared" si="5"/>
        <v>169</v>
      </c>
      <c r="J41" s="130">
        <f t="shared" si="5"/>
        <v>249.2</v>
      </c>
      <c r="K41" s="130">
        <f t="shared" si="5"/>
        <v>321</v>
      </c>
      <c r="L41" s="130">
        <f t="shared" si="5"/>
        <v>154.69999999999999</v>
      </c>
      <c r="M41" s="130">
        <f t="shared" si="5"/>
        <v>116.60000000000001</v>
      </c>
      <c r="N41" s="130">
        <f t="shared" si="5"/>
        <v>294.40000000000003</v>
      </c>
      <c r="O41" s="130">
        <f t="shared" si="5"/>
        <v>214.90000000000003</v>
      </c>
      <c r="P41" s="130">
        <f t="shared" si="5"/>
        <v>220.20000000000002</v>
      </c>
      <c r="Q41" s="130">
        <f t="shared" si="5"/>
        <v>171</v>
      </c>
      <c r="R41" s="130">
        <f t="shared" si="5"/>
        <v>109</v>
      </c>
      <c r="S41" s="130">
        <f t="shared" si="5"/>
        <v>244.29999999999995</v>
      </c>
      <c r="T41" s="130">
        <f t="shared" si="5"/>
        <v>234.5</v>
      </c>
      <c r="U41" s="130">
        <f t="shared" si="5"/>
        <v>270.3</v>
      </c>
      <c r="V41" s="130">
        <f t="shared" si="5"/>
        <v>199.4</v>
      </c>
      <c r="W41" s="130">
        <f t="shared" si="5"/>
        <v>117.4</v>
      </c>
      <c r="X41" s="130">
        <f t="shared" si="5"/>
        <v>195.7</v>
      </c>
      <c r="Y41" s="130">
        <f t="shared" si="5"/>
        <v>287.39999999999998</v>
      </c>
      <c r="Z41" s="130">
        <f t="shared" si="5"/>
        <v>172.3</v>
      </c>
      <c r="AA41" s="252"/>
    </row>
    <row r="42" spans="1:27" x14ac:dyDescent="0.2">
      <c r="A42" s="129"/>
      <c r="B42" s="129"/>
      <c r="C42" s="129"/>
      <c r="D42" s="129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U42" s="131"/>
    </row>
    <row r="43" spans="1:27" x14ac:dyDescent="0.2">
      <c r="A43" s="129"/>
      <c r="B43" s="129"/>
      <c r="C43" s="129"/>
      <c r="D43" s="129"/>
      <c r="E43" s="125"/>
      <c r="F43" s="125"/>
      <c r="G43" s="125"/>
      <c r="H43" s="125"/>
    </row>
    <row r="44" spans="1:27" x14ac:dyDescent="0.2">
      <c r="A44" s="124"/>
      <c r="B44" s="124"/>
      <c r="C44" s="124"/>
      <c r="D44" s="124"/>
      <c r="E44" s="125"/>
      <c r="F44" s="125"/>
    </row>
  </sheetData>
  <mergeCells count="1">
    <mergeCell ref="D1:E1"/>
  </mergeCells>
  <pageMargins left="0.5" right="0.5" top="0.75" bottom="0.75" header="0.5" footer="0.5"/>
  <pageSetup paperSize="5" scale="72" orientation="landscape" r:id="rId1"/>
  <headerFooter alignWithMargins="0">
    <oddFooter>&amp;L&amp;8&amp;D
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4"/>
  <sheetViews>
    <sheetView topLeftCell="A94" workbookViewId="0"/>
  </sheetViews>
  <sheetFormatPr defaultRowHeight="12.75" x14ac:dyDescent="0.2"/>
  <cols>
    <col min="1" max="1" width="1.28515625" customWidth="1"/>
    <col min="2" max="2" width="40.5703125" customWidth="1"/>
    <col min="3" max="3" width="18.85546875" customWidth="1"/>
    <col min="4" max="4" width="10.28515625" bestFit="1" customWidth="1"/>
    <col min="5" max="5" width="13.42578125" bestFit="1" customWidth="1"/>
    <col min="6" max="6" width="9.28515625" bestFit="1" customWidth="1"/>
    <col min="7" max="7" width="11.7109375" bestFit="1" customWidth="1"/>
    <col min="9" max="9" width="9.140625" customWidth="1"/>
    <col min="10" max="10" width="12.7109375" bestFit="1" customWidth="1"/>
  </cols>
  <sheetData>
    <row r="2" spans="2:12" ht="13.5" thickBot="1" x14ac:dyDescent="0.25"/>
    <row r="3" spans="2:12" ht="13.5" thickBot="1" x14ac:dyDescent="0.25">
      <c r="B3" s="488" t="s">
        <v>186</v>
      </c>
      <c r="C3" s="489"/>
      <c r="D3" s="489"/>
      <c r="E3" s="490"/>
    </row>
    <row r="4" spans="2:12" x14ac:dyDescent="0.2">
      <c r="B4" s="147" t="s">
        <v>187</v>
      </c>
      <c r="C4" s="68" t="s">
        <v>89</v>
      </c>
      <c r="D4" s="68" t="s">
        <v>90</v>
      </c>
      <c r="E4" s="68" t="s">
        <v>185</v>
      </c>
    </row>
    <row r="5" spans="2:12" x14ac:dyDescent="0.2">
      <c r="B5" s="80" t="s">
        <v>1</v>
      </c>
      <c r="C5" s="81">
        <f>Summary!J17</f>
        <v>462090269.53014374</v>
      </c>
      <c r="D5" s="82"/>
      <c r="E5" s="134">
        <v>0.9224</v>
      </c>
      <c r="I5" s="133"/>
      <c r="J5" s="58"/>
      <c r="K5" s="58"/>
      <c r="L5" s="58"/>
    </row>
    <row r="6" spans="2:12" x14ac:dyDescent="0.2">
      <c r="B6" s="80" t="s">
        <v>138</v>
      </c>
      <c r="C6" s="81">
        <f>Summary!J21</f>
        <v>190021845.86862719</v>
      </c>
      <c r="D6" s="82"/>
      <c r="E6" s="134">
        <v>0.85560000000000003</v>
      </c>
      <c r="I6" s="133"/>
      <c r="J6" s="58"/>
      <c r="K6" s="58"/>
      <c r="L6" s="58"/>
    </row>
    <row r="7" spans="2:12" x14ac:dyDescent="0.2">
      <c r="B7" s="80" t="s">
        <v>139</v>
      </c>
      <c r="C7" s="81">
        <f>Summary!J25</f>
        <v>492875293.95718992</v>
      </c>
      <c r="D7" s="83">
        <f>Summary!J26</f>
        <v>1555494.9738878242</v>
      </c>
      <c r="E7" s="134">
        <v>0.32790000000000002</v>
      </c>
      <c r="I7" s="133"/>
      <c r="J7" s="58"/>
      <c r="K7" s="58"/>
      <c r="L7" s="58"/>
    </row>
    <row r="8" spans="2:12" x14ac:dyDescent="0.2">
      <c r="B8" s="80" t="s">
        <v>140</v>
      </c>
      <c r="C8" s="81">
        <f>Summary!J30</f>
        <v>235543174.07176879</v>
      </c>
      <c r="D8" s="83">
        <f>Summary!J31</f>
        <v>552800.52702529693</v>
      </c>
      <c r="E8" s="134">
        <v>0</v>
      </c>
      <c r="I8" s="133"/>
      <c r="J8" s="58"/>
      <c r="K8" s="58"/>
      <c r="L8" s="58"/>
    </row>
    <row r="9" spans="2:12" x14ac:dyDescent="0.2">
      <c r="B9" s="80" t="s">
        <v>113</v>
      </c>
      <c r="C9" s="81">
        <f>Summary!J35</f>
        <v>145628457.4468382</v>
      </c>
      <c r="D9" s="83">
        <f>Summary!J36</f>
        <v>331944.32251332153</v>
      </c>
      <c r="E9" s="134">
        <v>0</v>
      </c>
      <c r="I9" s="133"/>
      <c r="J9" s="58"/>
      <c r="K9" s="58"/>
      <c r="L9" s="58"/>
    </row>
    <row r="10" spans="2:12" x14ac:dyDescent="0.2">
      <c r="B10" s="80" t="s">
        <v>66</v>
      </c>
      <c r="C10" s="81">
        <f>Summary!J44</f>
        <v>5151174.2704671035</v>
      </c>
      <c r="D10" s="83">
        <f>Summary!J45</f>
        <v>14844.081169277064</v>
      </c>
      <c r="E10" s="134">
        <v>0</v>
      </c>
      <c r="I10" s="133"/>
      <c r="J10" s="58"/>
      <c r="K10" s="58"/>
      <c r="L10" s="58"/>
    </row>
    <row r="11" spans="2:12" x14ac:dyDescent="0.2">
      <c r="B11" s="80" t="str">
        <f>Summary!A47</f>
        <v>Sentinel Lights</v>
      </c>
      <c r="C11" s="81">
        <f>Summary!J49</f>
        <v>126989.00000000001</v>
      </c>
      <c r="D11" s="83">
        <f>Summary!J50</f>
        <v>342.92000000000007</v>
      </c>
      <c r="E11" s="134">
        <v>0</v>
      </c>
      <c r="I11" s="133"/>
      <c r="J11" s="58"/>
      <c r="K11" s="58"/>
      <c r="L11" s="58"/>
    </row>
    <row r="12" spans="2:12" x14ac:dyDescent="0.2">
      <c r="B12" s="80" t="s">
        <v>2</v>
      </c>
      <c r="C12" s="81">
        <f>Summary!J54</f>
        <v>2273987.9970972422</v>
      </c>
      <c r="D12" s="83"/>
      <c r="E12" s="134">
        <v>0.998</v>
      </c>
      <c r="I12" s="133"/>
      <c r="J12" s="58"/>
      <c r="K12" s="58"/>
      <c r="L12" s="58"/>
    </row>
    <row r="13" spans="2:12" x14ac:dyDescent="0.2">
      <c r="B13" s="80" t="str">
        <f>Summary!A56</f>
        <v>Embedded Distributor - Hydro One, CND</v>
      </c>
      <c r="C13" s="81">
        <f>Summary!J58</f>
        <v>12605162.219999999</v>
      </c>
      <c r="D13" s="83">
        <f>Summary!J59</f>
        <v>24387.435638304029</v>
      </c>
      <c r="E13" s="134">
        <v>0</v>
      </c>
      <c r="I13" s="133"/>
      <c r="J13" s="58"/>
      <c r="K13" s="58"/>
      <c r="L13" s="58"/>
    </row>
    <row r="14" spans="2:12" x14ac:dyDescent="0.2">
      <c r="B14" s="80" t="str">
        <f>Summary!A61</f>
        <v>Embedded Distributor - Waterloo North, CND</v>
      </c>
      <c r="C14" s="81">
        <f>Summary!J63</f>
        <v>58104381.490000002</v>
      </c>
      <c r="D14" s="83">
        <f>Summary!J64</f>
        <v>114656.88436169598</v>
      </c>
      <c r="E14" s="134">
        <v>0</v>
      </c>
      <c r="I14" s="133"/>
      <c r="J14" s="58"/>
      <c r="K14" s="58"/>
      <c r="L14" s="58"/>
    </row>
    <row r="15" spans="2:12" x14ac:dyDescent="0.2">
      <c r="B15" s="80" t="str">
        <f>Summary!A66</f>
        <v>Embedded Distributor - Brantford Power, BCP</v>
      </c>
      <c r="C15" s="81">
        <f>Summary!J68</f>
        <v>347756.59287776717</v>
      </c>
      <c r="D15" s="83">
        <f>Summary!J69</f>
        <v>1074.96</v>
      </c>
      <c r="E15" s="134">
        <v>0</v>
      </c>
    </row>
    <row r="16" spans="2:12" x14ac:dyDescent="0.2">
      <c r="B16" s="80" t="str">
        <f>Summary!A71</f>
        <v>Embedded Distributor - Hydro One #1, BCP</v>
      </c>
      <c r="C16" s="81">
        <f>Summary!J73</f>
        <v>12191720.381133871</v>
      </c>
      <c r="D16" s="83">
        <f>Summary!J74</f>
        <v>29994.605248481424</v>
      </c>
      <c r="E16" s="134">
        <v>0</v>
      </c>
    </row>
    <row r="17" spans="2:15" x14ac:dyDescent="0.2">
      <c r="B17" s="80" t="str">
        <f>Summary!A76</f>
        <v>Embedded Distributor - Hydro One #2, BCP</v>
      </c>
      <c r="C17" s="81">
        <f>Summary!J78</f>
        <v>43274121.534063838</v>
      </c>
      <c r="D17" s="83">
        <f>Summary!J79</f>
        <v>102972.90667387019</v>
      </c>
      <c r="E17" s="134">
        <v>0</v>
      </c>
    </row>
    <row r="18" spans="2:15" x14ac:dyDescent="0.2">
      <c r="B18" s="84" t="s">
        <v>91</v>
      </c>
      <c r="C18" s="85">
        <f>SUM(C5:C17)</f>
        <v>1660234334.3602076</v>
      </c>
      <c r="D18" s="85">
        <f>SUM(D5:D17)</f>
        <v>2728513.6165180709</v>
      </c>
      <c r="E18" s="85"/>
      <c r="J18" s="55"/>
      <c r="K18" s="55"/>
      <c r="L18" s="55"/>
      <c r="M18" s="241"/>
    </row>
    <row r="19" spans="2:15" x14ac:dyDescent="0.2">
      <c r="C19" s="55"/>
      <c r="D19" s="55"/>
    </row>
    <row r="21" spans="2:15" x14ac:dyDescent="0.2">
      <c r="B21" s="135" t="s">
        <v>92</v>
      </c>
      <c r="C21" s="491" t="s">
        <v>188</v>
      </c>
      <c r="D21" s="493" t="s">
        <v>189</v>
      </c>
      <c r="E21" s="495">
        <v>2018</v>
      </c>
      <c r="F21" s="496"/>
      <c r="G21" s="497"/>
    </row>
    <row r="22" spans="2:15" x14ac:dyDescent="0.2">
      <c r="B22" s="136" t="s">
        <v>93</v>
      </c>
      <c r="C22" s="492"/>
      <c r="D22" s="494"/>
      <c r="E22" s="483"/>
      <c r="F22" s="484"/>
      <c r="G22" s="485"/>
    </row>
    <row r="23" spans="2:15" ht="15" x14ac:dyDescent="0.25">
      <c r="B23" s="60" t="str">
        <f>B5</f>
        <v xml:space="preserve">Residential </v>
      </c>
      <c r="C23" s="81">
        <f>C5*E5</f>
        <v>426232064.61460459</v>
      </c>
      <c r="D23" s="87"/>
      <c r="E23" s="88">
        <f t="shared" ref="E23:E35" si="0">C23*D23</f>
        <v>0</v>
      </c>
      <c r="F23" s="149"/>
      <c r="G23" s="90">
        <f t="shared" ref="G23:G35" si="1">E23*F23</f>
        <v>0</v>
      </c>
      <c r="J23" s="150" t="s">
        <v>137</v>
      </c>
      <c r="K23" s="150"/>
      <c r="L23" s="150"/>
      <c r="M23" s="151" t="s">
        <v>137</v>
      </c>
      <c r="N23" s="152" t="s">
        <v>137</v>
      </c>
      <c r="O23" s="150" t="s">
        <v>137</v>
      </c>
    </row>
    <row r="24" spans="2:15" ht="15" x14ac:dyDescent="0.25">
      <c r="B24" s="60" t="str">
        <f t="shared" ref="B24:B35" si="2">B6</f>
        <v>General Service &lt; 50 kW</v>
      </c>
      <c r="C24" s="81">
        <f t="shared" ref="C24:C35" si="3">C6*E6</f>
        <v>162582691.32519743</v>
      </c>
      <c r="D24" s="87"/>
      <c r="E24" s="88">
        <f t="shared" si="0"/>
        <v>0</v>
      </c>
      <c r="F24" s="149"/>
      <c r="G24" s="90">
        <f t="shared" si="1"/>
        <v>0</v>
      </c>
      <c r="J24" s="150" t="s">
        <v>137</v>
      </c>
      <c r="K24" s="150"/>
      <c r="L24" s="150"/>
      <c r="M24" s="151" t="s">
        <v>137</v>
      </c>
      <c r="N24" s="152" t="s">
        <v>137</v>
      </c>
      <c r="O24" s="150" t="s">
        <v>137</v>
      </c>
    </row>
    <row r="25" spans="2:15" ht="15" x14ac:dyDescent="0.25">
      <c r="B25" s="60" t="str">
        <f t="shared" si="2"/>
        <v>General Service &gt; 50 to 999 kW</v>
      </c>
      <c r="C25" s="81">
        <f t="shared" si="3"/>
        <v>161613808.88856259</v>
      </c>
      <c r="D25" s="87"/>
      <c r="E25" s="88">
        <f t="shared" si="0"/>
        <v>0</v>
      </c>
      <c r="F25" s="149"/>
      <c r="G25" s="90">
        <f t="shared" si="1"/>
        <v>0</v>
      </c>
      <c r="J25" s="150" t="s">
        <v>137</v>
      </c>
      <c r="K25" s="150"/>
      <c r="L25" s="150"/>
      <c r="M25" s="151" t="s">
        <v>137</v>
      </c>
      <c r="N25" s="152" t="s">
        <v>137</v>
      </c>
      <c r="O25" s="150" t="s">
        <v>137</v>
      </c>
    </row>
    <row r="26" spans="2:15" ht="15" x14ac:dyDescent="0.25">
      <c r="B26" s="60" t="str">
        <f t="shared" si="2"/>
        <v>General Service &gt; 1000 to 4999 kW</v>
      </c>
      <c r="C26" s="81">
        <f t="shared" si="3"/>
        <v>0</v>
      </c>
      <c r="D26" s="87"/>
      <c r="E26" s="88">
        <f t="shared" si="0"/>
        <v>0</v>
      </c>
      <c r="F26" s="149"/>
      <c r="G26" s="90">
        <f t="shared" si="1"/>
        <v>0</v>
      </c>
      <c r="J26" s="150"/>
      <c r="K26" s="150"/>
      <c r="L26" s="150"/>
      <c r="M26" s="150"/>
      <c r="N26" s="150"/>
      <c r="O26" s="151" t="s">
        <v>137</v>
      </c>
    </row>
    <row r="27" spans="2:15" x14ac:dyDescent="0.2">
      <c r="B27" s="60" t="str">
        <f t="shared" si="2"/>
        <v>Large User</v>
      </c>
      <c r="C27" s="81">
        <f t="shared" si="3"/>
        <v>0</v>
      </c>
      <c r="D27" s="87"/>
      <c r="E27" s="88">
        <f t="shared" si="0"/>
        <v>0</v>
      </c>
      <c r="F27" s="149"/>
      <c r="G27" s="90">
        <f t="shared" si="1"/>
        <v>0</v>
      </c>
    </row>
    <row r="28" spans="2:15" x14ac:dyDescent="0.2">
      <c r="B28" s="60" t="str">
        <f t="shared" si="2"/>
        <v>Street Lights</v>
      </c>
      <c r="C28" s="81">
        <f t="shared" si="3"/>
        <v>0</v>
      </c>
      <c r="D28" s="87"/>
      <c r="E28" s="88">
        <f t="shared" si="0"/>
        <v>0</v>
      </c>
      <c r="F28" s="149"/>
      <c r="G28" s="90">
        <f t="shared" si="1"/>
        <v>0</v>
      </c>
    </row>
    <row r="29" spans="2:15" x14ac:dyDescent="0.2">
      <c r="B29" s="60" t="str">
        <f t="shared" si="2"/>
        <v>Sentinel Lights</v>
      </c>
      <c r="C29" s="81">
        <f t="shared" si="3"/>
        <v>0</v>
      </c>
      <c r="D29" s="87"/>
      <c r="E29" s="88">
        <f t="shared" si="0"/>
        <v>0</v>
      </c>
      <c r="F29" s="149"/>
      <c r="G29" s="90">
        <f t="shared" si="1"/>
        <v>0</v>
      </c>
    </row>
    <row r="30" spans="2:15" x14ac:dyDescent="0.2">
      <c r="B30" s="60" t="str">
        <f t="shared" si="2"/>
        <v xml:space="preserve">Unmetered Loads </v>
      </c>
      <c r="C30" s="81">
        <f t="shared" si="3"/>
        <v>2269440.0211030478</v>
      </c>
      <c r="D30" s="87"/>
      <c r="E30" s="88">
        <f t="shared" si="0"/>
        <v>0</v>
      </c>
      <c r="F30" s="149"/>
      <c r="G30" s="90">
        <f t="shared" si="1"/>
        <v>0</v>
      </c>
    </row>
    <row r="31" spans="2:15" x14ac:dyDescent="0.2">
      <c r="B31" s="60" t="str">
        <f t="shared" si="2"/>
        <v>Embedded Distributor - Hydro One, CND</v>
      </c>
      <c r="C31" s="81">
        <f t="shared" si="3"/>
        <v>0</v>
      </c>
      <c r="D31" s="87"/>
      <c r="E31" s="88">
        <f t="shared" si="0"/>
        <v>0</v>
      </c>
      <c r="F31" s="149"/>
      <c r="G31" s="90">
        <f t="shared" si="1"/>
        <v>0</v>
      </c>
    </row>
    <row r="32" spans="2:15" x14ac:dyDescent="0.2">
      <c r="B32" s="60" t="str">
        <f t="shared" si="2"/>
        <v>Embedded Distributor - Waterloo North, CND</v>
      </c>
      <c r="C32" s="81">
        <f t="shared" si="3"/>
        <v>0</v>
      </c>
      <c r="D32" s="87"/>
      <c r="E32" s="88">
        <f t="shared" si="0"/>
        <v>0</v>
      </c>
      <c r="F32" s="149"/>
      <c r="G32" s="90">
        <f t="shared" si="1"/>
        <v>0</v>
      </c>
    </row>
    <row r="33" spans="2:7" x14ac:dyDescent="0.2">
      <c r="B33" s="60" t="str">
        <f t="shared" si="2"/>
        <v>Embedded Distributor - Brantford Power, BCP</v>
      </c>
      <c r="C33" s="81">
        <f t="shared" si="3"/>
        <v>0</v>
      </c>
      <c r="D33" s="87"/>
      <c r="E33" s="88">
        <f t="shared" si="0"/>
        <v>0</v>
      </c>
      <c r="F33" s="149"/>
      <c r="G33" s="90">
        <f t="shared" si="1"/>
        <v>0</v>
      </c>
    </row>
    <row r="34" spans="2:7" x14ac:dyDescent="0.2">
      <c r="B34" s="60" t="str">
        <f>B16</f>
        <v>Embedded Distributor - Hydro One #1, BCP</v>
      </c>
      <c r="C34" s="81">
        <f t="shared" si="3"/>
        <v>0</v>
      </c>
      <c r="D34" s="87"/>
      <c r="E34" s="88">
        <f t="shared" si="0"/>
        <v>0</v>
      </c>
      <c r="F34" s="149"/>
      <c r="G34" s="90">
        <f t="shared" si="1"/>
        <v>0</v>
      </c>
    </row>
    <row r="35" spans="2:7" x14ac:dyDescent="0.2">
      <c r="B35" s="60" t="str">
        <f t="shared" si="2"/>
        <v>Embedded Distributor - Hydro One #2, BCP</v>
      </c>
      <c r="C35" s="81">
        <f t="shared" si="3"/>
        <v>0</v>
      </c>
      <c r="D35" s="87"/>
      <c r="E35" s="88">
        <f t="shared" si="0"/>
        <v>0</v>
      </c>
      <c r="F35" s="149"/>
      <c r="G35" s="90">
        <f t="shared" si="1"/>
        <v>0</v>
      </c>
    </row>
    <row r="36" spans="2:7" x14ac:dyDescent="0.2">
      <c r="B36" s="84" t="s">
        <v>91</v>
      </c>
      <c r="C36" s="85">
        <f>SUM(C23:C35)</f>
        <v>752698004.84946764</v>
      </c>
      <c r="D36" s="86"/>
      <c r="E36" s="85">
        <f>SUM(E23:E35)</f>
        <v>0</v>
      </c>
      <c r="F36" s="153"/>
      <c r="G36" s="92">
        <f>SUM(G23:G35)</f>
        <v>0</v>
      </c>
    </row>
    <row r="37" spans="2:7" x14ac:dyDescent="0.2">
      <c r="B37" s="93"/>
      <c r="C37" s="94"/>
      <c r="D37" s="95"/>
      <c r="E37" s="94"/>
      <c r="F37" s="96"/>
      <c r="G37" s="97"/>
    </row>
    <row r="38" spans="2:7" x14ac:dyDescent="0.2">
      <c r="B38" s="135" t="s">
        <v>94</v>
      </c>
      <c r="C38" s="491" t="s">
        <v>188</v>
      </c>
      <c r="D38" s="493" t="s">
        <v>189</v>
      </c>
      <c r="E38" s="495">
        <v>2018</v>
      </c>
      <c r="F38" s="496"/>
      <c r="G38" s="497"/>
    </row>
    <row r="39" spans="2:7" x14ac:dyDescent="0.2">
      <c r="B39" s="136" t="s">
        <v>95</v>
      </c>
      <c r="C39" s="492"/>
      <c r="D39" s="494"/>
      <c r="E39" s="483"/>
      <c r="F39" s="484"/>
      <c r="G39" s="485"/>
    </row>
    <row r="40" spans="2:7" x14ac:dyDescent="0.2">
      <c r="B40" s="60" t="str">
        <f>B23</f>
        <v xml:space="preserve">Residential </v>
      </c>
      <c r="C40" s="81">
        <f>C5-C23</f>
        <v>35858204.915539145</v>
      </c>
      <c r="D40" s="82">
        <f>D23</f>
        <v>0</v>
      </c>
      <c r="E40" s="88">
        <f t="shared" ref="E40:E52" si="4">C40*D40</f>
        <v>0</v>
      </c>
      <c r="F40" s="89"/>
      <c r="G40" s="90">
        <f t="shared" ref="G40:G52" si="5">E40*F40</f>
        <v>0</v>
      </c>
    </row>
    <row r="41" spans="2:7" x14ac:dyDescent="0.2">
      <c r="B41" s="60" t="str">
        <f t="shared" ref="B41:B52" si="6">B24</f>
        <v>General Service &lt; 50 kW</v>
      </c>
      <c r="C41" s="81">
        <f t="shared" ref="C41:C52" si="7">C6-C24</f>
        <v>27439154.543429762</v>
      </c>
      <c r="D41" s="82">
        <f t="shared" ref="D41:D52" si="8">D24</f>
        <v>0</v>
      </c>
      <c r="E41" s="88">
        <f t="shared" si="4"/>
        <v>0</v>
      </c>
      <c r="F41" s="89"/>
      <c r="G41" s="90">
        <f t="shared" si="5"/>
        <v>0</v>
      </c>
    </row>
    <row r="42" spans="2:7" x14ac:dyDescent="0.2">
      <c r="B42" s="60" t="str">
        <f t="shared" si="6"/>
        <v>General Service &gt; 50 to 999 kW</v>
      </c>
      <c r="C42" s="81">
        <f t="shared" si="7"/>
        <v>331261485.06862736</v>
      </c>
      <c r="D42" s="82">
        <f t="shared" si="8"/>
        <v>0</v>
      </c>
      <c r="E42" s="88">
        <f t="shared" si="4"/>
        <v>0</v>
      </c>
      <c r="F42" s="89"/>
      <c r="G42" s="90">
        <f t="shared" si="5"/>
        <v>0</v>
      </c>
    </row>
    <row r="43" spans="2:7" x14ac:dyDescent="0.2">
      <c r="B43" s="60" t="str">
        <f t="shared" si="6"/>
        <v>General Service &gt; 1000 to 4999 kW</v>
      </c>
      <c r="C43" s="81">
        <f t="shared" si="7"/>
        <v>235543174.07176879</v>
      </c>
      <c r="D43" s="82">
        <f t="shared" si="8"/>
        <v>0</v>
      </c>
      <c r="E43" s="88">
        <f t="shared" si="4"/>
        <v>0</v>
      </c>
      <c r="F43" s="89"/>
      <c r="G43" s="90">
        <f t="shared" si="5"/>
        <v>0</v>
      </c>
    </row>
    <row r="44" spans="2:7" x14ac:dyDescent="0.2">
      <c r="B44" s="60" t="str">
        <f t="shared" si="6"/>
        <v>Large User</v>
      </c>
      <c r="C44" s="81">
        <f t="shared" si="7"/>
        <v>145628457.4468382</v>
      </c>
      <c r="D44" s="82">
        <f t="shared" si="8"/>
        <v>0</v>
      </c>
      <c r="E44" s="88">
        <f t="shared" si="4"/>
        <v>0</v>
      </c>
      <c r="F44" s="89"/>
      <c r="G44" s="90">
        <f t="shared" si="5"/>
        <v>0</v>
      </c>
    </row>
    <row r="45" spans="2:7" x14ac:dyDescent="0.2">
      <c r="B45" s="60" t="str">
        <f t="shared" si="6"/>
        <v>Street Lights</v>
      </c>
      <c r="C45" s="81">
        <f t="shared" si="7"/>
        <v>5151174.2704671035</v>
      </c>
      <c r="D45" s="82">
        <f t="shared" si="8"/>
        <v>0</v>
      </c>
      <c r="E45" s="88">
        <f t="shared" si="4"/>
        <v>0</v>
      </c>
      <c r="F45" s="89"/>
      <c r="G45" s="90">
        <f t="shared" si="5"/>
        <v>0</v>
      </c>
    </row>
    <row r="46" spans="2:7" x14ac:dyDescent="0.2">
      <c r="B46" s="60" t="str">
        <f t="shared" si="6"/>
        <v>Sentinel Lights</v>
      </c>
      <c r="C46" s="81">
        <f t="shared" si="7"/>
        <v>126989.00000000001</v>
      </c>
      <c r="D46" s="82">
        <f t="shared" si="8"/>
        <v>0</v>
      </c>
      <c r="E46" s="88">
        <f t="shared" si="4"/>
        <v>0</v>
      </c>
      <c r="F46" s="89"/>
      <c r="G46" s="90">
        <f t="shared" si="5"/>
        <v>0</v>
      </c>
    </row>
    <row r="47" spans="2:7" x14ac:dyDescent="0.2">
      <c r="B47" s="60" t="str">
        <f t="shared" si="6"/>
        <v xml:space="preserve">Unmetered Loads </v>
      </c>
      <c r="C47" s="81">
        <f t="shared" si="7"/>
        <v>4547.9759941943921</v>
      </c>
      <c r="D47" s="82">
        <f t="shared" si="8"/>
        <v>0</v>
      </c>
      <c r="E47" s="88">
        <f t="shared" si="4"/>
        <v>0</v>
      </c>
      <c r="F47" s="89"/>
      <c r="G47" s="90">
        <f t="shared" si="5"/>
        <v>0</v>
      </c>
    </row>
    <row r="48" spans="2:7" x14ac:dyDescent="0.2">
      <c r="B48" s="60" t="str">
        <f t="shared" si="6"/>
        <v>Embedded Distributor - Hydro One, CND</v>
      </c>
      <c r="C48" s="81">
        <f t="shared" si="7"/>
        <v>12605162.219999999</v>
      </c>
      <c r="D48" s="82">
        <f t="shared" si="8"/>
        <v>0</v>
      </c>
      <c r="E48" s="88">
        <f t="shared" si="4"/>
        <v>0</v>
      </c>
      <c r="F48" s="89"/>
      <c r="G48" s="90">
        <f t="shared" si="5"/>
        <v>0</v>
      </c>
    </row>
    <row r="49" spans="2:9" x14ac:dyDescent="0.2">
      <c r="B49" s="60" t="str">
        <f t="shared" si="6"/>
        <v>Embedded Distributor - Waterloo North, CND</v>
      </c>
      <c r="C49" s="81">
        <f t="shared" si="7"/>
        <v>58104381.490000002</v>
      </c>
      <c r="D49" s="82">
        <f t="shared" si="8"/>
        <v>0</v>
      </c>
      <c r="E49" s="88">
        <f t="shared" si="4"/>
        <v>0</v>
      </c>
      <c r="F49" s="89"/>
      <c r="G49" s="90">
        <f t="shared" si="5"/>
        <v>0</v>
      </c>
    </row>
    <row r="50" spans="2:9" x14ac:dyDescent="0.2">
      <c r="B50" s="60" t="str">
        <f t="shared" si="6"/>
        <v>Embedded Distributor - Brantford Power, BCP</v>
      </c>
      <c r="C50" s="81">
        <f t="shared" si="7"/>
        <v>347756.59287776717</v>
      </c>
      <c r="D50" s="82">
        <f t="shared" si="8"/>
        <v>0</v>
      </c>
      <c r="E50" s="88">
        <f t="shared" si="4"/>
        <v>0</v>
      </c>
      <c r="F50" s="89"/>
      <c r="G50" s="90">
        <f t="shared" si="5"/>
        <v>0</v>
      </c>
    </row>
    <row r="51" spans="2:9" x14ac:dyDescent="0.2">
      <c r="B51" s="60" t="str">
        <f t="shared" si="6"/>
        <v>Embedded Distributor - Hydro One #1, BCP</v>
      </c>
      <c r="C51" s="81">
        <f t="shared" si="7"/>
        <v>12191720.381133871</v>
      </c>
      <c r="D51" s="82">
        <f t="shared" si="8"/>
        <v>0</v>
      </c>
      <c r="E51" s="88">
        <f t="shared" si="4"/>
        <v>0</v>
      </c>
      <c r="F51" s="89"/>
      <c r="G51" s="90">
        <f t="shared" si="5"/>
        <v>0</v>
      </c>
    </row>
    <row r="52" spans="2:9" x14ac:dyDescent="0.2">
      <c r="B52" s="60" t="str">
        <f t="shared" si="6"/>
        <v>Embedded Distributor - Hydro One #2, BCP</v>
      </c>
      <c r="C52" s="81">
        <f t="shared" si="7"/>
        <v>43274121.534063838</v>
      </c>
      <c r="D52" s="82">
        <f t="shared" si="8"/>
        <v>0</v>
      </c>
      <c r="E52" s="88">
        <f t="shared" si="4"/>
        <v>0</v>
      </c>
      <c r="F52" s="89"/>
      <c r="G52" s="90">
        <f t="shared" si="5"/>
        <v>0</v>
      </c>
    </row>
    <row r="53" spans="2:9" x14ac:dyDescent="0.2">
      <c r="B53" s="84" t="s">
        <v>91</v>
      </c>
      <c r="C53" s="85">
        <f>SUM(C40:C52)</f>
        <v>907536329.51074004</v>
      </c>
      <c r="D53" s="86"/>
      <c r="E53" s="85">
        <f>SUM(E40:E52)</f>
        <v>0</v>
      </c>
      <c r="F53" s="153"/>
      <c r="G53" s="92">
        <f>SUM(G40:G52)</f>
        <v>0</v>
      </c>
    </row>
    <row r="55" spans="2:9" x14ac:dyDescent="0.2">
      <c r="B55" s="137" t="s">
        <v>96</v>
      </c>
      <c r="C55" s="138"/>
      <c r="D55" s="139" t="s">
        <v>97</v>
      </c>
      <c r="E55" s="140"/>
      <c r="F55" s="141"/>
      <c r="G55" s="138"/>
    </row>
    <row r="56" spans="2:9" x14ac:dyDescent="0.2">
      <c r="B56" s="136" t="s">
        <v>95</v>
      </c>
      <c r="C56" s="239"/>
      <c r="D56" s="142" t="s">
        <v>98</v>
      </c>
      <c r="E56" s="483">
        <v>2018</v>
      </c>
      <c r="F56" s="484"/>
      <c r="G56" s="485"/>
    </row>
    <row r="57" spans="2:9" x14ac:dyDescent="0.2">
      <c r="B57" s="98" t="str">
        <f>B40</f>
        <v xml:space="preserve">Residential </v>
      </c>
      <c r="C57" s="88"/>
      <c r="D57" s="99" t="s">
        <v>89</v>
      </c>
      <c r="E57" s="88">
        <f>E23+E40</f>
        <v>0</v>
      </c>
      <c r="F57" s="154"/>
      <c r="G57" s="90">
        <f t="shared" ref="G57:G70" si="9">E57*F57</f>
        <v>0</v>
      </c>
    </row>
    <row r="58" spans="2:9" x14ac:dyDescent="0.2">
      <c r="B58" s="98" t="str">
        <f>B41</f>
        <v>General Service &lt; 50 kW</v>
      </c>
      <c r="C58" s="88"/>
      <c r="D58" s="99" t="s">
        <v>89</v>
      </c>
      <c r="E58" s="88">
        <f>E24+E41</f>
        <v>0</v>
      </c>
      <c r="F58" s="154"/>
      <c r="G58" s="90">
        <f t="shared" si="9"/>
        <v>0</v>
      </c>
    </row>
    <row r="59" spans="2:9" x14ac:dyDescent="0.2">
      <c r="B59" s="98" t="str">
        <f>B42</f>
        <v>General Service &gt; 50 to 999 kW</v>
      </c>
      <c r="C59" s="88"/>
      <c r="D59" s="99" t="s">
        <v>90</v>
      </c>
      <c r="E59" s="88">
        <f>D7</f>
        <v>1555494.9738878242</v>
      </c>
      <c r="F59" s="154"/>
      <c r="G59" s="90">
        <f t="shared" si="9"/>
        <v>0</v>
      </c>
    </row>
    <row r="60" spans="2:9" x14ac:dyDescent="0.2">
      <c r="B60" s="98" t="str">
        <f>B43</f>
        <v>General Service &gt; 1000 to 4999 kW</v>
      </c>
      <c r="C60" s="88"/>
      <c r="D60" s="99" t="s">
        <v>90</v>
      </c>
      <c r="E60" s="88">
        <f t="shared" ref="E60" si="10">D8</f>
        <v>552800.52702529693</v>
      </c>
      <c r="F60" s="154"/>
      <c r="G60" s="90">
        <f t="shared" si="9"/>
        <v>0</v>
      </c>
      <c r="I60" s="30"/>
    </row>
    <row r="61" spans="2:9" x14ac:dyDescent="0.2">
      <c r="B61" s="55" t="str">
        <f>Summary!A38</f>
        <v>Direct Market Participant</v>
      </c>
      <c r="C61" s="88"/>
      <c r="D61" s="99" t="s">
        <v>90</v>
      </c>
      <c r="E61" s="55">
        <f>Summary!I40</f>
        <v>67941.700000000012</v>
      </c>
      <c r="F61" s="154"/>
      <c r="G61" s="90">
        <f t="shared" si="9"/>
        <v>0</v>
      </c>
      <c r="I61" s="30"/>
    </row>
    <row r="62" spans="2:9" x14ac:dyDescent="0.2">
      <c r="B62" s="98" t="str">
        <f>B44</f>
        <v>Large User</v>
      </c>
      <c r="C62" s="88"/>
      <c r="D62" s="99" t="s">
        <v>90</v>
      </c>
      <c r="E62" s="88">
        <f>D9</f>
        <v>331944.32251332153</v>
      </c>
      <c r="F62" s="154"/>
      <c r="G62" s="90">
        <f t="shared" si="9"/>
        <v>0</v>
      </c>
    </row>
    <row r="63" spans="2:9" x14ac:dyDescent="0.2">
      <c r="B63" s="98" t="str">
        <f>B45</f>
        <v>Street Lights</v>
      </c>
      <c r="C63" s="88"/>
      <c r="D63" s="99" t="s">
        <v>90</v>
      </c>
      <c r="E63" s="88">
        <f t="shared" ref="E63:E64" si="11">D10</f>
        <v>14844.081169277064</v>
      </c>
      <c r="F63" s="154"/>
      <c r="G63" s="90">
        <f t="shared" si="9"/>
        <v>0</v>
      </c>
    </row>
    <row r="64" spans="2:9" x14ac:dyDescent="0.2">
      <c r="B64" s="98" t="str">
        <f>B46</f>
        <v>Sentinel Lights</v>
      </c>
      <c r="C64" s="88"/>
      <c r="D64" s="99" t="s">
        <v>90</v>
      </c>
      <c r="E64" s="88">
        <f t="shared" si="11"/>
        <v>342.92000000000007</v>
      </c>
      <c r="F64" s="154"/>
      <c r="G64" s="90">
        <f t="shared" si="9"/>
        <v>0</v>
      </c>
    </row>
    <row r="65" spans="2:7" x14ac:dyDescent="0.2">
      <c r="B65" s="98" t="str">
        <f>B47</f>
        <v xml:space="preserve">Unmetered Loads </v>
      </c>
      <c r="C65" s="88"/>
      <c r="D65" s="99" t="s">
        <v>89</v>
      </c>
      <c r="E65" s="88">
        <f>E31+E48</f>
        <v>0</v>
      </c>
      <c r="F65" s="154"/>
      <c r="G65" s="90">
        <f t="shared" si="9"/>
        <v>0</v>
      </c>
    </row>
    <row r="66" spans="2:7" x14ac:dyDescent="0.2">
      <c r="B66" s="98" t="str">
        <f t="shared" ref="B66:B70" si="12">B48</f>
        <v>Embedded Distributor - Hydro One, CND</v>
      </c>
      <c r="C66" s="88"/>
      <c r="D66" s="99" t="s">
        <v>90</v>
      </c>
      <c r="E66" s="88">
        <f>D13</f>
        <v>24387.435638304029</v>
      </c>
      <c r="F66" s="154"/>
      <c r="G66" s="90">
        <f t="shared" si="9"/>
        <v>0</v>
      </c>
    </row>
    <row r="67" spans="2:7" x14ac:dyDescent="0.2">
      <c r="B67" s="98" t="str">
        <f t="shared" si="12"/>
        <v>Embedded Distributor - Waterloo North, CND</v>
      </c>
      <c r="C67" s="88"/>
      <c r="D67" s="99" t="s">
        <v>90</v>
      </c>
      <c r="E67" s="88">
        <f t="shared" ref="E67:E70" si="13">D14</f>
        <v>114656.88436169598</v>
      </c>
      <c r="F67" s="154"/>
      <c r="G67" s="90">
        <f t="shared" si="9"/>
        <v>0</v>
      </c>
    </row>
    <row r="68" spans="2:7" x14ac:dyDescent="0.2">
      <c r="B68" s="98" t="str">
        <f t="shared" si="12"/>
        <v>Embedded Distributor - Brantford Power, BCP</v>
      </c>
      <c r="C68" s="88"/>
      <c r="D68" s="99" t="s">
        <v>90</v>
      </c>
      <c r="E68" s="88">
        <f t="shared" si="13"/>
        <v>1074.96</v>
      </c>
      <c r="F68" s="154"/>
      <c r="G68" s="90">
        <f t="shared" si="9"/>
        <v>0</v>
      </c>
    </row>
    <row r="69" spans="2:7" x14ac:dyDescent="0.2">
      <c r="B69" s="98" t="str">
        <f t="shared" si="12"/>
        <v>Embedded Distributor - Hydro One #1, BCP</v>
      </c>
      <c r="C69" s="88"/>
      <c r="D69" s="99" t="s">
        <v>90</v>
      </c>
      <c r="E69" s="88">
        <f t="shared" si="13"/>
        <v>29994.605248481424</v>
      </c>
      <c r="F69" s="154"/>
      <c r="G69" s="90">
        <f t="shared" si="9"/>
        <v>0</v>
      </c>
    </row>
    <row r="70" spans="2:7" x14ac:dyDescent="0.2">
      <c r="B70" s="98" t="str">
        <f t="shared" si="12"/>
        <v>Embedded Distributor - Hydro One #2, BCP</v>
      </c>
      <c r="C70" s="88"/>
      <c r="D70" s="99" t="s">
        <v>90</v>
      </c>
      <c r="E70" s="88">
        <f t="shared" si="13"/>
        <v>102972.90667387019</v>
      </c>
      <c r="F70" s="154"/>
      <c r="G70" s="90">
        <f t="shared" si="9"/>
        <v>0</v>
      </c>
    </row>
    <row r="71" spans="2:7" x14ac:dyDescent="0.2">
      <c r="B71" s="84" t="s">
        <v>91</v>
      </c>
      <c r="C71" s="85"/>
      <c r="D71" s="86"/>
      <c r="E71" s="85"/>
      <c r="F71" s="91"/>
      <c r="G71" s="101">
        <f>SUM(G57:G70)</f>
        <v>0</v>
      </c>
    </row>
    <row r="73" spans="2:7" x14ac:dyDescent="0.2">
      <c r="B73" s="137" t="s">
        <v>99</v>
      </c>
      <c r="C73" s="138"/>
      <c r="D73" s="143" t="s">
        <v>97</v>
      </c>
      <c r="E73" s="140"/>
      <c r="F73" s="141"/>
      <c r="G73" s="138"/>
    </row>
    <row r="74" spans="2:7" x14ac:dyDescent="0.2">
      <c r="B74" s="136" t="s">
        <v>95</v>
      </c>
      <c r="C74" s="239"/>
      <c r="D74" s="144" t="s">
        <v>98</v>
      </c>
      <c r="E74" s="483">
        <v>2018</v>
      </c>
      <c r="F74" s="484"/>
      <c r="G74" s="485"/>
    </row>
    <row r="75" spans="2:7" x14ac:dyDescent="0.2">
      <c r="B75" s="98" t="str">
        <f>B57</f>
        <v xml:space="preserve">Residential </v>
      </c>
      <c r="C75" s="88"/>
      <c r="D75" s="99" t="str">
        <f>D57</f>
        <v>kWh</v>
      </c>
      <c r="E75" s="88">
        <f>E57</f>
        <v>0</v>
      </c>
      <c r="F75" s="154"/>
      <c r="G75" s="90">
        <f t="shared" ref="G75:G88" si="14">E75*F75</f>
        <v>0</v>
      </c>
    </row>
    <row r="76" spans="2:7" x14ac:dyDescent="0.2">
      <c r="B76" s="98" t="str">
        <f t="shared" ref="B76:B88" si="15">B58</f>
        <v>General Service &lt; 50 kW</v>
      </c>
      <c r="C76" s="88"/>
      <c r="D76" s="99" t="str">
        <f t="shared" ref="D76:E88" si="16">D58</f>
        <v>kWh</v>
      </c>
      <c r="E76" s="88">
        <f t="shared" si="16"/>
        <v>0</v>
      </c>
      <c r="F76" s="154"/>
      <c r="G76" s="90">
        <f t="shared" si="14"/>
        <v>0</v>
      </c>
    </row>
    <row r="77" spans="2:7" x14ac:dyDescent="0.2">
      <c r="B77" s="98" t="str">
        <f t="shared" si="15"/>
        <v>General Service &gt; 50 to 999 kW</v>
      </c>
      <c r="C77" s="88"/>
      <c r="D77" s="99" t="str">
        <f t="shared" si="16"/>
        <v>kW</v>
      </c>
      <c r="E77" s="88">
        <f t="shared" si="16"/>
        <v>1555494.9738878242</v>
      </c>
      <c r="F77" s="154"/>
      <c r="G77" s="90">
        <f t="shared" si="14"/>
        <v>0</v>
      </c>
    </row>
    <row r="78" spans="2:7" x14ac:dyDescent="0.2">
      <c r="B78" s="98" t="str">
        <f t="shared" si="15"/>
        <v>General Service &gt; 1000 to 4999 kW</v>
      </c>
      <c r="C78" s="88"/>
      <c r="D78" s="99" t="str">
        <f t="shared" si="16"/>
        <v>kW</v>
      </c>
      <c r="E78" s="88">
        <f t="shared" si="16"/>
        <v>552800.52702529693</v>
      </c>
      <c r="F78" s="154"/>
      <c r="G78" s="90">
        <f t="shared" si="14"/>
        <v>0</v>
      </c>
    </row>
    <row r="79" spans="2:7" x14ac:dyDescent="0.2">
      <c r="B79" s="98" t="str">
        <f t="shared" si="15"/>
        <v>Direct Market Participant</v>
      </c>
      <c r="C79" s="88"/>
      <c r="D79" s="99" t="str">
        <f t="shared" si="16"/>
        <v>kW</v>
      </c>
      <c r="E79" s="88">
        <f t="shared" si="16"/>
        <v>67941.700000000012</v>
      </c>
      <c r="F79" s="154"/>
      <c r="G79" s="90">
        <f t="shared" si="14"/>
        <v>0</v>
      </c>
    </row>
    <row r="80" spans="2:7" x14ac:dyDescent="0.2">
      <c r="B80" s="98" t="str">
        <f t="shared" si="15"/>
        <v>Large User</v>
      </c>
      <c r="C80" s="88"/>
      <c r="D80" s="99" t="str">
        <f t="shared" si="16"/>
        <v>kW</v>
      </c>
      <c r="E80" s="88">
        <f t="shared" si="16"/>
        <v>331944.32251332153</v>
      </c>
      <c r="F80" s="154"/>
      <c r="G80" s="90">
        <f t="shared" si="14"/>
        <v>0</v>
      </c>
    </row>
    <row r="81" spans="2:7" x14ac:dyDescent="0.2">
      <c r="B81" s="98" t="str">
        <f t="shared" si="15"/>
        <v>Street Lights</v>
      </c>
      <c r="C81" s="88"/>
      <c r="D81" s="99" t="str">
        <f t="shared" si="16"/>
        <v>kW</v>
      </c>
      <c r="E81" s="88">
        <f t="shared" si="16"/>
        <v>14844.081169277064</v>
      </c>
      <c r="F81" s="154"/>
      <c r="G81" s="90">
        <f t="shared" si="14"/>
        <v>0</v>
      </c>
    </row>
    <row r="82" spans="2:7" x14ac:dyDescent="0.2">
      <c r="B82" s="98" t="str">
        <f t="shared" si="15"/>
        <v>Sentinel Lights</v>
      </c>
      <c r="C82" s="88"/>
      <c r="D82" s="99" t="str">
        <f t="shared" si="16"/>
        <v>kW</v>
      </c>
      <c r="E82" s="88">
        <f t="shared" si="16"/>
        <v>342.92000000000007</v>
      </c>
      <c r="F82" s="154"/>
      <c r="G82" s="90">
        <f t="shared" si="14"/>
        <v>0</v>
      </c>
    </row>
    <row r="83" spans="2:7" x14ac:dyDescent="0.2">
      <c r="B83" s="98" t="str">
        <f t="shared" si="15"/>
        <v xml:space="preserve">Unmetered Loads </v>
      </c>
      <c r="C83" s="88"/>
      <c r="D83" s="99" t="str">
        <f t="shared" si="16"/>
        <v>kWh</v>
      </c>
      <c r="E83" s="88">
        <f t="shared" si="16"/>
        <v>0</v>
      </c>
      <c r="F83" s="154"/>
      <c r="G83" s="90">
        <f t="shared" si="14"/>
        <v>0</v>
      </c>
    </row>
    <row r="84" spans="2:7" x14ac:dyDescent="0.2">
      <c r="B84" s="98" t="str">
        <f t="shared" si="15"/>
        <v>Embedded Distributor - Hydro One, CND</v>
      </c>
      <c r="C84" s="88"/>
      <c r="D84" s="99" t="str">
        <f t="shared" si="16"/>
        <v>kW</v>
      </c>
      <c r="E84" s="88">
        <f t="shared" si="16"/>
        <v>24387.435638304029</v>
      </c>
      <c r="F84" s="154"/>
      <c r="G84" s="90">
        <f t="shared" si="14"/>
        <v>0</v>
      </c>
    </row>
    <row r="85" spans="2:7" x14ac:dyDescent="0.2">
      <c r="B85" s="98" t="str">
        <f t="shared" si="15"/>
        <v>Embedded Distributor - Waterloo North, CND</v>
      </c>
      <c r="C85" s="88"/>
      <c r="D85" s="99" t="str">
        <f t="shared" si="16"/>
        <v>kW</v>
      </c>
      <c r="E85" s="88">
        <f t="shared" si="16"/>
        <v>114656.88436169598</v>
      </c>
      <c r="F85" s="154"/>
      <c r="G85" s="90">
        <f t="shared" si="14"/>
        <v>0</v>
      </c>
    </row>
    <row r="86" spans="2:7" x14ac:dyDescent="0.2">
      <c r="B86" s="98" t="str">
        <f t="shared" si="15"/>
        <v>Embedded Distributor - Brantford Power, BCP</v>
      </c>
      <c r="C86" s="88"/>
      <c r="D86" s="99" t="str">
        <f t="shared" si="16"/>
        <v>kW</v>
      </c>
      <c r="E86" s="88">
        <f t="shared" si="16"/>
        <v>1074.96</v>
      </c>
      <c r="F86" s="154"/>
      <c r="G86" s="90">
        <f t="shared" si="14"/>
        <v>0</v>
      </c>
    </row>
    <row r="87" spans="2:7" x14ac:dyDescent="0.2">
      <c r="B87" s="98" t="str">
        <f t="shared" si="15"/>
        <v>Embedded Distributor - Hydro One #1, BCP</v>
      </c>
      <c r="C87" s="88"/>
      <c r="D87" s="99" t="str">
        <f t="shared" si="16"/>
        <v>kW</v>
      </c>
      <c r="E87" s="88">
        <f t="shared" si="16"/>
        <v>29994.605248481424</v>
      </c>
      <c r="F87" s="154"/>
      <c r="G87" s="90">
        <f t="shared" si="14"/>
        <v>0</v>
      </c>
    </row>
    <row r="88" spans="2:7" x14ac:dyDescent="0.2">
      <c r="B88" s="98" t="str">
        <f t="shared" si="15"/>
        <v>Embedded Distributor - Hydro One #2, BCP</v>
      </c>
      <c r="C88" s="88"/>
      <c r="D88" s="99" t="str">
        <f t="shared" si="16"/>
        <v>kW</v>
      </c>
      <c r="E88" s="88">
        <f t="shared" si="16"/>
        <v>102972.90667387019</v>
      </c>
      <c r="F88" s="154"/>
      <c r="G88" s="90">
        <f t="shared" si="14"/>
        <v>0</v>
      </c>
    </row>
    <row r="89" spans="2:7" x14ac:dyDescent="0.2">
      <c r="B89" s="84" t="s">
        <v>91</v>
      </c>
      <c r="C89" s="85"/>
      <c r="D89" s="86"/>
      <c r="E89" s="85"/>
      <c r="F89" s="91"/>
      <c r="G89" s="101">
        <f>SUM(G75:G88)</f>
        <v>0</v>
      </c>
    </row>
    <row r="91" spans="2:7" x14ac:dyDescent="0.2">
      <c r="B91" s="137" t="s">
        <v>100</v>
      </c>
      <c r="C91" s="138"/>
      <c r="D91" s="143"/>
      <c r="E91" s="140"/>
      <c r="F91" s="141"/>
      <c r="G91" s="138"/>
    </row>
    <row r="92" spans="2:7" x14ac:dyDescent="0.2">
      <c r="B92" s="136" t="s">
        <v>95</v>
      </c>
      <c r="C92" s="239"/>
      <c r="D92" s="144"/>
      <c r="E92" s="483">
        <v>2018</v>
      </c>
      <c r="F92" s="484"/>
      <c r="G92" s="486"/>
    </row>
    <row r="93" spans="2:7" x14ac:dyDescent="0.2">
      <c r="B93" s="98" t="str">
        <f>B5</f>
        <v xml:space="preserve">Residential </v>
      </c>
      <c r="C93" s="88"/>
      <c r="D93" s="99" t="s">
        <v>89</v>
      </c>
      <c r="E93" s="88">
        <f>E23+E40</f>
        <v>0</v>
      </c>
      <c r="F93" s="100"/>
      <c r="G93" s="90">
        <f t="shared" ref="G93:G105" si="17">E93*F93</f>
        <v>0</v>
      </c>
    </row>
    <row r="94" spans="2:7" x14ac:dyDescent="0.2">
      <c r="B94" s="98" t="str">
        <f t="shared" ref="B94:B105" si="18">B6</f>
        <v>General Service &lt; 50 kW</v>
      </c>
      <c r="C94" s="88"/>
      <c r="D94" s="99" t="s">
        <v>89</v>
      </c>
      <c r="E94" s="88">
        <f t="shared" ref="E94:E105" si="19">E24+E41</f>
        <v>0</v>
      </c>
      <c r="F94" s="100"/>
      <c r="G94" s="90">
        <f t="shared" si="17"/>
        <v>0</v>
      </c>
    </row>
    <row r="95" spans="2:7" x14ac:dyDescent="0.2">
      <c r="B95" s="98" t="str">
        <f t="shared" si="18"/>
        <v>General Service &gt; 50 to 999 kW</v>
      </c>
      <c r="C95" s="88"/>
      <c r="D95" s="99" t="s">
        <v>89</v>
      </c>
      <c r="E95" s="88">
        <f t="shared" si="19"/>
        <v>0</v>
      </c>
      <c r="F95" s="100"/>
      <c r="G95" s="90">
        <f t="shared" si="17"/>
        <v>0</v>
      </c>
    </row>
    <row r="96" spans="2:7" x14ac:dyDescent="0.2">
      <c r="B96" s="98" t="str">
        <f t="shared" si="18"/>
        <v>General Service &gt; 1000 to 4999 kW</v>
      </c>
      <c r="C96" s="88"/>
      <c r="D96" s="99" t="s">
        <v>89</v>
      </c>
      <c r="E96" s="88">
        <f t="shared" si="19"/>
        <v>0</v>
      </c>
      <c r="F96" s="100"/>
      <c r="G96" s="90">
        <f t="shared" si="17"/>
        <v>0</v>
      </c>
    </row>
    <row r="97" spans="2:13" x14ac:dyDescent="0.2">
      <c r="B97" s="98" t="str">
        <f t="shared" si="18"/>
        <v>Large User</v>
      </c>
      <c r="C97" s="88"/>
      <c r="D97" s="99" t="s">
        <v>89</v>
      </c>
      <c r="E97" s="88">
        <f t="shared" si="19"/>
        <v>0</v>
      </c>
      <c r="F97" s="100"/>
      <c r="G97" s="90">
        <f t="shared" si="17"/>
        <v>0</v>
      </c>
    </row>
    <row r="98" spans="2:13" x14ac:dyDescent="0.2">
      <c r="B98" s="98" t="str">
        <f t="shared" si="18"/>
        <v>Street Lights</v>
      </c>
      <c r="C98" s="88"/>
      <c r="D98" s="99" t="s">
        <v>89</v>
      </c>
      <c r="E98" s="88">
        <f t="shared" si="19"/>
        <v>0</v>
      </c>
      <c r="F98" s="100"/>
      <c r="G98" s="90">
        <f t="shared" si="17"/>
        <v>0</v>
      </c>
    </row>
    <row r="99" spans="2:13" x14ac:dyDescent="0.2">
      <c r="B99" s="98" t="str">
        <f t="shared" si="18"/>
        <v>Sentinel Lights</v>
      </c>
      <c r="C99" s="88"/>
      <c r="D99" s="99" t="s">
        <v>89</v>
      </c>
      <c r="E99" s="88">
        <f t="shared" si="19"/>
        <v>0</v>
      </c>
      <c r="F99" s="100"/>
      <c r="G99" s="90">
        <f t="shared" si="17"/>
        <v>0</v>
      </c>
    </row>
    <row r="100" spans="2:13" x14ac:dyDescent="0.2">
      <c r="B100" s="98" t="str">
        <f t="shared" si="18"/>
        <v xml:space="preserve">Unmetered Loads </v>
      </c>
      <c r="C100" s="88"/>
      <c r="D100" s="99" t="s">
        <v>89</v>
      </c>
      <c r="E100" s="88">
        <f t="shared" si="19"/>
        <v>0</v>
      </c>
      <c r="F100" s="100"/>
      <c r="G100" s="90">
        <f t="shared" si="17"/>
        <v>0</v>
      </c>
    </row>
    <row r="101" spans="2:13" x14ac:dyDescent="0.2">
      <c r="B101" s="98" t="str">
        <f t="shared" si="18"/>
        <v>Embedded Distributor - Hydro One, CND</v>
      </c>
      <c r="C101" s="88"/>
      <c r="D101" s="99" t="s">
        <v>89</v>
      </c>
      <c r="E101" s="88">
        <f t="shared" si="19"/>
        <v>0</v>
      </c>
      <c r="F101" s="100"/>
      <c r="G101" s="90">
        <f t="shared" si="17"/>
        <v>0</v>
      </c>
    </row>
    <row r="102" spans="2:13" x14ac:dyDescent="0.2">
      <c r="B102" s="98" t="str">
        <f t="shared" si="18"/>
        <v>Embedded Distributor - Waterloo North, CND</v>
      </c>
      <c r="C102" s="88"/>
      <c r="D102" s="99" t="s">
        <v>89</v>
      </c>
      <c r="E102" s="88">
        <f t="shared" si="19"/>
        <v>0</v>
      </c>
      <c r="F102" s="100"/>
      <c r="G102" s="90">
        <f t="shared" si="17"/>
        <v>0</v>
      </c>
    </row>
    <row r="103" spans="2:13" x14ac:dyDescent="0.2">
      <c r="B103" s="98" t="str">
        <f t="shared" si="18"/>
        <v>Embedded Distributor - Brantford Power, BCP</v>
      </c>
      <c r="C103" s="88"/>
      <c r="D103" s="99" t="s">
        <v>89</v>
      </c>
      <c r="E103" s="88">
        <f t="shared" si="19"/>
        <v>0</v>
      </c>
      <c r="F103" s="100"/>
      <c r="G103" s="90">
        <f t="shared" si="17"/>
        <v>0</v>
      </c>
    </row>
    <row r="104" spans="2:13" x14ac:dyDescent="0.2">
      <c r="B104" s="98" t="str">
        <f t="shared" si="18"/>
        <v>Embedded Distributor - Hydro One #1, BCP</v>
      </c>
      <c r="C104" s="88"/>
      <c r="D104" s="99" t="s">
        <v>89</v>
      </c>
      <c r="E104" s="88">
        <f t="shared" si="19"/>
        <v>0</v>
      </c>
      <c r="F104" s="100"/>
      <c r="G104" s="90">
        <f t="shared" si="17"/>
        <v>0</v>
      </c>
    </row>
    <row r="105" spans="2:13" x14ac:dyDescent="0.2">
      <c r="B105" s="98" t="str">
        <f t="shared" si="18"/>
        <v>Embedded Distributor - Hydro One #2, BCP</v>
      </c>
      <c r="C105" s="88"/>
      <c r="D105" s="99" t="s">
        <v>89</v>
      </c>
      <c r="E105" s="88">
        <f t="shared" si="19"/>
        <v>0</v>
      </c>
      <c r="F105" s="100"/>
      <c r="G105" s="90">
        <f t="shared" si="17"/>
        <v>0</v>
      </c>
    </row>
    <row r="106" spans="2:13" x14ac:dyDescent="0.2">
      <c r="B106" s="84" t="s">
        <v>91</v>
      </c>
      <c r="C106" s="85"/>
      <c r="D106" s="86"/>
      <c r="E106" s="85">
        <f>SUM(E93:E102)</f>
        <v>0</v>
      </c>
      <c r="F106" s="91"/>
      <c r="G106" s="101">
        <f>SUM(G93:G102)</f>
        <v>0</v>
      </c>
    </row>
    <row r="108" spans="2:13" x14ac:dyDescent="0.2">
      <c r="B108" s="137" t="s">
        <v>101</v>
      </c>
      <c r="C108" s="138"/>
      <c r="D108" s="143"/>
      <c r="E108" s="140"/>
      <c r="F108" s="141"/>
      <c r="G108" s="138"/>
    </row>
    <row r="109" spans="2:13" x14ac:dyDescent="0.2">
      <c r="B109" s="136" t="s">
        <v>95</v>
      </c>
      <c r="C109" s="239"/>
      <c r="D109" s="144"/>
      <c r="E109" s="487">
        <v>2018</v>
      </c>
      <c r="F109" s="484"/>
      <c r="G109" s="485"/>
    </row>
    <row r="110" spans="2:13" x14ac:dyDescent="0.2">
      <c r="B110" s="98" t="str">
        <f>B93</f>
        <v xml:space="preserve">Residential </v>
      </c>
      <c r="C110" s="88"/>
      <c r="D110" s="99" t="str">
        <f>D93</f>
        <v>kWh</v>
      </c>
      <c r="E110" s="88">
        <f>E93</f>
        <v>0</v>
      </c>
      <c r="F110" s="155"/>
      <c r="G110" s="90">
        <f t="shared" ref="G110:G122" si="20">E110*F110</f>
        <v>0</v>
      </c>
    </row>
    <row r="111" spans="2:13" x14ac:dyDescent="0.2">
      <c r="B111" s="98" t="str">
        <f t="shared" ref="B111:B122" si="21">B94</f>
        <v>General Service &lt; 50 kW</v>
      </c>
      <c r="C111" s="88"/>
      <c r="D111" s="99" t="str">
        <f t="shared" ref="D111:E122" si="22">D94</f>
        <v>kWh</v>
      </c>
      <c r="E111" s="88">
        <f t="shared" si="22"/>
        <v>0</v>
      </c>
      <c r="F111" s="155"/>
      <c r="G111" s="90">
        <f t="shared" si="20"/>
        <v>0</v>
      </c>
    </row>
    <row r="112" spans="2:13" x14ac:dyDescent="0.2">
      <c r="B112" s="98" t="str">
        <f t="shared" si="21"/>
        <v>General Service &gt; 50 to 999 kW</v>
      </c>
      <c r="C112" s="88"/>
      <c r="D112" s="99" t="str">
        <f t="shared" si="22"/>
        <v>kWh</v>
      </c>
      <c r="E112" s="88">
        <f t="shared" si="22"/>
        <v>0</v>
      </c>
      <c r="F112" s="155"/>
      <c r="G112" s="90">
        <f t="shared" si="20"/>
        <v>0</v>
      </c>
      <c r="I112" t="s">
        <v>137</v>
      </c>
      <c r="J112" t="s">
        <v>137</v>
      </c>
      <c r="K112" t="s">
        <v>137</v>
      </c>
      <c r="L112" t="s">
        <v>137</v>
      </c>
      <c r="M112" t="s">
        <v>137</v>
      </c>
    </row>
    <row r="113" spans="2:7" x14ac:dyDescent="0.2">
      <c r="B113" s="98" t="str">
        <f t="shared" si="21"/>
        <v>General Service &gt; 1000 to 4999 kW</v>
      </c>
      <c r="C113" s="88"/>
      <c r="D113" s="99" t="str">
        <f t="shared" si="22"/>
        <v>kWh</v>
      </c>
      <c r="E113" s="88">
        <f t="shared" si="22"/>
        <v>0</v>
      </c>
      <c r="F113" s="155"/>
      <c r="G113" s="90">
        <f t="shared" si="20"/>
        <v>0</v>
      </c>
    </row>
    <row r="114" spans="2:7" x14ac:dyDescent="0.2">
      <c r="B114" s="98" t="str">
        <f t="shared" si="21"/>
        <v>Large User</v>
      </c>
      <c r="C114" s="88"/>
      <c r="D114" s="99" t="str">
        <f t="shared" si="22"/>
        <v>kWh</v>
      </c>
      <c r="E114" s="88">
        <f t="shared" si="22"/>
        <v>0</v>
      </c>
      <c r="F114" s="155"/>
      <c r="G114" s="90">
        <f t="shared" si="20"/>
        <v>0</v>
      </c>
    </row>
    <row r="115" spans="2:7" x14ac:dyDescent="0.2">
      <c r="B115" s="98" t="str">
        <f t="shared" si="21"/>
        <v>Street Lights</v>
      </c>
      <c r="C115" s="88"/>
      <c r="D115" s="99" t="str">
        <f t="shared" si="22"/>
        <v>kWh</v>
      </c>
      <c r="E115" s="88">
        <f t="shared" si="22"/>
        <v>0</v>
      </c>
      <c r="F115" s="155"/>
      <c r="G115" s="90">
        <f t="shared" si="20"/>
        <v>0</v>
      </c>
    </row>
    <row r="116" spans="2:7" x14ac:dyDescent="0.2">
      <c r="B116" s="98" t="str">
        <f t="shared" si="21"/>
        <v>Sentinel Lights</v>
      </c>
      <c r="C116" s="88"/>
      <c r="D116" s="99" t="str">
        <f t="shared" si="22"/>
        <v>kWh</v>
      </c>
      <c r="E116" s="88">
        <f t="shared" si="22"/>
        <v>0</v>
      </c>
      <c r="F116" s="155"/>
      <c r="G116" s="90">
        <f t="shared" si="20"/>
        <v>0</v>
      </c>
    </row>
    <row r="117" spans="2:7" x14ac:dyDescent="0.2">
      <c r="B117" s="98" t="str">
        <f t="shared" si="21"/>
        <v xml:space="preserve">Unmetered Loads </v>
      </c>
      <c r="C117" s="88"/>
      <c r="D117" s="99" t="str">
        <f t="shared" si="22"/>
        <v>kWh</v>
      </c>
      <c r="E117" s="88">
        <f t="shared" si="22"/>
        <v>0</v>
      </c>
      <c r="F117" s="155"/>
      <c r="G117" s="90">
        <f t="shared" si="20"/>
        <v>0</v>
      </c>
    </row>
    <row r="118" spans="2:7" x14ac:dyDescent="0.2">
      <c r="B118" s="98" t="str">
        <f t="shared" si="21"/>
        <v>Embedded Distributor - Hydro One, CND</v>
      </c>
      <c r="C118" s="88"/>
      <c r="D118" s="99" t="str">
        <f t="shared" si="22"/>
        <v>kWh</v>
      </c>
      <c r="E118" s="88">
        <f t="shared" si="22"/>
        <v>0</v>
      </c>
      <c r="F118" s="155"/>
      <c r="G118" s="90">
        <f t="shared" si="20"/>
        <v>0</v>
      </c>
    </row>
    <row r="119" spans="2:7" x14ac:dyDescent="0.2">
      <c r="B119" s="98" t="str">
        <f t="shared" si="21"/>
        <v>Embedded Distributor - Waterloo North, CND</v>
      </c>
      <c r="C119" s="88"/>
      <c r="D119" s="99" t="str">
        <f t="shared" si="22"/>
        <v>kWh</v>
      </c>
      <c r="E119" s="88">
        <f t="shared" si="22"/>
        <v>0</v>
      </c>
      <c r="F119" s="155"/>
      <c r="G119" s="90">
        <f t="shared" si="20"/>
        <v>0</v>
      </c>
    </row>
    <row r="120" spans="2:7" x14ac:dyDescent="0.2">
      <c r="B120" s="98" t="str">
        <f t="shared" si="21"/>
        <v>Embedded Distributor - Brantford Power, BCP</v>
      </c>
      <c r="C120" s="88"/>
      <c r="D120" s="99" t="str">
        <f t="shared" si="22"/>
        <v>kWh</v>
      </c>
      <c r="E120" s="88">
        <f t="shared" si="22"/>
        <v>0</v>
      </c>
      <c r="F120" s="155"/>
      <c r="G120" s="90">
        <f t="shared" si="20"/>
        <v>0</v>
      </c>
    </row>
    <row r="121" spans="2:7" x14ac:dyDescent="0.2">
      <c r="B121" s="98" t="str">
        <f t="shared" si="21"/>
        <v>Embedded Distributor - Hydro One #1, BCP</v>
      </c>
      <c r="C121" s="88"/>
      <c r="D121" s="99" t="str">
        <f t="shared" si="22"/>
        <v>kWh</v>
      </c>
      <c r="E121" s="88">
        <f t="shared" si="22"/>
        <v>0</v>
      </c>
      <c r="F121" s="155"/>
      <c r="G121" s="90">
        <f t="shared" si="20"/>
        <v>0</v>
      </c>
    </row>
    <row r="122" spans="2:7" x14ac:dyDescent="0.2">
      <c r="B122" s="98" t="str">
        <f t="shared" si="21"/>
        <v>Embedded Distributor - Hydro One #2, BCP</v>
      </c>
      <c r="C122" s="88"/>
      <c r="D122" s="99" t="str">
        <f t="shared" si="22"/>
        <v>kWh</v>
      </c>
      <c r="E122" s="88">
        <f t="shared" si="22"/>
        <v>0</v>
      </c>
      <c r="F122" s="155"/>
      <c r="G122" s="90">
        <f t="shared" si="20"/>
        <v>0</v>
      </c>
    </row>
    <row r="123" spans="2:7" x14ac:dyDescent="0.2">
      <c r="B123" s="84" t="s">
        <v>91</v>
      </c>
      <c r="C123" s="85"/>
      <c r="D123" s="86"/>
      <c r="E123" s="85">
        <f>SUM(E110:E119)</f>
        <v>0</v>
      </c>
      <c r="F123" s="91"/>
      <c r="G123" s="101">
        <f>SUM(G110:G119)</f>
        <v>0</v>
      </c>
    </row>
    <row r="125" spans="2:7" x14ac:dyDescent="0.2">
      <c r="B125" s="145"/>
      <c r="C125" s="146">
        <v>2018</v>
      </c>
    </row>
    <row r="126" spans="2:7" x14ac:dyDescent="0.2">
      <c r="B126" s="59"/>
      <c r="C126" s="102"/>
    </row>
    <row r="127" spans="2:7" x14ac:dyDescent="0.2">
      <c r="B127" s="56" t="s">
        <v>102</v>
      </c>
      <c r="C127" s="103">
        <f>G36+G53</f>
        <v>0</v>
      </c>
    </row>
    <row r="128" spans="2:7" x14ac:dyDescent="0.2">
      <c r="B128" s="56" t="s">
        <v>103</v>
      </c>
      <c r="C128" s="104">
        <f>G106</f>
        <v>0</v>
      </c>
    </row>
    <row r="129" spans="2:3" x14ac:dyDescent="0.2">
      <c r="B129" s="56" t="s">
        <v>104</v>
      </c>
      <c r="C129" s="104">
        <f>G71</f>
        <v>0</v>
      </c>
    </row>
    <row r="130" spans="2:3" x14ac:dyDescent="0.2">
      <c r="B130" s="56" t="s">
        <v>105</v>
      </c>
      <c r="C130" s="104">
        <f>G89</f>
        <v>0</v>
      </c>
    </row>
    <row r="131" spans="2:3" x14ac:dyDescent="0.2">
      <c r="B131" s="56" t="s">
        <v>106</v>
      </c>
      <c r="C131" s="104">
        <f>G123</f>
        <v>0</v>
      </c>
    </row>
    <row r="132" spans="2:3" x14ac:dyDescent="0.2">
      <c r="B132" s="56" t="s">
        <v>107</v>
      </c>
      <c r="C132" s="240"/>
    </row>
    <row r="133" spans="2:3" x14ac:dyDescent="0.2">
      <c r="B133" s="148" t="s">
        <v>136</v>
      </c>
      <c r="C133" s="240"/>
    </row>
    <row r="134" spans="2:3" x14ac:dyDescent="0.2">
      <c r="B134" s="63" t="s">
        <v>91</v>
      </c>
      <c r="C134" s="85">
        <f>SUM(C127:C133)</f>
        <v>0</v>
      </c>
    </row>
  </sheetData>
  <mergeCells count="11">
    <mergeCell ref="E56:G56"/>
    <mergeCell ref="E74:G74"/>
    <mergeCell ref="E92:G92"/>
    <mergeCell ref="E109:G109"/>
    <mergeCell ref="B3:E3"/>
    <mergeCell ref="C21:C22"/>
    <mergeCell ref="D21:D22"/>
    <mergeCell ref="E21:G22"/>
    <mergeCell ref="C38:C39"/>
    <mergeCell ref="D38:D39"/>
    <mergeCell ref="E38:G3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4"/>
  <sheetViews>
    <sheetView topLeftCell="A88" workbookViewId="0"/>
  </sheetViews>
  <sheetFormatPr defaultRowHeight="12.75" x14ac:dyDescent="0.2"/>
  <cols>
    <col min="1" max="1" width="1.28515625" customWidth="1"/>
    <col min="2" max="2" width="40.5703125" customWidth="1"/>
    <col min="3" max="3" width="18.85546875" customWidth="1"/>
    <col min="4" max="4" width="10.28515625" bestFit="1" customWidth="1"/>
    <col min="5" max="5" width="13.42578125" bestFit="1" customWidth="1"/>
    <col min="6" max="6" width="9.28515625" bestFit="1" customWidth="1"/>
    <col min="7" max="7" width="11.7109375" bestFit="1" customWidth="1"/>
    <col min="11" max="11" width="12.7109375" bestFit="1" customWidth="1"/>
  </cols>
  <sheetData>
    <row r="2" spans="2:12" ht="13.5" thickBot="1" x14ac:dyDescent="0.25"/>
    <row r="3" spans="2:12" ht="13.5" thickBot="1" x14ac:dyDescent="0.25">
      <c r="B3" s="488" t="s">
        <v>181</v>
      </c>
      <c r="C3" s="489"/>
      <c r="D3" s="489"/>
      <c r="E3" s="490"/>
    </row>
    <row r="4" spans="2:12" x14ac:dyDescent="0.2">
      <c r="B4" s="147" t="s">
        <v>182</v>
      </c>
      <c r="C4" s="68" t="s">
        <v>89</v>
      </c>
      <c r="D4" s="68" t="s">
        <v>90</v>
      </c>
      <c r="E4" s="68" t="s">
        <v>185</v>
      </c>
    </row>
    <row r="5" spans="2:12" x14ac:dyDescent="0.2">
      <c r="B5" s="80" t="s">
        <v>1</v>
      </c>
      <c r="C5" s="81">
        <f>Summary!K17</f>
        <v>461453715.88431841</v>
      </c>
      <c r="D5" s="82"/>
      <c r="E5" s="134">
        <v>0.9224</v>
      </c>
      <c r="I5" s="133"/>
      <c r="J5" s="58"/>
      <c r="K5" s="58"/>
      <c r="L5" s="58"/>
    </row>
    <row r="6" spans="2:12" x14ac:dyDescent="0.2">
      <c r="B6" s="80" t="s">
        <v>138</v>
      </c>
      <c r="C6" s="81">
        <f>Summary!K21</f>
        <v>193967011.30428866</v>
      </c>
      <c r="D6" s="82"/>
      <c r="E6" s="134">
        <v>0.85560000000000003</v>
      </c>
      <c r="I6" s="133"/>
      <c r="J6" s="58"/>
      <c r="K6" s="58"/>
      <c r="L6" s="58"/>
    </row>
    <row r="7" spans="2:12" x14ac:dyDescent="0.2">
      <c r="B7" s="80" t="s">
        <v>139</v>
      </c>
      <c r="C7" s="81">
        <f>Summary!K25</f>
        <v>491288356.1165024</v>
      </c>
      <c r="D7" s="83">
        <f>Summary!K26</f>
        <v>1550486.6606992225</v>
      </c>
      <c r="E7" s="134">
        <v>0.32790000000000002</v>
      </c>
      <c r="I7" s="133"/>
      <c r="J7" s="58"/>
      <c r="K7" s="58"/>
      <c r="L7" s="58"/>
    </row>
    <row r="8" spans="2:12" x14ac:dyDescent="0.2">
      <c r="B8" s="80" t="s">
        <v>140</v>
      </c>
      <c r="C8" s="81">
        <f>Summary!K30</f>
        <v>229378990.2350671</v>
      </c>
      <c r="D8" s="83">
        <f>Summary!K31</f>
        <v>538333.692709091</v>
      </c>
      <c r="E8" s="134">
        <v>0</v>
      </c>
      <c r="I8" s="133"/>
      <c r="J8" s="58"/>
      <c r="K8" s="58"/>
      <c r="L8" s="58"/>
    </row>
    <row r="9" spans="2:12" x14ac:dyDescent="0.2">
      <c r="B9" s="80" t="s">
        <v>113</v>
      </c>
      <c r="C9" s="81">
        <f>Summary!K35</f>
        <v>145141006.46077192</v>
      </c>
      <c r="D9" s="83">
        <f>Summary!K36</f>
        <v>361276.31069675618</v>
      </c>
      <c r="E9" s="134">
        <v>0</v>
      </c>
      <c r="I9" s="133"/>
      <c r="J9" s="58"/>
      <c r="K9" s="58"/>
      <c r="L9" s="58"/>
    </row>
    <row r="10" spans="2:12" x14ac:dyDescent="0.2">
      <c r="B10" s="80" t="s">
        <v>66</v>
      </c>
      <c r="C10" s="81">
        <f>Summary!K44</f>
        <v>3798280.8279070696</v>
      </c>
      <c r="D10" s="83">
        <f>Summary!K45</f>
        <v>10945.463296866632</v>
      </c>
      <c r="E10" s="134">
        <v>0</v>
      </c>
      <c r="I10" s="133"/>
      <c r="J10" s="58"/>
      <c r="K10" s="58"/>
      <c r="L10" s="58"/>
    </row>
    <row r="11" spans="2:12" x14ac:dyDescent="0.2">
      <c r="B11" s="80" t="str">
        <f>Summary!A47</f>
        <v>Sentinel Lights</v>
      </c>
      <c r="C11" s="81">
        <f>Summary!K49</f>
        <v>126989.00000000001</v>
      </c>
      <c r="D11" s="83">
        <f>Summary!K50</f>
        <v>342.92000000000007</v>
      </c>
      <c r="E11" s="134">
        <v>0</v>
      </c>
      <c r="I11" s="133"/>
      <c r="J11" s="58"/>
      <c r="K11" s="58"/>
      <c r="L11" s="58"/>
    </row>
    <row r="12" spans="2:12" x14ac:dyDescent="0.2">
      <c r="B12" s="80" t="s">
        <v>2</v>
      </c>
      <c r="C12" s="81">
        <f>Summary!K54</f>
        <v>2273987.9970972422</v>
      </c>
      <c r="D12" s="83"/>
      <c r="E12" s="134">
        <v>0.998</v>
      </c>
      <c r="I12" s="133"/>
      <c r="J12" s="58"/>
      <c r="K12" s="58"/>
      <c r="L12" s="58"/>
    </row>
    <row r="13" spans="2:12" x14ac:dyDescent="0.2">
      <c r="B13" s="80" t="str">
        <f>Summary!A56</f>
        <v>Embedded Distributor - Hydro One, CND</v>
      </c>
      <c r="C13" s="81">
        <f>Summary!K58</f>
        <v>12605162.219999999</v>
      </c>
      <c r="D13" s="83">
        <f>Summary!K59</f>
        <v>24387.435638304029</v>
      </c>
      <c r="E13" s="134">
        <v>0</v>
      </c>
      <c r="I13" s="133"/>
      <c r="J13" s="58"/>
      <c r="K13" s="58"/>
      <c r="L13" s="58"/>
    </row>
    <row r="14" spans="2:12" x14ac:dyDescent="0.2">
      <c r="B14" s="80" t="str">
        <f>Summary!A61</f>
        <v>Embedded Distributor - Waterloo North, CND</v>
      </c>
      <c r="C14" s="81">
        <f>Summary!K63</f>
        <v>58104381.490000002</v>
      </c>
      <c r="D14" s="83">
        <f>Summary!K64</f>
        <v>114656.88436169598</v>
      </c>
      <c r="E14" s="134">
        <v>0</v>
      </c>
      <c r="I14" s="133"/>
      <c r="J14" s="58"/>
      <c r="K14" s="58"/>
      <c r="L14" s="58"/>
    </row>
    <row r="15" spans="2:12" x14ac:dyDescent="0.2">
      <c r="B15" s="80" t="str">
        <f>Summary!A66</f>
        <v>Embedded Distributor - Brantford Power, BCP</v>
      </c>
      <c r="C15" s="81">
        <f>Summary!K68</f>
        <v>347756.59287776717</v>
      </c>
      <c r="D15" s="83">
        <f>Summary!K69</f>
        <v>1074.96</v>
      </c>
      <c r="E15" s="134">
        <v>0</v>
      </c>
    </row>
    <row r="16" spans="2:12" x14ac:dyDescent="0.2">
      <c r="B16" s="80" t="str">
        <f>Summary!A71</f>
        <v>Embedded Distributor - Hydro One #1, BCP</v>
      </c>
      <c r="C16" s="81">
        <f>Summary!K73</f>
        <v>12191720.381133871</v>
      </c>
      <c r="D16" s="83">
        <f>Summary!K74</f>
        <v>29994.605248481424</v>
      </c>
      <c r="E16" s="134">
        <v>0</v>
      </c>
    </row>
    <row r="17" spans="2:15" x14ac:dyDescent="0.2">
      <c r="B17" s="80" t="str">
        <f>Summary!A76</f>
        <v>Embedded Distributor - Hydro One #2, BCP</v>
      </c>
      <c r="C17" s="81">
        <f>Summary!K78</f>
        <v>43274121.534063838</v>
      </c>
      <c r="D17" s="83">
        <f>Summary!K79</f>
        <v>102972.90667387019</v>
      </c>
      <c r="E17" s="134">
        <v>0</v>
      </c>
    </row>
    <row r="18" spans="2:15" x14ac:dyDescent="0.2">
      <c r="B18" s="84" t="s">
        <v>91</v>
      </c>
      <c r="C18" s="85">
        <f>SUM(C5:C17)</f>
        <v>1653951480.0440283</v>
      </c>
      <c r="D18" s="85">
        <f>SUM(D5:D17)</f>
        <v>2734471.8393242871</v>
      </c>
      <c r="E18" s="85"/>
      <c r="J18" s="55"/>
      <c r="K18" s="55"/>
      <c r="L18" s="55"/>
      <c r="M18" s="55"/>
      <c r="N18" s="241"/>
    </row>
    <row r="19" spans="2:15" x14ac:dyDescent="0.2">
      <c r="C19" s="55"/>
      <c r="D19" s="55"/>
    </row>
    <row r="21" spans="2:15" x14ac:dyDescent="0.2">
      <c r="B21" s="135" t="s">
        <v>92</v>
      </c>
      <c r="C21" s="491" t="s">
        <v>183</v>
      </c>
      <c r="D21" s="493" t="s">
        <v>184</v>
      </c>
      <c r="E21" s="495">
        <v>2019</v>
      </c>
      <c r="F21" s="496"/>
      <c r="G21" s="497"/>
    </row>
    <row r="22" spans="2:15" x14ac:dyDescent="0.2">
      <c r="B22" s="136" t="s">
        <v>93</v>
      </c>
      <c r="C22" s="492"/>
      <c r="D22" s="494"/>
      <c r="E22" s="483"/>
      <c r="F22" s="484"/>
      <c r="G22" s="485"/>
    </row>
    <row r="23" spans="2:15" ht="15" x14ac:dyDescent="0.25">
      <c r="B23" s="60" t="str">
        <f>B5</f>
        <v xml:space="preserve">Residential </v>
      </c>
      <c r="C23" s="81">
        <f>C5*E5</f>
        <v>425644907.53169531</v>
      </c>
      <c r="D23" s="87"/>
      <c r="E23" s="88">
        <f t="shared" ref="E23:E35" si="0">C23*D23</f>
        <v>0</v>
      </c>
      <c r="F23" s="149"/>
      <c r="G23" s="90">
        <f t="shared" ref="G23:G35" si="1">E23*F23</f>
        <v>0</v>
      </c>
      <c r="J23" s="150" t="s">
        <v>137</v>
      </c>
      <c r="K23" s="150"/>
      <c r="L23" s="150"/>
      <c r="M23" s="151" t="s">
        <v>137</v>
      </c>
      <c r="N23" s="152" t="s">
        <v>137</v>
      </c>
      <c r="O23" s="150" t="s">
        <v>137</v>
      </c>
    </row>
    <row r="24" spans="2:15" ht="15" x14ac:dyDescent="0.25">
      <c r="B24" s="60" t="str">
        <f t="shared" ref="B24:B35" si="2">B6</f>
        <v>General Service &lt; 50 kW</v>
      </c>
      <c r="C24" s="81">
        <f t="shared" ref="C24:C35" si="3">C6*E6</f>
        <v>165958174.87194937</v>
      </c>
      <c r="D24" s="87"/>
      <c r="E24" s="88">
        <f t="shared" si="0"/>
        <v>0</v>
      </c>
      <c r="F24" s="149"/>
      <c r="G24" s="90">
        <f t="shared" si="1"/>
        <v>0</v>
      </c>
      <c r="J24" s="150" t="s">
        <v>137</v>
      </c>
      <c r="K24" s="150"/>
      <c r="L24" s="150"/>
      <c r="M24" s="151" t="s">
        <v>137</v>
      </c>
      <c r="N24" s="152" t="s">
        <v>137</v>
      </c>
      <c r="O24" s="150" t="s">
        <v>137</v>
      </c>
    </row>
    <row r="25" spans="2:15" ht="15" x14ac:dyDescent="0.25">
      <c r="B25" s="60" t="str">
        <f t="shared" si="2"/>
        <v>General Service &gt; 50 to 999 kW</v>
      </c>
      <c r="C25" s="81">
        <f t="shared" si="3"/>
        <v>161093451.97060114</v>
      </c>
      <c r="D25" s="87"/>
      <c r="E25" s="88">
        <f t="shared" si="0"/>
        <v>0</v>
      </c>
      <c r="F25" s="149"/>
      <c r="G25" s="90">
        <f t="shared" si="1"/>
        <v>0</v>
      </c>
      <c r="J25" s="150" t="s">
        <v>137</v>
      </c>
      <c r="K25" s="150"/>
      <c r="L25" s="150"/>
      <c r="M25" s="151" t="s">
        <v>137</v>
      </c>
      <c r="N25" s="152" t="s">
        <v>137</v>
      </c>
      <c r="O25" s="150" t="s">
        <v>137</v>
      </c>
    </row>
    <row r="26" spans="2:15" ht="15" x14ac:dyDescent="0.25">
      <c r="B26" s="60" t="str">
        <f t="shared" si="2"/>
        <v>General Service &gt; 1000 to 4999 kW</v>
      </c>
      <c r="C26" s="81">
        <f t="shared" si="3"/>
        <v>0</v>
      </c>
      <c r="D26" s="87"/>
      <c r="E26" s="88">
        <f t="shared" si="0"/>
        <v>0</v>
      </c>
      <c r="F26" s="149"/>
      <c r="G26" s="90">
        <f t="shared" si="1"/>
        <v>0</v>
      </c>
      <c r="J26" s="150"/>
      <c r="K26" s="150"/>
      <c r="L26" s="150"/>
      <c r="M26" s="150"/>
      <c r="N26" s="150"/>
      <c r="O26" s="151" t="s">
        <v>137</v>
      </c>
    </row>
    <row r="27" spans="2:15" x14ac:dyDescent="0.2">
      <c r="B27" s="60" t="str">
        <f t="shared" si="2"/>
        <v>Large User</v>
      </c>
      <c r="C27" s="81">
        <f t="shared" si="3"/>
        <v>0</v>
      </c>
      <c r="D27" s="87"/>
      <c r="E27" s="88">
        <f t="shared" si="0"/>
        <v>0</v>
      </c>
      <c r="F27" s="149"/>
      <c r="G27" s="90">
        <f t="shared" si="1"/>
        <v>0</v>
      </c>
    </row>
    <row r="28" spans="2:15" x14ac:dyDescent="0.2">
      <c r="B28" s="60" t="str">
        <f t="shared" si="2"/>
        <v>Street Lights</v>
      </c>
      <c r="C28" s="81">
        <f t="shared" si="3"/>
        <v>0</v>
      </c>
      <c r="D28" s="87"/>
      <c r="E28" s="88">
        <f t="shared" si="0"/>
        <v>0</v>
      </c>
      <c r="F28" s="149"/>
      <c r="G28" s="90">
        <f t="shared" si="1"/>
        <v>0</v>
      </c>
    </row>
    <row r="29" spans="2:15" x14ac:dyDescent="0.2">
      <c r="B29" s="60" t="str">
        <f t="shared" si="2"/>
        <v>Sentinel Lights</v>
      </c>
      <c r="C29" s="81">
        <f t="shared" si="3"/>
        <v>0</v>
      </c>
      <c r="D29" s="87"/>
      <c r="E29" s="88">
        <f t="shared" si="0"/>
        <v>0</v>
      </c>
      <c r="F29" s="149"/>
      <c r="G29" s="90">
        <f t="shared" si="1"/>
        <v>0</v>
      </c>
    </row>
    <row r="30" spans="2:15" x14ac:dyDescent="0.2">
      <c r="B30" s="60" t="str">
        <f t="shared" si="2"/>
        <v xml:space="preserve">Unmetered Loads </v>
      </c>
      <c r="C30" s="81">
        <f t="shared" si="3"/>
        <v>2269440.0211030478</v>
      </c>
      <c r="D30" s="87"/>
      <c r="E30" s="88">
        <f t="shared" si="0"/>
        <v>0</v>
      </c>
      <c r="F30" s="149"/>
      <c r="G30" s="90">
        <f t="shared" si="1"/>
        <v>0</v>
      </c>
    </row>
    <row r="31" spans="2:15" x14ac:dyDescent="0.2">
      <c r="B31" s="60" t="str">
        <f t="shared" si="2"/>
        <v>Embedded Distributor - Hydro One, CND</v>
      </c>
      <c r="C31" s="81">
        <f t="shared" si="3"/>
        <v>0</v>
      </c>
      <c r="D31" s="87"/>
      <c r="E31" s="88">
        <f t="shared" si="0"/>
        <v>0</v>
      </c>
      <c r="F31" s="149"/>
      <c r="G31" s="90">
        <f t="shared" si="1"/>
        <v>0</v>
      </c>
    </row>
    <row r="32" spans="2:15" x14ac:dyDescent="0.2">
      <c r="B32" s="60" t="str">
        <f t="shared" si="2"/>
        <v>Embedded Distributor - Waterloo North, CND</v>
      </c>
      <c r="C32" s="81">
        <f t="shared" si="3"/>
        <v>0</v>
      </c>
      <c r="D32" s="87"/>
      <c r="E32" s="88">
        <f t="shared" si="0"/>
        <v>0</v>
      </c>
      <c r="F32" s="149"/>
      <c r="G32" s="90">
        <f t="shared" si="1"/>
        <v>0</v>
      </c>
    </row>
    <row r="33" spans="2:7" x14ac:dyDescent="0.2">
      <c r="B33" s="60" t="str">
        <f t="shared" si="2"/>
        <v>Embedded Distributor - Brantford Power, BCP</v>
      </c>
      <c r="C33" s="81">
        <f t="shared" si="3"/>
        <v>0</v>
      </c>
      <c r="D33" s="87"/>
      <c r="E33" s="88">
        <f t="shared" si="0"/>
        <v>0</v>
      </c>
      <c r="F33" s="149"/>
      <c r="G33" s="90">
        <f t="shared" si="1"/>
        <v>0</v>
      </c>
    </row>
    <row r="34" spans="2:7" x14ac:dyDescent="0.2">
      <c r="B34" s="60" t="str">
        <f>B16</f>
        <v>Embedded Distributor - Hydro One #1, BCP</v>
      </c>
      <c r="C34" s="81">
        <f t="shared" si="3"/>
        <v>0</v>
      </c>
      <c r="D34" s="87"/>
      <c r="E34" s="88">
        <f t="shared" si="0"/>
        <v>0</v>
      </c>
      <c r="F34" s="149"/>
      <c r="G34" s="90">
        <f t="shared" si="1"/>
        <v>0</v>
      </c>
    </row>
    <row r="35" spans="2:7" x14ac:dyDescent="0.2">
      <c r="B35" s="60" t="str">
        <f t="shared" si="2"/>
        <v>Embedded Distributor - Hydro One #2, BCP</v>
      </c>
      <c r="C35" s="81">
        <f t="shared" si="3"/>
        <v>0</v>
      </c>
      <c r="D35" s="87"/>
      <c r="E35" s="88">
        <f t="shared" si="0"/>
        <v>0</v>
      </c>
      <c r="F35" s="149"/>
      <c r="G35" s="90">
        <f t="shared" si="1"/>
        <v>0</v>
      </c>
    </row>
    <row r="36" spans="2:7" x14ac:dyDescent="0.2">
      <c r="B36" s="84" t="s">
        <v>91</v>
      </c>
      <c r="C36" s="85">
        <f>SUM(C23:C35)</f>
        <v>754965974.39534891</v>
      </c>
      <c r="D36" s="86"/>
      <c r="E36" s="85">
        <f>SUM(E23:E35)</f>
        <v>0</v>
      </c>
      <c r="F36" s="153"/>
      <c r="G36" s="92">
        <f>SUM(G23:G35)</f>
        <v>0</v>
      </c>
    </row>
    <row r="37" spans="2:7" x14ac:dyDescent="0.2">
      <c r="B37" s="93"/>
      <c r="C37" s="94"/>
      <c r="D37" s="95"/>
      <c r="E37" s="94"/>
      <c r="F37" s="96"/>
      <c r="G37" s="97"/>
    </row>
    <row r="38" spans="2:7" x14ac:dyDescent="0.2">
      <c r="B38" s="135" t="s">
        <v>94</v>
      </c>
      <c r="C38" s="491" t="s">
        <v>183</v>
      </c>
      <c r="D38" s="493" t="s">
        <v>184</v>
      </c>
      <c r="E38" s="495">
        <v>2019</v>
      </c>
      <c r="F38" s="496"/>
      <c r="G38" s="497"/>
    </row>
    <row r="39" spans="2:7" x14ac:dyDescent="0.2">
      <c r="B39" s="136" t="s">
        <v>95</v>
      </c>
      <c r="C39" s="492"/>
      <c r="D39" s="494"/>
      <c r="E39" s="483"/>
      <c r="F39" s="484"/>
      <c r="G39" s="485"/>
    </row>
    <row r="40" spans="2:7" x14ac:dyDescent="0.2">
      <c r="B40" s="60" t="str">
        <f>B23</f>
        <v xml:space="preserve">Residential </v>
      </c>
      <c r="C40" s="81">
        <f>C5-C23</f>
        <v>35808808.352623105</v>
      </c>
      <c r="D40" s="82">
        <f>D23</f>
        <v>0</v>
      </c>
      <c r="E40" s="88">
        <f t="shared" ref="E40:E52" si="4">C40*D40</f>
        <v>0</v>
      </c>
      <c r="F40" s="89"/>
      <c r="G40" s="90">
        <f t="shared" ref="G40:G52" si="5">E40*F40</f>
        <v>0</v>
      </c>
    </row>
    <row r="41" spans="2:7" x14ac:dyDescent="0.2">
      <c r="B41" s="60" t="str">
        <f t="shared" ref="B41:B52" si="6">B24</f>
        <v>General Service &lt; 50 kW</v>
      </c>
      <c r="C41" s="81">
        <f t="shared" ref="C41:C52" si="7">C6-C24</f>
        <v>28008836.432339281</v>
      </c>
      <c r="D41" s="82">
        <f t="shared" ref="D41:D52" si="8">D24</f>
        <v>0</v>
      </c>
      <c r="E41" s="88">
        <f t="shared" si="4"/>
        <v>0</v>
      </c>
      <c r="F41" s="89"/>
      <c r="G41" s="90">
        <f t="shared" si="5"/>
        <v>0</v>
      </c>
    </row>
    <row r="42" spans="2:7" x14ac:dyDescent="0.2">
      <c r="B42" s="60" t="str">
        <f t="shared" si="6"/>
        <v>General Service &gt; 50 to 999 kW</v>
      </c>
      <c r="C42" s="81">
        <f t="shared" si="7"/>
        <v>330194904.14590126</v>
      </c>
      <c r="D42" s="82">
        <f t="shared" si="8"/>
        <v>0</v>
      </c>
      <c r="E42" s="88">
        <f t="shared" si="4"/>
        <v>0</v>
      </c>
      <c r="F42" s="89"/>
      <c r="G42" s="90">
        <f t="shared" si="5"/>
        <v>0</v>
      </c>
    </row>
    <row r="43" spans="2:7" x14ac:dyDescent="0.2">
      <c r="B43" s="60" t="str">
        <f t="shared" si="6"/>
        <v>General Service &gt; 1000 to 4999 kW</v>
      </c>
      <c r="C43" s="81">
        <f t="shared" si="7"/>
        <v>229378990.2350671</v>
      </c>
      <c r="D43" s="82">
        <f t="shared" si="8"/>
        <v>0</v>
      </c>
      <c r="E43" s="88">
        <f t="shared" si="4"/>
        <v>0</v>
      </c>
      <c r="F43" s="89"/>
      <c r="G43" s="90">
        <f t="shared" si="5"/>
        <v>0</v>
      </c>
    </row>
    <row r="44" spans="2:7" x14ac:dyDescent="0.2">
      <c r="B44" s="60" t="str">
        <f t="shared" si="6"/>
        <v>Large User</v>
      </c>
      <c r="C44" s="81">
        <f t="shared" si="7"/>
        <v>145141006.46077192</v>
      </c>
      <c r="D44" s="82">
        <f t="shared" si="8"/>
        <v>0</v>
      </c>
      <c r="E44" s="88">
        <f t="shared" si="4"/>
        <v>0</v>
      </c>
      <c r="F44" s="89"/>
      <c r="G44" s="90">
        <f t="shared" si="5"/>
        <v>0</v>
      </c>
    </row>
    <row r="45" spans="2:7" x14ac:dyDescent="0.2">
      <c r="B45" s="60" t="str">
        <f t="shared" si="6"/>
        <v>Street Lights</v>
      </c>
      <c r="C45" s="81">
        <f t="shared" si="7"/>
        <v>3798280.8279070696</v>
      </c>
      <c r="D45" s="82">
        <f t="shared" si="8"/>
        <v>0</v>
      </c>
      <c r="E45" s="88">
        <f t="shared" si="4"/>
        <v>0</v>
      </c>
      <c r="F45" s="89"/>
      <c r="G45" s="90">
        <f t="shared" si="5"/>
        <v>0</v>
      </c>
    </row>
    <row r="46" spans="2:7" x14ac:dyDescent="0.2">
      <c r="B46" s="60" t="str">
        <f t="shared" si="6"/>
        <v>Sentinel Lights</v>
      </c>
      <c r="C46" s="81">
        <f t="shared" si="7"/>
        <v>126989.00000000001</v>
      </c>
      <c r="D46" s="82">
        <f t="shared" si="8"/>
        <v>0</v>
      </c>
      <c r="E46" s="88">
        <f t="shared" si="4"/>
        <v>0</v>
      </c>
      <c r="F46" s="89"/>
      <c r="G46" s="90">
        <f t="shared" si="5"/>
        <v>0</v>
      </c>
    </row>
    <row r="47" spans="2:7" x14ac:dyDescent="0.2">
      <c r="B47" s="60" t="str">
        <f t="shared" si="6"/>
        <v xml:space="preserve">Unmetered Loads </v>
      </c>
      <c r="C47" s="81">
        <f t="shared" si="7"/>
        <v>4547.9759941943921</v>
      </c>
      <c r="D47" s="82">
        <f t="shared" si="8"/>
        <v>0</v>
      </c>
      <c r="E47" s="88">
        <f t="shared" si="4"/>
        <v>0</v>
      </c>
      <c r="F47" s="89"/>
      <c r="G47" s="90">
        <f t="shared" si="5"/>
        <v>0</v>
      </c>
    </row>
    <row r="48" spans="2:7" x14ac:dyDescent="0.2">
      <c r="B48" s="60" t="str">
        <f t="shared" si="6"/>
        <v>Embedded Distributor - Hydro One, CND</v>
      </c>
      <c r="C48" s="81">
        <f t="shared" si="7"/>
        <v>12605162.219999999</v>
      </c>
      <c r="D48" s="82">
        <f t="shared" si="8"/>
        <v>0</v>
      </c>
      <c r="E48" s="88">
        <f t="shared" si="4"/>
        <v>0</v>
      </c>
      <c r="F48" s="89"/>
      <c r="G48" s="90">
        <f t="shared" si="5"/>
        <v>0</v>
      </c>
    </row>
    <row r="49" spans="2:9" x14ac:dyDescent="0.2">
      <c r="B49" s="60" t="str">
        <f t="shared" si="6"/>
        <v>Embedded Distributor - Waterloo North, CND</v>
      </c>
      <c r="C49" s="81">
        <f t="shared" si="7"/>
        <v>58104381.490000002</v>
      </c>
      <c r="D49" s="82">
        <f t="shared" si="8"/>
        <v>0</v>
      </c>
      <c r="E49" s="88">
        <f t="shared" si="4"/>
        <v>0</v>
      </c>
      <c r="F49" s="89"/>
      <c r="G49" s="90">
        <f t="shared" si="5"/>
        <v>0</v>
      </c>
    </row>
    <row r="50" spans="2:9" x14ac:dyDescent="0.2">
      <c r="B50" s="60" t="str">
        <f t="shared" si="6"/>
        <v>Embedded Distributor - Brantford Power, BCP</v>
      </c>
      <c r="C50" s="81">
        <f t="shared" si="7"/>
        <v>347756.59287776717</v>
      </c>
      <c r="D50" s="82">
        <f t="shared" si="8"/>
        <v>0</v>
      </c>
      <c r="E50" s="88">
        <f t="shared" si="4"/>
        <v>0</v>
      </c>
      <c r="F50" s="89"/>
      <c r="G50" s="90">
        <f t="shared" si="5"/>
        <v>0</v>
      </c>
    </row>
    <row r="51" spans="2:9" x14ac:dyDescent="0.2">
      <c r="B51" s="60" t="str">
        <f t="shared" si="6"/>
        <v>Embedded Distributor - Hydro One #1, BCP</v>
      </c>
      <c r="C51" s="81">
        <f t="shared" si="7"/>
        <v>12191720.381133871</v>
      </c>
      <c r="D51" s="82">
        <f t="shared" si="8"/>
        <v>0</v>
      </c>
      <c r="E51" s="88">
        <f t="shared" si="4"/>
        <v>0</v>
      </c>
      <c r="F51" s="89"/>
      <c r="G51" s="90">
        <f t="shared" si="5"/>
        <v>0</v>
      </c>
    </row>
    <row r="52" spans="2:9" x14ac:dyDescent="0.2">
      <c r="B52" s="60" t="str">
        <f t="shared" si="6"/>
        <v>Embedded Distributor - Hydro One #2, BCP</v>
      </c>
      <c r="C52" s="81">
        <f t="shared" si="7"/>
        <v>43274121.534063838</v>
      </c>
      <c r="D52" s="82">
        <f t="shared" si="8"/>
        <v>0</v>
      </c>
      <c r="E52" s="88">
        <f t="shared" si="4"/>
        <v>0</v>
      </c>
      <c r="F52" s="89"/>
      <c r="G52" s="90">
        <f t="shared" si="5"/>
        <v>0</v>
      </c>
    </row>
    <row r="53" spans="2:9" x14ac:dyDescent="0.2">
      <c r="B53" s="84" t="s">
        <v>91</v>
      </c>
      <c r="C53" s="85">
        <f>SUM(C40:C52)</f>
        <v>898985505.64867949</v>
      </c>
      <c r="D53" s="86"/>
      <c r="E53" s="85">
        <f>SUM(E40:E52)</f>
        <v>0</v>
      </c>
      <c r="F53" s="153"/>
      <c r="G53" s="92">
        <f>SUM(G40:G52)</f>
        <v>0</v>
      </c>
    </row>
    <row r="55" spans="2:9" x14ac:dyDescent="0.2">
      <c r="B55" s="137" t="s">
        <v>96</v>
      </c>
      <c r="C55" s="138"/>
      <c r="D55" s="139" t="s">
        <v>97</v>
      </c>
      <c r="E55" s="140"/>
      <c r="F55" s="141"/>
      <c r="G55" s="138"/>
    </row>
    <row r="56" spans="2:9" x14ac:dyDescent="0.2">
      <c r="B56" s="136" t="s">
        <v>95</v>
      </c>
      <c r="C56" s="239"/>
      <c r="D56" s="142" t="s">
        <v>98</v>
      </c>
      <c r="E56" s="483">
        <v>2019</v>
      </c>
      <c r="F56" s="484"/>
      <c r="G56" s="485"/>
    </row>
    <row r="57" spans="2:9" x14ac:dyDescent="0.2">
      <c r="B57" s="98" t="str">
        <f>B40</f>
        <v xml:space="preserve">Residential </v>
      </c>
      <c r="C57" s="88"/>
      <c r="D57" s="99" t="s">
        <v>89</v>
      </c>
      <c r="E57" s="88">
        <f>E23+E40</f>
        <v>0</v>
      </c>
      <c r="F57" s="154"/>
      <c r="G57" s="90">
        <f t="shared" ref="G57:G70" si="9">E57*F57</f>
        <v>0</v>
      </c>
    </row>
    <row r="58" spans="2:9" x14ac:dyDescent="0.2">
      <c r="B58" s="98" t="str">
        <f>B41</f>
        <v>General Service &lt; 50 kW</v>
      </c>
      <c r="C58" s="88"/>
      <c r="D58" s="99" t="s">
        <v>89</v>
      </c>
      <c r="E58" s="88">
        <f>E24+E41</f>
        <v>0</v>
      </c>
      <c r="F58" s="154"/>
      <c r="G58" s="90">
        <f t="shared" si="9"/>
        <v>0</v>
      </c>
    </row>
    <row r="59" spans="2:9" x14ac:dyDescent="0.2">
      <c r="B59" s="98" t="str">
        <f>B42</f>
        <v>General Service &gt; 50 to 999 kW</v>
      </c>
      <c r="C59" s="88"/>
      <c r="D59" s="99" t="s">
        <v>90</v>
      </c>
      <c r="E59" s="88">
        <f>D7</f>
        <v>1550486.6606992225</v>
      </c>
      <c r="F59" s="154"/>
      <c r="G59" s="90">
        <f t="shared" si="9"/>
        <v>0</v>
      </c>
    </row>
    <row r="60" spans="2:9" x14ac:dyDescent="0.2">
      <c r="B60" s="98" t="str">
        <f>B43</f>
        <v>General Service &gt; 1000 to 4999 kW</v>
      </c>
      <c r="C60" s="88"/>
      <c r="D60" s="99" t="s">
        <v>90</v>
      </c>
      <c r="E60" s="88">
        <f t="shared" ref="E60" si="10">D8</f>
        <v>538333.692709091</v>
      </c>
      <c r="F60" s="154"/>
      <c r="G60" s="90">
        <f t="shared" si="9"/>
        <v>0</v>
      </c>
      <c r="I60" s="30"/>
    </row>
    <row r="61" spans="2:9" x14ac:dyDescent="0.2">
      <c r="B61" s="55" t="str">
        <f>Summary!A38</f>
        <v>Direct Market Participant</v>
      </c>
      <c r="C61" s="88"/>
      <c r="D61" s="99" t="s">
        <v>90</v>
      </c>
      <c r="E61" s="55">
        <f>Summary!I40</f>
        <v>67941.700000000012</v>
      </c>
      <c r="F61" s="154"/>
      <c r="G61" s="90">
        <f t="shared" si="9"/>
        <v>0</v>
      </c>
      <c r="I61" s="30"/>
    </row>
    <row r="62" spans="2:9" x14ac:dyDescent="0.2">
      <c r="B62" s="98" t="str">
        <f>B44</f>
        <v>Large User</v>
      </c>
      <c r="C62" s="88"/>
      <c r="D62" s="99" t="s">
        <v>90</v>
      </c>
      <c r="E62" s="88">
        <f>D9</f>
        <v>361276.31069675618</v>
      </c>
      <c r="F62" s="154"/>
      <c r="G62" s="90">
        <f t="shared" si="9"/>
        <v>0</v>
      </c>
    </row>
    <row r="63" spans="2:9" x14ac:dyDescent="0.2">
      <c r="B63" s="98" t="str">
        <f>B45</f>
        <v>Street Lights</v>
      </c>
      <c r="C63" s="88"/>
      <c r="D63" s="99" t="s">
        <v>90</v>
      </c>
      <c r="E63" s="88">
        <f t="shared" ref="E63:E64" si="11">D10</f>
        <v>10945.463296866632</v>
      </c>
      <c r="F63" s="154"/>
      <c r="G63" s="90">
        <f t="shared" si="9"/>
        <v>0</v>
      </c>
    </row>
    <row r="64" spans="2:9" x14ac:dyDescent="0.2">
      <c r="B64" s="98" t="str">
        <f>B46</f>
        <v>Sentinel Lights</v>
      </c>
      <c r="C64" s="88"/>
      <c r="D64" s="99" t="s">
        <v>90</v>
      </c>
      <c r="E64" s="88">
        <f t="shared" si="11"/>
        <v>342.92000000000007</v>
      </c>
      <c r="F64" s="154"/>
      <c r="G64" s="90">
        <f t="shared" si="9"/>
        <v>0</v>
      </c>
    </row>
    <row r="65" spans="2:7" x14ac:dyDescent="0.2">
      <c r="B65" s="98" t="str">
        <f>B47</f>
        <v xml:space="preserve">Unmetered Loads </v>
      </c>
      <c r="C65" s="88"/>
      <c r="D65" s="99" t="s">
        <v>89</v>
      </c>
      <c r="E65" s="88">
        <f>E31+E48</f>
        <v>0</v>
      </c>
      <c r="F65" s="154"/>
      <c r="G65" s="90">
        <f t="shared" si="9"/>
        <v>0</v>
      </c>
    </row>
    <row r="66" spans="2:7" x14ac:dyDescent="0.2">
      <c r="B66" s="98" t="str">
        <f t="shared" ref="B66:B70" si="12">B48</f>
        <v>Embedded Distributor - Hydro One, CND</v>
      </c>
      <c r="C66" s="88"/>
      <c r="D66" s="99" t="s">
        <v>90</v>
      </c>
      <c r="E66" s="88">
        <f>D13</f>
        <v>24387.435638304029</v>
      </c>
      <c r="F66" s="154"/>
      <c r="G66" s="90">
        <f t="shared" si="9"/>
        <v>0</v>
      </c>
    </row>
    <row r="67" spans="2:7" x14ac:dyDescent="0.2">
      <c r="B67" s="98" t="str">
        <f t="shared" si="12"/>
        <v>Embedded Distributor - Waterloo North, CND</v>
      </c>
      <c r="C67" s="88"/>
      <c r="D67" s="99" t="s">
        <v>90</v>
      </c>
      <c r="E67" s="88">
        <f t="shared" ref="E67:E70" si="13">D14</f>
        <v>114656.88436169598</v>
      </c>
      <c r="F67" s="154"/>
      <c r="G67" s="90">
        <f t="shared" si="9"/>
        <v>0</v>
      </c>
    </row>
    <row r="68" spans="2:7" x14ac:dyDescent="0.2">
      <c r="B68" s="98" t="str">
        <f t="shared" si="12"/>
        <v>Embedded Distributor - Brantford Power, BCP</v>
      </c>
      <c r="C68" s="88"/>
      <c r="D68" s="99" t="s">
        <v>90</v>
      </c>
      <c r="E68" s="88">
        <f t="shared" si="13"/>
        <v>1074.96</v>
      </c>
      <c r="F68" s="154"/>
      <c r="G68" s="90">
        <f t="shared" si="9"/>
        <v>0</v>
      </c>
    </row>
    <row r="69" spans="2:7" x14ac:dyDescent="0.2">
      <c r="B69" s="98" t="str">
        <f t="shared" si="12"/>
        <v>Embedded Distributor - Hydro One #1, BCP</v>
      </c>
      <c r="C69" s="88"/>
      <c r="D69" s="99" t="s">
        <v>90</v>
      </c>
      <c r="E69" s="88">
        <f t="shared" si="13"/>
        <v>29994.605248481424</v>
      </c>
      <c r="F69" s="154"/>
      <c r="G69" s="90">
        <f t="shared" si="9"/>
        <v>0</v>
      </c>
    </row>
    <row r="70" spans="2:7" x14ac:dyDescent="0.2">
      <c r="B70" s="98" t="str">
        <f t="shared" si="12"/>
        <v>Embedded Distributor - Hydro One #2, BCP</v>
      </c>
      <c r="C70" s="88"/>
      <c r="D70" s="99" t="s">
        <v>90</v>
      </c>
      <c r="E70" s="88">
        <f t="shared" si="13"/>
        <v>102972.90667387019</v>
      </c>
      <c r="F70" s="154"/>
      <c r="G70" s="90">
        <f t="shared" si="9"/>
        <v>0</v>
      </c>
    </row>
    <row r="71" spans="2:7" x14ac:dyDescent="0.2">
      <c r="B71" s="84" t="s">
        <v>91</v>
      </c>
      <c r="C71" s="85"/>
      <c r="D71" s="86"/>
      <c r="E71" s="85"/>
      <c r="F71" s="91"/>
      <c r="G71" s="101">
        <f>SUM(G57:G70)</f>
        <v>0</v>
      </c>
    </row>
    <row r="73" spans="2:7" x14ac:dyDescent="0.2">
      <c r="B73" s="137" t="s">
        <v>99</v>
      </c>
      <c r="C73" s="138"/>
      <c r="D73" s="143" t="s">
        <v>97</v>
      </c>
      <c r="E73" s="140"/>
      <c r="F73" s="141"/>
      <c r="G73" s="138"/>
    </row>
    <row r="74" spans="2:7" x14ac:dyDescent="0.2">
      <c r="B74" s="136" t="s">
        <v>95</v>
      </c>
      <c r="C74" s="239"/>
      <c r="D74" s="144" t="s">
        <v>98</v>
      </c>
      <c r="E74" s="483">
        <v>2019</v>
      </c>
      <c r="F74" s="484"/>
      <c r="G74" s="485"/>
    </row>
    <row r="75" spans="2:7" x14ac:dyDescent="0.2">
      <c r="B75" s="98" t="str">
        <f>B57</f>
        <v xml:space="preserve">Residential </v>
      </c>
      <c r="C75" s="88"/>
      <c r="D75" s="99" t="str">
        <f>D57</f>
        <v>kWh</v>
      </c>
      <c r="E75" s="88">
        <f>E57</f>
        <v>0</v>
      </c>
      <c r="F75" s="154"/>
      <c r="G75" s="90">
        <f t="shared" ref="G75:G88" si="14">E75*F75</f>
        <v>0</v>
      </c>
    </row>
    <row r="76" spans="2:7" x14ac:dyDescent="0.2">
      <c r="B76" s="98" t="str">
        <f t="shared" ref="B76:B88" si="15">B58</f>
        <v>General Service &lt; 50 kW</v>
      </c>
      <c r="C76" s="88"/>
      <c r="D76" s="99" t="str">
        <f t="shared" ref="D76:E88" si="16">D58</f>
        <v>kWh</v>
      </c>
      <c r="E76" s="88">
        <f t="shared" si="16"/>
        <v>0</v>
      </c>
      <c r="F76" s="154"/>
      <c r="G76" s="90">
        <f t="shared" si="14"/>
        <v>0</v>
      </c>
    </row>
    <row r="77" spans="2:7" x14ac:dyDescent="0.2">
      <c r="B77" s="98" t="str">
        <f t="shared" si="15"/>
        <v>General Service &gt; 50 to 999 kW</v>
      </c>
      <c r="C77" s="88"/>
      <c r="D77" s="99" t="str">
        <f t="shared" si="16"/>
        <v>kW</v>
      </c>
      <c r="E77" s="88">
        <f t="shared" si="16"/>
        <v>1550486.6606992225</v>
      </c>
      <c r="F77" s="154"/>
      <c r="G77" s="90">
        <f t="shared" si="14"/>
        <v>0</v>
      </c>
    </row>
    <row r="78" spans="2:7" x14ac:dyDescent="0.2">
      <c r="B78" s="98" t="str">
        <f t="shared" si="15"/>
        <v>General Service &gt; 1000 to 4999 kW</v>
      </c>
      <c r="C78" s="88"/>
      <c r="D78" s="99" t="str">
        <f t="shared" si="16"/>
        <v>kW</v>
      </c>
      <c r="E78" s="88">
        <f t="shared" si="16"/>
        <v>538333.692709091</v>
      </c>
      <c r="F78" s="154"/>
      <c r="G78" s="90">
        <f t="shared" si="14"/>
        <v>0</v>
      </c>
    </row>
    <row r="79" spans="2:7" x14ac:dyDescent="0.2">
      <c r="B79" s="98" t="str">
        <f t="shared" si="15"/>
        <v>Direct Market Participant</v>
      </c>
      <c r="C79" s="88"/>
      <c r="D79" s="99" t="str">
        <f t="shared" si="16"/>
        <v>kW</v>
      </c>
      <c r="E79" s="88">
        <f t="shared" si="16"/>
        <v>67941.700000000012</v>
      </c>
      <c r="F79" s="154"/>
      <c r="G79" s="90">
        <f t="shared" si="14"/>
        <v>0</v>
      </c>
    </row>
    <row r="80" spans="2:7" x14ac:dyDescent="0.2">
      <c r="B80" s="98" t="str">
        <f t="shared" si="15"/>
        <v>Large User</v>
      </c>
      <c r="C80" s="88"/>
      <c r="D80" s="99" t="str">
        <f t="shared" si="16"/>
        <v>kW</v>
      </c>
      <c r="E80" s="88">
        <f t="shared" si="16"/>
        <v>361276.31069675618</v>
      </c>
      <c r="F80" s="154"/>
      <c r="G80" s="90">
        <f t="shared" si="14"/>
        <v>0</v>
      </c>
    </row>
    <row r="81" spans="2:7" x14ac:dyDescent="0.2">
      <c r="B81" s="98" t="str">
        <f t="shared" si="15"/>
        <v>Street Lights</v>
      </c>
      <c r="C81" s="88"/>
      <c r="D81" s="99" t="str">
        <f t="shared" si="16"/>
        <v>kW</v>
      </c>
      <c r="E81" s="88">
        <f t="shared" si="16"/>
        <v>10945.463296866632</v>
      </c>
      <c r="F81" s="154"/>
      <c r="G81" s="90">
        <f t="shared" si="14"/>
        <v>0</v>
      </c>
    </row>
    <row r="82" spans="2:7" x14ac:dyDescent="0.2">
      <c r="B82" s="98" t="str">
        <f t="shared" si="15"/>
        <v>Sentinel Lights</v>
      </c>
      <c r="C82" s="88"/>
      <c r="D82" s="99" t="str">
        <f t="shared" si="16"/>
        <v>kW</v>
      </c>
      <c r="E82" s="88">
        <f t="shared" si="16"/>
        <v>342.92000000000007</v>
      </c>
      <c r="F82" s="154"/>
      <c r="G82" s="90">
        <f t="shared" si="14"/>
        <v>0</v>
      </c>
    </row>
    <row r="83" spans="2:7" x14ac:dyDescent="0.2">
      <c r="B83" s="98" t="str">
        <f t="shared" si="15"/>
        <v xml:space="preserve">Unmetered Loads </v>
      </c>
      <c r="C83" s="88"/>
      <c r="D83" s="99" t="str">
        <f t="shared" si="16"/>
        <v>kWh</v>
      </c>
      <c r="E83" s="88">
        <f t="shared" si="16"/>
        <v>0</v>
      </c>
      <c r="F83" s="154"/>
      <c r="G83" s="90">
        <f t="shared" si="14"/>
        <v>0</v>
      </c>
    </row>
    <row r="84" spans="2:7" x14ac:dyDescent="0.2">
      <c r="B84" s="98" t="str">
        <f t="shared" si="15"/>
        <v>Embedded Distributor - Hydro One, CND</v>
      </c>
      <c r="C84" s="88"/>
      <c r="D84" s="99" t="str">
        <f t="shared" si="16"/>
        <v>kW</v>
      </c>
      <c r="E84" s="88">
        <f t="shared" si="16"/>
        <v>24387.435638304029</v>
      </c>
      <c r="F84" s="154"/>
      <c r="G84" s="90">
        <f t="shared" si="14"/>
        <v>0</v>
      </c>
    </row>
    <row r="85" spans="2:7" x14ac:dyDescent="0.2">
      <c r="B85" s="98" t="str">
        <f t="shared" si="15"/>
        <v>Embedded Distributor - Waterloo North, CND</v>
      </c>
      <c r="C85" s="88"/>
      <c r="D85" s="99" t="str">
        <f t="shared" si="16"/>
        <v>kW</v>
      </c>
      <c r="E85" s="88">
        <f t="shared" si="16"/>
        <v>114656.88436169598</v>
      </c>
      <c r="F85" s="154"/>
      <c r="G85" s="90">
        <f t="shared" si="14"/>
        <v>0</v>
      </c>
    </row>
    <row r="86" spans="2:7" x14ac:dyDescent="0.2">
      <c r="B86" s="98" t="str">
        <f t="shared" si="15"/>
        <v>Embedded Distributor - Brantford Power, BCP</v>
      </c>
      <c r="C86" s="88"/>
      <c r="D86" s="99" t="str">
        <f t="shared" si="16"/>
        <v>kW</v>
      </c>
      <c r="E86" s="88">
        <f t="shared" si="16"/>
        <v>1074.96</v>
      </c>
      <c r="F86" s="154"/>
      <c r="G86" s="90">
        <f t="shared" si="14"/>
        <v>0</v>
      </c>
    </row>
    <row r="87" spans="2:7" x14ac:dyDescent="0.2">
      <c r="B87" s="98" t="str">
        <f t="shared" si="15"/>
        <v>Embedded Distributor - Hydro One #1, BCP</v>
      </c>
      <c r="C87" s="88"/>
      <c r="D87" s="99" t="str">
        <f t="shared" si="16"/>
        <v>kW</v>
      </c>
      <c r="E87" s="88">
        <f t="shared" si="16"/>
        <v>29994.605248481424</v>
      </c>
      <c r="F87" s="154"/>
      <c r="G87" s="90">
        <f t="shared" si="14"/>
        <v>0</v>
      </c>
    </row>
    <row r="88" spans="2:7" x14ac:dyDescent="0.2">
      <c r="B88" s="98" t="str">
        <f t="shared" si="15"/>
        <v>Embedded Distributor - Hydro One #2, BCP</v>
      </c>
      <c r="C88" s="88"/>
      <c r="D88" s="99" t="str">
        <f t="shared" si="16"/>
        <v>kW</v>
      </c>
      <c r="E88" s="88">
        <f t="shared" si="16"/>
        <v>102972.90667387019</v>
      </c>
      <c r="F88" s="154"/>
      <c r="G88" s="90">
        <f t="shared" si="14"/>
        <v>0</v>
      </c>
    </row>
    <row r="89" spans="2:7" x14ac:dyDescent="0.2">
      <c r="B89" s="84" t="s">
        <v>91</v>
      </c>
      <c r="C89" s="85"/>
      <c r="D89" s="86"/>
      <c r="E89" s="85"/>
      <c r="F89" s="91"/>
      <c r="G89" s="101">
        <f>SUM(G75:G88)</f>
        <v>0</v>
      </c>
    </row>
    <row r="91" spans="2:7" x14ac:dyDescent="0.2">
      <c r="B91" s="137" t="s">
        <v>100</v>
      </c>
      <c r="C91" s="138"/>
      <c r="D91" s="143"/>
      <c r="E91" s="140"/>
      <c r="F91" s="141"/>
      <c r="G91" s="138"/>
    </row>
    <row r="92" spans="2:7" x14ac:dyDescent="0.2">
      <c r="B92" s="136" t="s">
        <v>95</v>
      </c>
      <c r="C92" s="239"/>
      <c r="D92" s="144"/>
      <c r="E92" s="483">
        <v>2019</v>
      </c>
      <c r="F92" s="484"/>
      <c r="G92" s="486"/>
    </row>
    <row r="93" spans="2:7" x14ac:dyDescent="0.2">
      <c r="B93" s="98" t="str">
        <f>B5</f>
        <v xml:space="preserve">Residential </v>
      </c>
      <c r="C93" s="88"/>
      <c r="D93" s="99" t="s">
        <v>89</v>
      </c>
      <c r="E93" s="88">
        <f>E23+E40</f>
        <v>0</v>
      </c>
      <c r="F93" s="100"/>
      <c r="G93" s="90">
        <f t="shared" ref="G93:G105" si="17">E93*F93</f>
        <v>0</v>
      </c>
    </row>
    <row r="94" spans="2:7" x14ac:dyDescent="0.2">
      <c r="B94" s="98" t="str">
        <f t="shared" ref="B94:B105" si="18">B6</f>
        <v>General Service &lt; 50 kW</v>
      </c>
      <c r="C94" s="88"/>
      <c r="D94" s="99" t="s">
        <v>89</v>
      </c>
      <c r="E94" s="88">
        <f t="shared" ref="E94:E105" si="19">E24+E41</f>
        <v>0</v>
      </c>
      <c r="F94" s="100"/>
      <c r="G94" s="90">
        <f t="shared" si="17"/>
        <v>0</v>
      </c>
    </row>
    <row r="95" spans="2:7" x14ac:dyDescent="0.2">
      <c r="B95" s="98" t="str">
        <f t="shared" si="18"/>
        <v>General Service &gt; 50 to 999 kW</v>
      </c>
      <c r="C95" s="88"/>
      <c r="D95" s="99" t="s">
        <v>89</v>
      </c>
      <c r="E95" s="88">
        <f t="shared" si="19"/>
        <v>0</v>
      </c>
      <c r="F95" s="100"/>
      <c r="G95" s="90">
        <f t="shared" si="17"/>
        <v>0</v>
      </c>
    </row>
    <row r="96" spans="2:7" x14ac:dyDescent="0.2">
      <c r="B96" s="98" t="str">
        <f t="shared" si="18"/>
        <v>General Service &gt; 1000 to 4999 kW</v>
      </c>
      <c r="C96" s="88"/>
      <c r="D96" s="99" t="s">
        <v>89</v>
      </c>
      <c r="E96" s="88">
        <f t="shared" si="19"/>
        <v>0</v>
      </c>
      <c r="F96" s="100"/>
      <c r="G96" s="90">
        <f t="shared" si="17"/>
        <v>0</v>
      </c>
    </row>
    <row r="97" spans="2:13" x14ac:dyDescent="0.2">
      <c r="B97" s="98" t="str">
        <f t="shared" si="18"/>
        <v>Large User</v>
      </c>
      <c r="C97" s="88"/>
      <c r="D97" s="99" t="s">
        <v>89</v>
      </c>
      <c r="E97" s="88">
        <f t="shared" si="19"/>
        <v>0</v>
      </c>
      <c r="F97" s="100"/>
      <c r="G97" s="90">
        <f t="shared" si="17"/>
        <v>0</v>
      </c>
    </row>
    <row r="98" spans="2:13" x14ac:dyDescent="0.2">
      <c r="B98" s="98" t="str">
        <f t="shared" si="18"/>
        <v>Street Lights</v>
      </c>
      <c r="C98" s="88"/>
      <c r="D98" s="99" t="s">
        <v>89</v>
      </c>
      <c r="E98" s="88">
        <f t="shared" si="19"/>
        <v>0</v>
      </c>
      <c r="F98" s="100"/>
      <c r="G98" s="90">
        <f t="shared" si="17"/>
        <v>0</v>
      </c>
    </row>
    <row r="99" spans="2:13" x14ac:dyDescent="0.2">
      <c r="B99" s="98" t="str">
        <f t="shared" si="18"/>
        <v>Sentinel Lights</v>
      </c>
      <c r="C99" s="88"/>
      <c r="D99" s="99" t="s">
        <v>89</v>
      </c>
      <c r="E99" s="88">
        <f t="shared" si="19"/>
        <v>0</v>
      </c>
      <c r="F99" s="100"/>
      <c r="G99" s="90">
        <f t="shared" si="17"/>
        <v>0</v>
      </c>
    </row>
    <row r="100" spans="2:13" x14ac:dyDescent="0.2">
      <c r="B100" s="98" t="str">
        <f t="shared" si="18"/>
        <v xml:space="preserve">Unmetered Loads </v>
      </c>
      <c r="C100" s="88"/>
      <c r="D100" s="99" t="s">
        <v>89</v>
      </c>
      <c r="E100" s="88">
        <f t="shared" si="19"/>
        <v>0</v>
      </c>
      <c r="F100" s="100"/>
      <c r="G100" s="90">
        <f t="shared" si="17"/>
        <v>0</v>
      </c>
    </row>
    <row r="101" spans="2:13" x14ac:dyDescent="0.2">
      <c r="B101" s="98" t="str">
        <f t="shared" si="18"/>
        <v>Embedded Distributor - Hydro One, CND</v>
      </c>
      <c r="C101" s="88"/>
      <c r="D101" s="99" t="s">
        <v>89</v>
      </c>
      <c r="E101" s="88">
        <f t="shared" si="19"/>
        <v>0</v>
      </c>
      <c r="F101" s="100"/>
      <c r="G101" s="90">
        <f t="shared" si="17"/>
        <v>0</v>
      </c>
    </row>
    <row r="102" spans="2:13" x14ac:dyDescent="0.2">
      <c r="B102" s="98" t="str">
        <f t="shared" si="18"/>
        <v>Embedded Distributor - Waterloo North, CND</v>
      </c>
      <c r="C102" s="88"/>
      <c r="D102" s="99" t="s">
        <v>89</v>
      </c>
      <c r="E102" s="88">
        <f t="shared" si="19"/>
        <v>0</v>
      </c>
      <c r="F102" s="100"/>
      <c r="G102" s="90">
        <f t="shared" si="17"/>
        <v>0</v>
      </c>
    </row>
    <row r="103" spans="2:13" x14ac:dyDescent="0.2">
      <c r="B103" s="98" t="str">
        <f t="shared" si="18"/>
        <v>Embedded Distributor - Brantford Power, BCP</v>
      </c>
      <c r="C103" s="88"/>
      <c r="D103" s="99" t="s">
        <v>89</v>
      </c>
      <c r="E103" s="88">
        <f t="shared" si="19"/>
        <v>0</v>
      </c>
      <c r="F103" s="100"/>
      <c r="G103" s="90">
        <f t="shared" si="17"/>
        <v>0</v>
      </c>
    </row>
    <row r="104" spans="2:13" x14ac:dyDescent="0.2">
      <c r="B104" s="98" t="str">
        <f t="shared" si="18"/>
        <v>Embedded Distributor - Hydro One #1, BCP</v>
      </c>
      <c r="C104" s="88"/>
      <c r="D104" s="99" t="s">
        <v>89</v>
      </c>
      <c r="E104" s="88">
        <f t="shared" si="19"/>
        <v>0</v>
      </c>
      <c r="F104" s="100"/>
      <c r="G104" s="90">
        <f t="shared" si="17"/>
        <v>0</v>
      </c>
    </row>
    <row r="105" spans="2:13" x14ac:dyDescent="0.2">
      <c r="B105" s="98" t="str">
        <f t="shared" si="18"/>
        <v>Embedded Distributor - Hydro One #2, BCP</v>
      </c>
      <c r="C105" s="88"/>
      <c r="D105" s="99" t="s">
        <v>89</v>
      </c>
      <c r="E105" s="88">
        <f t="shared" si="19"/>
        <v>0</v>
      </c>
      <c r="F105" s="100"/>
      <c r="G105" s="90">
        <f t="shared" si="17"/>
        <v>0</v>
      </c>
    </row>
    <row r="106" spans="2:13" x14ac:dyDescent="0.2">
      <c r="B106" s="84" t="s">
        <v>91</v>
      </c>
      <c r="C106" s="85"/>
      <c r="D106" s="86"/>
      <c r="E106" s="85">
        <f>SUM(E93:E102)</f>
        <v>0</v>
      </c>
      <c r="F106" s="91"/>
      <c r="G106" s="101">
        <f>SUM(G93:G102)</f>
        <v>0</v>
      </c>
    </row>
    <row r="108" spans="2:13" x14ac:dyDescent="0.2">
      <c r="B108" s="137" t="s">
        <v>101</v>
      </c>
      <c r="C108" s="138"/>
      <c r="D108" s="143"/>
      <c r="E108" s="140"/>
      <c r="F108" s="141"/>
      <c r="G108" s="138"/>
    </row>
    <row r="109" spans="2:13" x14ac:dyDescent="0.2">
      <c r="B109" s="136" t="s">
        <v>95</v>
      </c>
      <c r="C109" s="239"/>
      <c r="D109" s="144"/>
      <c r="E109" s="487">
        <v>2019</v>
      </c>
      <c r="F109" s="484"/>
      <c r="G109" s="485"/>
    </row>
    <row r="110" spans="2:13" x14ac:dyDescent="0.2">
      <c r="B110" s="98" t="str">
        <f>B93</f>
        <v xml:space="preserve">Residential </v>
      </c>
      <c r="C110" s="88"/>
      <c r="D110" s="99" t="str">
        <f>D93</f>
        <v>kWh</v>
      </c>
      <c r="E110" s="88">
        <f>E93</f>
        <v>0</v>
      </c>
      <c r="F110" s="155"/>
      <c r="G110" s="90">
        <f t="shared" ref="G110:G122" si="20">E110*F110</f>
        <v>0</v>
      </c>
    </row>
    <row r="111" spans="2:13" x14ac:dyDescent="0.2">
      <c r="B111" s="98" t="str">
        <f t="shared" ref="B111:B122" si="21">B94</f>
        <v>General Service &lt; 50 kW</v>
      </c>
      <c r="C111" s="88"/>
      <c r="D111" s="99" t="str">
        <f t="shared" ref="D111:E122" si="22">D94</f>
        <v>kWh</v>
      </c>
      <c r="E111" s="88">
        <f t="shared" si="22"/>
        <v>0</v>
      </c>
      <c r="F111" s="155"/>
      <c r="G111" s="90">
        <f t="shared" si="20"/>
        <v>0</v>
      </c>
    </row>
    <row r="112" spans="2:13" x14ac:dyDescent="0.2">
      <c r="B112" s="98" t="str">
        <f t="shared" si="21"/>
        <v>General Service &gt; 50 to 999 kW</v>
      </c>
      <c r="C112" s="88"/>
      <c r="D112" s="99" t="str">
        <f t="shared" si="22"/>
        <v>kWh</v>
      </c>
      <c r="E112" s="88">
        <f t="shared" si="22"/>
        <v>0</v>
      </c>
      <c r="F112" s="155"/>
      <c r="G112" s="90">
        <f t="shared" si="20"/>
        <v>0</v>
      </c>
      <c r="I112" t="s">
        <v>137</v>
      </c>
      <c r="J112" t="s">
        <v>137</v>
      </c>
      <c r="K112" t="s">
        <v>137</v>
      </c>
      <c r="L112" t="s">
        <v>137</v>
      </c>
      <c r="M112" t="s">
        <v>137</v>
      </c>
    </row>
    <row r="113" spans="2:7" x14ac:dyDescent="0.2">
      <c r="B113" s="98" t="str">
        <f t="shared" si="21"/>
        <v>General Service &gt; 1000 to 4999 kW</v>
      </c>
      <c r="C113" s="88"/>
      <c r="D113" s="99" t="str">
        <f t="shared" si="22"/>
        <v>kWh</v>
      </c>
      <c r="E113" s="88">
        <f t="shared" si="22"/>
        <v>0</v>
      </c>
      <c r="F113" s="155"/>
      <c r="G113" s="90">
        <f t="shared" si="20"/>
        <v>0</v>
      </c>
    </row>
    <row r="114" spans="2:7" x14ac:dyDescent="0.2">
      <c r="B114" s="98" t="str">
        <f t="shared" si="21"/>
        <v>Large User</v>
      </c>
      <c r="C114" s="88"/>
      <c r="D114" s="99" t="str">
        <f t="shared" si="22"/>
        <v>kWh</v>
      </c>
      <c r="E114" s="88">
        <f t="shared" si="22"/>
        <v>0</v>
      </c>
      <c r="F114" s="155"/>
      <c r="G114" s="90">
        <f t="shared" si="20"/>
        <v>0</v>
      </c>
    </row>
    <row r="115" spans="2:7" x14ac:dyDescent="0.2">
      <c r="B115" s="98" t="str">
        <f t="shared" si="21"/>
        <v>Street Lights</v>
      </c>
      <c r="C115" s="88"/>
      <c r="D115" s="99" t="str">
        <f t="shared" si="22"/>
        <v>kWh</v>
      </c>
      <c r="E115" s="88">
        <f t="shared" si="22"/>
        <v>0</v>
      </c>
      <c r="F115" s="155"/>
      <c r="G115" s="90">
        <f t="shared" si="20"/>
        <v>0</v>
      </c>
    </row>
    <row r="116" spans="2:7" x14ac:dyDescent="0.2">
      <c r="B116" s="98" t="str">
        <f t="shared" si="21"/>
        <v>Sentinel Lights</v>
      </c>
      <c r="C116" s="88"/>
      <c r="D116" s="99" t="str">
        <f t="shared" si="22"/>
        <v>kWh</v>
      </c>
      <c r="E116" s="88">
        <f t="shared" si="22"/>
        <v>0</v>
      </c>
      <c r="F116" s="155"/>
      <c r="G116" s="90">
        <f t="shared" si="20"/>
        <v>0</v>
      </c>
    </row>
    <row r="117" spans="2:7" x14ac:dyDescent="0.2">
      <c r="B117" s="98" t="str">
        <f t="shared" si="21"/>
        <v xml:space="preserve">Unmetered Loads </v>
      </c>
      <c r="C117" s="88"/>
      <c r="D117" s="99" t="str">
        <f t="shared" si="22"/>
        <v>kWh</v>
      </c>
      <c r="E117" s="88">
        <f t="shared" si="22"/>
        <v>0</v>
      </c>
      <c r="F117" s="155"/>
      <c r="G117" s="90">
        <f t="shared" si="20"/>
        <v>0</v>
      </c>
    </row>
    <row r="118" spans="2:7" x14ac:dyDescent="0.2">
      <c r="B118" s="98" t="str">
        <f t="shared" si="21"/>
        <v>Embedded Distributor - Hydro One, CND</v>
      </c>
      <c r="C118" s="88"/>
      <c r="D118" s="99" t="str">
        <f t="shared" si="22"/>
        <v>kWh</v>
      </c>
      <c r="E118" s="88">
        <f t="shared" si="22"/>
        <v>0</v>
      </c>
      <c r="F118" s="155"/>
      <c r="G118" s="90">
        <f t="shared" si="20"/>
        <v>0</v>
      </c>
    </row>
    <row r="119" spans="2:7" x14ac:dyDescent="0.2">
      <c r="B119" s="98" t="str">
        <f t="shared" si="21"/>
        <v>Embedded Distributor - Waterloo North, CND</v>
      </c>
      <c r="C119" s="88"/>
      <c r="D119" s="99" t="str">
        <f t="shared" si="22"/>
        <v>kWh</v>
      </c>
      <c r="E119" s="88">
        <f t="shared" si="22"/>
        <v>0</v>
      </c>
      <c r="F119" s="155"/>
      <c r="G119" s="90">
        <f t="shared" si="20"/>
        <v>0</v>
      </c>
    </row>
    <row r="120" spans="2:7" x14ac:dyDescent="0.2">
      <c r="B120" s="98" t="str">
        <f t="shared" si="21"/>
        <v>Embedded Distributor - Brantford Power, BCP</v>
      </c>
      <c r="C120" s="88"/>
      <c r="D120" s="99" t="str">
        <f t="shared" si="22"/>
        <v>kWh</v>
      </c>
      <c r="E120" s="88">
        <f t="shared" si="22"/>
        <v>0</v>
      </c>
      <c r="F120" s="155"/>
      <c r="G120" s="90">
        <f t="shared" si="20"/>
        <v>0</v>
      </c>
    </row>
    <row r="121" spans="2:7" x14ac:dyDescent="0.2">
      <c r="B121" s="98" t="str">
        <f t="shared" si="21"/>
        <v>Embedded Distributor - Hydro One #1, BCP</v>
      </c>
      <c r="C121" s="88"/>
      <c r="D121" s="99" t="str">
        <f t="shared" si="22"/>
        <v>kWh</v>
      </c>
      <c r="E121" s="88">
        <f t="shared" si="22"/>
        <v>0</v>
      </c>
      <c r="F121" s="155"/>
      <c r="G121" s="90">
        <f t="shared" si="20"/>
        <v>0</v>
      </c>
    </row>
    <row r="122" spans="2:7" x14ac:dyDescent="0.2">
      <c r="B122" s="98" t="str">
        <f t="shared" si="21"/>
        <v>Embedded Distributor - Hydro One #2, BCP</v>
      </c>
      <c r="C122" s="88"/>
      <c r="D122" s="99" t="str">
        <f t="shared" si="22"/>
        <v>kWh</v>
      </c>
      <c r="E122" s="88">
        <f t="shared" si="22"/>
        <v>0</v>
      </c>
      <c r="F122" s="155"/>
      <c r="G122" s="90">
        <f t="shared" si="20"/>
        <v>0</v>
      </c>
    </row>
    <row r="123" spans="2:7" x14ac:dyDescent="0.2">
      <c r="B123" s="84" t="s">
        <v>91</v>
      </c>
      <c r="C123" s="85"/>
      <c r="D123" s="86"/>
      <c r="E123" s="85">
        <f>SUM(E110:E119)</f>
        <v>0</v>
      </c>
      <c r="F123" s="91"/>
      <c r="G123" s="101">
        <f>SUM(G110:G119)</f>
        <v>0</v>
      </c>
    </row>
    <row r="125" spans="2:7" x14ac:dyDescent="0.2">
      <c r="B125" s="145"/>
      <c r="C125" s="146">
        <v>2019</v>
      </c>
    </row>
    <row r="126" spans="2:7" x14ac:dyDescent="0.2">
      <c r="B126" s="59"/>
      <c r="C126" s="102"/>
    </row>
    <row r="127" spans="2:7" x14ac:dyDescent="0.2">
      <c r="B127" s="56" t="s">
        <v>102</v>
      </c>
      <c r="C127" s="103">
        <f>G36+G53</f>
        <v>0</v>
      </c>
    </row>
    <row r="128" spans="2:7" x14ac:dyDescent="0.2">
      <c r="B128" s="56" t="s">
        <v>103</v>
      </c>
      <c r="C128" s="104">
        <f>G106</f>
        <v>0</v>
      </c>
    </row>
    <row r="129" spans="2:3" x14ac:dyDescent="0.2">
      <c r="B129" s="56" t="s">
        <v>104</v>
      </c>
      <c r="C129" s="104">
        <f>G71</f>
        <v>0</v>
      </c>
    </row>
    <row r="130" spans="2:3" x14ac:dyDescent="0.2">
      <c r="B130" s="56" t="s">
        <v>105</v>
      </c>
      <c r="C130" s="104">
        <f>G89</f>
        <v>0</v>
      </c>
    </row>
    <row r="131" spans="2:3" x14ac:dyDescent="0.2">
      <c r="B131" s="56" t="s">
        <v>106</v>
      </c>
      <c r="C131" s="104">
        <f>G123</f>
        <v>0</v>
      </c>
    </row>
    <row r="132" spans="2:3" x14ac:dyDescent="0.2">
      <c r="B132" s="56" t="s">
        <v>107</v>
      </c>
      <c r="C132" s="240"/>
    </row>
    <row r="133" spans="2:3" x14ac:dyDescent="0.2">
      <c r="B133" s="148" t="s">
        <v>136</v>
      </c>
      <c r="C133" s="240"/>
    </row>
    <row r="134" spans="2:3" x14ac:dyDescent="0.2">
      <c r="B134" s="63" t="s">
        <v>91</v>
      </c>
      <c r="C134" s="85">
        <f>SUM(C127:C133)</f>
        <v>0</v>
      </c>
    </row>
  </sheetData>
  <mergeCells count="11">
    <mergeCell ref="E56:G56"/>
    <mergeCell ref="E74:G74"/>
    <mergeCell ref="E92:G92"/>
    <mergeCell ref="E109:G109"/>
    <mergeCell ref="B3:E3"/>
    <mergeCell ref="C21:C22"/>
    <mergeCell ref="D21:D22"/>
    <mergeCell ref="E21:G22"/>
    <mergeCell ref="C38:C39"/>
    <mergeCell ref="D38:D39"/>
    <mergeCell ref="E38:G3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96" workbookViewId="0">
      <selection activeCell="G36" sqref="G36"/>
    </sheetView>
  </sheetViews>
  <sheetFormatPr defaultRowHeight="12.75" x14ac:dyDescent="0.2"/>
  <cols>
    <col min="1" max="1" width="39" customWidth="1"/>
    <col min="2" max="3" width="11.5703125" customWidth="1"/>
    <col min="4" max="4" width="11.28515625" bestFit="1" customWidth="1"/>
    <col min="5" max="5" width="11.28515625" style="58" bestFit="1" customWidth="1"/>
    <col min="6" max="9" width="11.28515625" bestFit="1" customWidth="1"/>
  </cols>
  <sheetData>
    <row r="1" spans="1:11" x14ac:dyDescent="0.2">
      <c r="A1" s="272" t="s">
        <v>319</v>
      </c>
      <c r="B1" s="273"/>
      <c r="C1" s="273"/>
      <c r="D1" s="273"/>
      <c r="E1" s="279"/>
      <c r="F1" s="274"/>
      <c r="G1" s="274"/>
      <c r="H1" s="274"/>
      <c r="I1" s="274"/>
      <c r="J1" s="57"/>
      <c r="K1" s="57"/>
    </row>
    <row r="2" spans="1:11" ht="38.25" x14ac:dyDescent="0.2">
      <c r="A2" s="415"/>
      <c r="B2" s="415" t="s">
        <v>309</v>
      </c>
      <c r="C2" s="415" t="s">
        <v>241</v>
      </c>
      <c r="D2" s="415" t="s">
        <v>243</v>
      </c>
      <c r="E2" s="416" t="s">
        <v>244</v>
      </c>
    </row>
    <row r="3" spans="1:11" x14ac:dyDescent="0.2">
      <c r="A3" s="270" t="s">
        <v>272</v>
      </c>
      <c r="B3" s="271"/>
      <c r="C3" s="271"/>
      <c r="D3" s="271"/>
      <c r="E3" s="280"/>
    </row>
    <row r="4" spans="1:11" x14ac:dyDescent="0.2">
      <c r="A4" s="237" t="s">
        <v>1</v>
      </c>
      <c r="B4" s="276">
        <f>'Exhibit 3 Tables'!P5</f>
        <v>16617706.291648619</v>
      </c>
      <c r="C4" s="276">
        <f>'Exhibit 3 Tables'!Q5</f>
        <v>16422948.089999998</v>
      </c>
      <c r="D4" s="276">
        <f>C4-B4</f>
        <v>-194758.20164862089</v>
      </c>
      <c r="E4" s="281">
        <f>D4/C4</f>
        <v>-1.1858906243953238E-2</v>
      </c>
    </row>
    <row r="5" spans="1:11" x14ac:dyDescent="0.2">
      <c r="A5" s="237" t="s">
        <v>138</v>
      </c>
      <c r="B5" s="276">
        <f>'Exhibit 3 Tables'!P6</f>
        <v>3877700.9603126463</v>
      </c>
      <c r="C5" s="276">
        <f>'Exhibit 3 Tables'!Q6</f>
        <v>3926809.24</v>
      </c>
      <c r="D5" s="276">
        <f t="shared" ref="D5:D15" si="0">C5-B5</f>
        <v>49108.279687353875</v>
      </c>
      <c r="E5" s="281">
        <f t="shared" ref="E5:E15" si="1">D5/C5</f>
        <v>1.2505898984630552E-2</v>
      </c>
    </row>
    <row r="6" spans="1:11" x14ac:dyDescent="0.2">
      <c r="A6" s="237" t="s">
        <v>139</v>
      </c>
      <c r="B6" s="276">
        <f>'Exhibit 3 Tables'!P7</f>
        <v>7895231.9926077398</v>
      </c>
      <c r="C6" s="276">
        <f>'Exhibit 3 Tables'!Q7</f>
        <v>7634121.7500000009</v>
      </c>
      <c r="D6" s="276">
        <f t="shared" si="0"/>
        <v>-261110.24260773882</v>
      </c>
      <c r="E6" s="281">
        <f t="shared" si="1"/>
        <v>-3.4203049303967253E-2</v>
      </c>
    </row>
    <row r="7" spans="1:11" x14ac:dyDescent="0.2">
      <c r="A7" s="237" t="s">
        <v>140</v>
      </c>
      <c r="B7" s="276">
        <f>'Exhibit 3 Tables'!P8</f>
        <v>1854779</v>
      </c>
      <c r="C7" s="276">
        <f>'Exhibit 3 Tables'!Q8</f>
        <v>1841141.4400000002</v>
      </c>
      <c r="D7" s="276">
        <f t="shared" si="0"/>
        <v>-13637.559999999823</v>
      </c>
      <c r="E7" s="281">
        <f t="shared" si="1"/>
        <v>-7.4071223990264546E-3</v>
      </c>
    </row>
    <row r="8" spans="1:11" x14ac:dyDescent="0.2">
      <c r="A8" s="237" t="s">
        <v>113</v>
      </c>
      <c r="B8" s="276">
        <f>'Exhibit 3 Tables'!P9</f>
        <v>1504085</v>
      </c>
      <c r="C8" s="276">
        <f>'Exhibit 3 Tables'!Q9</f>
        <v>1244375.8800000001</v>
      </c>
      <c r="D8" s="276">
        <f t="shared" si="0"/>
        <v>-259709.11999999988</v>
      </c>
      <c r="E8" s="281">
        <f t="shared" si="1"/>
        <v>-0.20870632754469642</v>
      </c>
    </row>
    <row r="9" spans="1:11" x14ac:dyDescent="0.2">
      <c r="A9" s="237" t="s">
        <v>66</v>
      </c>
      <c r="B9" s="276">
        <f>'Exhibit 3 Tables'!P10</f>
        <v>1041524.6362878387</v>
      </c>
      <c r="C9" s="276">
        <f>'Exhibit 3 Tables'!Q10</f>
        <v>1000646.87</v>
      </c>
      <c r="D9" s="276">
        <f t="shared" si="0"/>
        <v>-40877.766287838691</v>
      </c>
      <c r="E9" s="281">
        <f t="shared" si="1"/>
        <v>-4.0851340781027666E-2</v>
      </c>
    </row>
    <row r="10" spans="1:11" x14ac:dyDescent="0.2">
      <c r="A10" s="237" t="s">
        <v>195</v>
      </c>
      <c r="B10" s="276">
        <f>'Exhibit 3 Tables'!P11</f>
        <v>22961.927365766394</v>
      </c>
      <c r="C10" s="276">
        <f>'Exhibit 3 Tables'!Q11</f>
        <v>17721</v>
      </c>
      <c r="D10" s="276">
        <f t="shared" si="0"/>
        <v>-5240.9273657663944</v>
      </c>
      <c r="E10" s="281">
        <f t="shared" si="1"/>
        <v>-0.29574670536461795</v>
      </c>
    </row>
    <row r="11" spans="1:11" x14ac:dyDescent="0.2">
      <c r="A11" s="237" t="s">
        <v>2</v>
      </c>
      <c r="B11" s="276">
        <f>'Exhibit 3 Tables'!P12</f>
        <v>64115.878744267517</v>
      </c>
      <c r="C11" s="276">
        <f>'Exhibit 3 Tables'!Q12</f>
        <v>58508.86</v>
      </c>
      <c r="D11" s="276">
        <f t="shared" si="0"/>
        <v>-5607.018744267516</v>
      </c>
      <c r="E11" s="281">
        <f t="shared" si="1"/>
        <v>-9.5831960223930465E-2</v>
      </c>
    </row>
    <row r="12" spans="1:11" x14ac:dyDescent="0.2">
      <c r="A12" s="237" t="s">
        <v>227</v>
      </c>
      <c r="B12" s="276">
        <f>'Exhibit 3 Tables'!P13</f>
        <v>194006</v>
      </c>
      <c r="C12" s="276">
        <f>'Exhibit 3 Tables'!Q13</f>
        <v>196448</v>
      </c>
      <c r="D12" s="276">
        <f t="shared" si="0"/>
        <v>2442</v>
      </c>
      <c r="E12" s="298" t="s">
        <v>338</v>
      </c>
    </row>
    <row r="13" spans="1:11" hidden="1" x14ac:dyDescent="0.2">
      <c r="A13" s="237" t="s">
        <v>304</v>
      </c>
      <c r="B13" s="276">
        <f>'Exhibit 3 Tables'!P14</f>
        <v>0</v>
      </c>
      <c r="C13" s="276">
        <f>'Exhibit 3 Tables'!Q14</f>
        <v>0</v>
      </c>
      <c r="D13" s="276">
        <f t="shared" si="0"/>
        <v>0</v>
      </c>
      <c r="E13" s="281"/>
    </row>
    <row r="14" spans="1:11" x14ac:dyDescent="0.2">
      <c r="A14" s="234" t="s">
        <v>340</v>
      </c>
      <c r="B14" s="276">
        <f>'Exhibit 3 Tables'!P15</f>
        <v>0</v>
      </c>
      <c r="C14" s="276">
        <f>'Exhibit 3 Tables'!Q15</f>
        <v>-24598.18</v>
      </c>
      <c r="D14" s="276">
        <f t="shared" si="0"/>
        <v>-24598.18</v>
      </c>
      <c r="E14" s="281">
        <f t="shared" si="1"/>
        <v>1</v>
      </c>
    </row>
    <row r="15" spans="1:11" x14ac:dyDescent="0.2">
      <c r="A15" s="269" t="s">
        <v>12</v>
      </c>
      <c r="B15" s="278">
        <f>SUM(B4:B14)</f>
        <v>33072111.686966874</v>
      </c>
      <c r="C15" s="278">
        <f>SUM(C4:C14)</f>
        <v>32318122.949999999</v>
      </c>
      <c r="D15" s="277">
        <f t="shared" si="0"/>
        <v>-753988.73696687445</v>
      </c>
      <c r="E15" s="275">
        <f t="shared" si="1"/>
        <v>-2.333021438569886E-2</v>
      </c>
    </row>
    <row r="18" spans="1:5" x14ac:dyDescent="0.2">
      <c r="A18" s="272" t="s">
        <v>311</v>
      </c>
    </row>
    <row r="19" spans="1:5" ht="25.5" x14ac:dyDescent="0.2">
      <c r="A19" s="415"/>
      <c r="B19" s="415" t="s">
        <v>241</v>
      </c>
      <c r="C19" s="415" t="s">
        <v>279</v>
      </c>
      <c r="D19" s="415" t="s">
        <v>243</v>
      </c>
      <c r="E19" s="416" t="s">
        <v>244</v>
      </c>
    </row>
    <row r="20" spans="1:5" x14ac:dyDescent="0.2">
      <c r="A20" s="270" t="s">
        <v>272</v>
      </c>
      <c r="B20" s="271"/>
      <c r="C20" s="271"/>
      <c r="D20" s="271"/>
      <c r="E20" s="280"/>
    </row>
    <row r="21" spans="1:5" x14ac:dyDescent="0.2">
      <c r="A21" s="237" t="s">
        <v>1</v>
      </c>
      <c r="B21" s="276">
        <f>'Exhibit 3 Tables'!Q5</f>
        <v>16422948.089999998</v>
      </c>
      <c r="C21" s="276">
        <f>'Exhibit 3 Tables'!R5</f>
        <v>16660342</v>
      </c>
      <c r="D21" s="276">
        <f>C21-B21</f>
        <v>237393.91000000201</v>
      </c>
      <c r="E21" s="281">
        <f>D21/C21</f>
        <v>1.4249041826392399E-2</v>
      </c>
    </row>
    <row r="22" spans="1:5" x14ac:dyDescent="0.2">
      <c r="A22" s="237" t="s">
        <v>138</v>
      </c>
      <c r="B22" s="276">
        <f>'Exhibit 3 Tables'!Q6</f>
        <v>3926809.24</v>
      </c>
      <c r="C22" s="276">
        <f>'Exhibit 3 Tables'!R6</f>
        <v>4171987</v>
      </c>
      <c r="D22" s="276">
        <f t="shared" ref="D22:D32" si="2">C22-B22</f>
        <v>245177.75999999978</v>
      </c>
      <c r="E22" s="281">
        <f t="shared" ref="E22:E32" si="3">D22/C22</f>
        <v>5.8767623197291785E-2</v>
      </c>
    </row>
    <row r="23" spans="1:5" x14ac:dyDescent="0.2">
      <c r="A23" s="237" t="s">
        <v>139</v>
      </c>
      <c r="B23" s="276">
        <f>'Exhibit 3 Tables'!Q7</f>
        <v>7634121.7500000009</v>
      </c>
      <c r="C23" s="276">
        <f>'Exhibit 3 Tables'!R7</f>
        <v>7544907</v>
      </c>
      <c r="D23" s="276">
        <f t="shared" si="2"/>
        <v>-89214.750000000931</v>
      </c>
      <c r="E23" s="281">
        <f t="shared" si="3"/>
        <v>-1.1824499626039252E-2</v>
      </c>
    </row>
    <row r="24" spans="1:5" x14ac:dyDescent="0.2">
      <c r="A24" s="237" t="s">
        <v>140</v>
      </c>
      <c r="B24" s="276">
        <f>'Exhibit 3 Tables'!Q8</f>
        <v>1841141.4400000002</v>
      </c>
      <c r="C24" s="276">
        <f>'Exhibit 3 Tables'!R8</f>
        <v>1833026</v>
      </c>
      <c r="D24" s="276">
        <f t="shared" si="2"/>
        <v>-8115.440000000177</v>
      </c>
      <c r="E24" s="281">
        <f t="shared" si="3"/>
        <v>-4.4273458205176452E-3</v>
      </c>
    </row>
    <row r="25" spans="1:5" x14ac:dyDescent="0.2">
      <c r="A25" s="237" t="s">
        <v>113</v>
      </c>
      <c r="B25" s="276">
        <f>'Exhibit 3 Tables'!Q9</f>
        <v>1244375.8800000001</v>
      </c>
      <c r="C25" s="276">
        <f>'Exhibit 3 Tables'!R9</f>
        <v>1228321</v>
      </c>
      <c r="D25" s="276">
        <f t="shared" si="2"/>
        <v>-16054.880000000121</v>
      </c>
      <c r="E25" s="281">
        <f t="shared" si="3"/>
        <v>-1.3070589853955213E-2</v>
      </c>
    </row>
    <row r="26" spans="1:5" x14ac:dyDescent="0.2">
      <c r="A26" s="237" t="s">
        <v>66</v>
      </c>
      <c r="B26" s="276">
        <f>'Exhibit 3 Tables'!Q10</f>
        <v>1000646.87</v>
      </c>
      <c r="C26" s="276">
        <f>'Exhibit 3 Tables'!R10</f>
        <v>1069866</v>
      </c>
      <c r="D26" s="276">
        <f t="shared" si="2"/>
        <v>69219.13</v>
      </c>
      <c r="E26" s="281">
        <f t="shared" si="3"/>
        <v>6.4698878177267063E-2</v>
      </c>
    </row>
    <row r="27" spans="1:5" x14ac:dyDescent="0.2">
      <c r="A27" s="237" t="s">
        <v>195</v>
      </c>
      <c r="B27" s="276">
        <f>'Exhibit 3 Tables'!Q11</f>
        <v>17721</v>
      </c>
      <c r="C27" s="276">
        <f>'Exhibit 3 Tables'!R11</f>
        <v>28319</v>
      </c>
      <c r="D27" s="276">
        <f t="shared" si="2"/>
        <v>10598</v>
      </c>
      <c r="E27" s="281">
        <f t="shared" si="3"/>
        <v>0.37423637840319218</v>
      </c>
    </row>
    <row r="28" spans="1:5" x14ac:dyDescent="0.2">
      <c r="A28" s="237" t="s">
        <v>2</v>
      </c>
      <c r="B28" s="276">
        <f>'Exhibit 3 Tables'!Q12</f>
        <v>58508.86</v>
      </c>
      <c r="C28" s="276">
        <f>'Exhibit 3 Tables'!R12</f>
        <v>56137</v>
      </c>
      <c r="D28" s="276">
        <f t="shared" si="2"/>
        <v>-2371.8600000000006</v>
      </c>
      <c r="E28" s="281">
        <f t="shared" si="3"/>
        <v>-4.225127812316299E-2</v>
      </c>
    </row>
    <row r="29" spans="1:5" x14ac:dyDescent="0.2">
      <c r="A29" s="237" t="s">
        <v>227</v>
      </c>
      <c r="B29" s="276">
        <f>'Exhibit 3 Tables'!Q13</f>
        <v>196448</v>
      </c>
      <c r="C29" s="276">
        <f>'Exhibit 3 Tables'!R13</f>
        <v>260109</v>
      </c>
      <c r="D29" s="276">
        <f t="shared" si="2"/>
        <v>63661</v>
      </c>
      <c r="E29" s="281">
        <f t="shared" si="3"/>
        <v>0.24474739436159457</v>
      </c>
    </row>
    <row r="30" spans="1:5" hidden="1" x14ac:dyDescent="0.2">
      <c r="A30" s="237" t="s">
        <v>304</v>
      </c>
      <c r="B30" s="276">
        <f>'Exhibit 3 Tables'!Q14</f>
        <v>0</v>
      </c>
      <c r="C30" s="276">
        <f>'Exhibit 3 Tables'!R14</f>
        <v>0</v>
      </c>
      <c r="D30" s="276">
        <f t="shared" si="2"/>
        <v>0</v>
      </c>
      <c r="E30" s="281" t="e">
        <f t="shared" si="3"/>
        <v>#DIV/0!</v>
      </c>
    </row>
    <row r="31" spans="1:5" x14ac:dyDescent="0.2">
      <c r="A31" s="234" t="s">
        <v>385</v>
      </c>
      <c r="B31" s="276">
        <f>'Exhibit 3 Tables'!Q15</f>
        <v>-24598.18</v>
      </c>
      <c r="C31" s="276">
        <f>'Exhibit 3 Tables'!R15</f>
        <v>49728</v>
      </c>
      <c r="D31" s="276">
        <f t="shared" si="2"/>
        <v>74326.179999999993</v>
      </c>
      <c r="E31" s="281">
        <f t="shared" si="3"/>
        <v>1.4946545205920205</v>
      </c>
    </row>
    <row r="32" spans="1:5" x14ac:dyDescent="0.2">
      <c r="A32" s="269" t="s">
        <v>12</v>
      </c>
      <c r="B32" s="278">
        <f>SUM(B21:B31)</f>
        <v>32318122.949999999</v>
      </c>
      <c r="C32" s="278">
        <f>SUM(C21:C31)</f>
        <v>32902742</v>
      </c>
      <c r="D32" s="277">
        <f t="shared" si="2"/>
        <v>584619.05000000075</v>
      </c>
      <c r="E32" s="275">
        <f t="shared" si="3"/>
        <v>1.7768095133226306E-2</v>
      </c>
    </row>
    <row r="35" spans="1:5" x14ac:dyDescent="0.2">
      <c r="A35" s="272" t="s">
        <v>313</v>
      </c>
    </row>
    <row r="36" spans="1:5" ht="25.5" x14ac:dyDescent="0.2">
      <c r="A36" s="415"/>
      <c r="B36" s="415" t="s">
        <v>312</v>
      </c>
      <c r="C36" s="415" t="s">
        <v>280</v>
      </c>
      <c r="D36" s="415" t="s">
        <v>243</v>
      </c>
      <c r="E36" s="416" t="s">
        <v>244</v>
      </c>
    </row>
    <row r="37" spans="1:5" x14ac:dyDescent="0.2">
      <c r="A37" s="270" t="s">
        <v>272</v>
      </c>
      <c r="B37" s="271"/>
      <c r="C37" s="271"/>
      <c r="D37" s="271"/>
      <c r="E37" s="280"/>
    </row>
    <row r="38" spans="1:5" x14ac:dyDescent="0.2">
      <c r="A38" s="237" t="s">
        <v>1</v>
      </c>
      <c r="B38" s="276">
        <f>'Exhibit 3 Tables'!R5</f>
        <v>16660342</v>
      </c>
      <c r="C38" s="276">
        <f>'Exhibit 3 Tables'!S5</f>
        <v>16495527.880882952</v>
      </c>
      <c r="D38" s="276">
        <f>C38-B38</f>
        <v>-164814.11911704764</v>
      </c>
      <c r="E38" s="281">
        <f>D38/C38</f>
        <v>-9.9914425477740862E-3</v>
      </c>
    </row>
    <row r="39" spans="1:5" x14ac:dyDescent="0.2">
      <c r="A39" s="237" t="s">
        <v>138</v>
      </c>
      <c r="B39" s="276">
        <f>'Exhibit 3 Tables'!R6</f>
        <v>4171987</v>
      </c>
      <c r="C39" s="276">
        <f>'Exhibit 3 Tables'!S6</f>
        <v>4059568.5179035389</v>
      </c>
      <c r="D39" s="276">
        <f t="shared" ref="D39:D49" si="4">C39-B39</f>
        <v>-112418.48209646111</v>
      </c>
      <c r="E39" s="281">
        <f t="shared" ref="E39:E49" si="5">D39/C39</f>
        <v>-2.7692224333860187E-2</v>
      </c>
    </row>
    <row r="40" spans="1:5" x14ac:dyDescent="0.2">
      <c r="A40" s="237" t="s">
        <v>139</v>
      </c>
      <c r="B40" s="276">
        <f>'Exhibit 3 Tables'!R7</f>
        <v>7544907</v>
      </c>
      <c r="C40" s="276">
        <f>'Exhibit 3 Tables'!S7</f>
        <v>8246828.0745449075</v>
      </c>
      <c r="D40" s="276">
        <f t="shared" si="4"/>
        <v>701921.07454490755</v>
      </c>
      <c r="E40" s="281">
        <f t="shared" si="5"/>
        <v>8.5114066669037758E-2</v>
      </c>
    </row>
    <row r="41" spans="1:5" x14ac:dyDescent="0.2">
      <c r="A41" s="237" t="s">
        <v>140</v>
      </c>
      <c r="B41" s="276">
        <f>'Exhibit 3 Tables'!R8</f>
        <v>1833026</v>
      </c>
      <c r="C41" s="276">
        <f>'Exhibit 3 Tables'!S8</f>
        <v>1896554.12</v>
      </c>
      <c r="D41" s="276">
        <f t="shared" si="4"/>
        <v>63528.120000000112</v>
      </c>
      <c r="E41" s="281">
        <f t="shared" si="5"/>
        <v>3.3496602775564405E-2</v>
      </c>
    </row>
    <row r="42" spans="1:5" x14ac:dyDescent="0.2">
      <c r="A42" s="237" t="s">
        <v>113</v>
      </c>
      <c r="B42" s="276">
        <f>'Exhibit 3 Tables'!R9</f>
        <v>1228321</v>
      </c>
      <c r="C42" s="276">
        <f>'Exhibit 3 Tables'!S9</f>
        <v>1173639.76</v>
      </c>
      <c r="D42" s="276">
        <f t="shared" si="4"/>
        <v>-54681.239999999991</v>
      </c>
      <c r="E42" s="281">
        <f t="shared" si="5"/>
        <v>-4.6591161839984012E-2</v>
      </c>
    </row>
    <row r="43" spans="1:5" x14ac:dyDescent="0.2">
      <c r="A43" s="237" t="s">
        <v>66</v>
      </c>
      <c r="B43" s="276">
        <f>'Exhibit 3 Tables'!R10</f>
        <v>1069866</v>
      </c>
      <c r="C43" s="276">
        <f>'Exhibit 3 Tables'!S10</f>
        <v>1042980.7103124999</v>
      </c>
      <c r="D43" s="276">
        <f t="shared" si="4"/>
        <v>-26885.289687500102</v>
      </c>
      <c r="E43" s="281">
        <f t="shared" si="5"/>
        <v>-2.5777360426392431E-2</v>
      </c>
    </row>
    <row r="44" spans="1:5" x14ac:dyDescent="0.2">
      <c r="A44" s="237" t="s">
        <v>195</v>
      </c>
      <c r="B44" s="276">
        <f>'Exhibit 3 Tables'!R11</f>
        <v>28319</v>
      </c>
      <c r="C44" s="276">
        <f>'Exhibit 3 Tables'!S11</f>
        <v>16538.458191599999</v>
      </c>
      <c r="D44" s="276">
        <f t="shared" si="4"/>
        <v>-11780.541808400001</v>
      </c>
      <c r="E44" s="281">
        <f t="shared" si="5"/>
        <v>-0.71231197442476368</v>
      </c>
    </row>
    <row r="45" spans="1:5" x14ac:dyDescent="0.2">
      <c r="A45" s="237" t="s">
        <v>2</v>
      </c>
      <c r="B45" s="276">
        <f>'Exhibit 3 Tables'!R12</f>
        <v>56137</v>
      </c>
      <c r="C45" s="276">
        <f>'Exhibit 3 Tables'!S12</f>
        <v>64700.05309999999</v>
      </c>
      <c r="D45" s="276">
        <f t="shared" si="4"/>
        <v>8563.0530999999901</v>
      </c>
      <c r="E45" s="281">
        <f t="shared" si="5"/>
        <v>0.13235001657208828</v>
      </c>
    </row>
    <row r="46" spans="1:5" x14ac:dyDescent="0.2">
      <c r="A46" s="237" t="s">
        <v>227</v>
      </c>
      <c r="B46" s="276">
        <f>'Exhibit 3 Tables'!R13</f>
        <v>260109</v>
      </c>
      <c r="C46" s="276">
        <f>'Exhibit 3 Tables'!S13</f>
        <v>281674.05</v>
      </c>
      <c r="D46" s="276">
        <f t="shared" si="4"/>
        <v>21565.049999999988</v>
      </c>
      <c r="E46" s="281">
        <f t="shared" si="5"/>
        <v>7.6560300815783314E-2</v>
      </c>
    </row>
    <row r="47" spans="1:5" hidden="1" x14ac:dyDescent="0.2">
      <c r="A47" s="237" t="s">
        <v>304</v>
      </c>
      <c r="B47" s="276">
        <f>'Exhibit 3 Tables'!R14</f>
        <v>0</v>
      </c>
      <c r="C47" s="276">
        <f>'Exhibit 3 Tables'!S14</f>
        <v>0</v>
      </c>
      <c r="D47" s="276">
        <f t="shared" si="4"/>
        <v>0</v>
      </c>
      <c r="E47" s="281"/>
    </row>
    <row r="48" spans="1:5" x14ac:dyDescent="0.2">
      <c r="A48" s="234" t="s">
        <v>385</v>
      </c>
      <c r="B48" s="276">
        <f>'Exhibit 3 Tables'!R15</f>
        <v>49728</v>
      </c>
      <c r="C48" s="276">
        <f>'Exhibit 3 Tables'!S15</f>
        <v>0</v>
      </c>
      <c r="D48" s="276">
        <f t="shared" si="4"/>
        <v>-49728</v>
      </c>
      <c r="E48" s="414" t="s">
        <v>338</v>
      </c>
    </row>
    <row r="49" spans="1:5" x14ac:dyDescent="0.2">
      <c r="A49" s="269" t="s">
        <v>12</v>
      </c>
      <c r="B49" s="278">
        <f>SUM(B38:B48)</f>
        <v>32902742</v>
      </c>
      <c r="C49" s="278">
        <f>SUM(C38:C48)</f>
        <v>33278011.624935504</v>
      </c>
      <c r="D49" s="277">
        <f t="shared" si="4"/>
        <v>375269.62493550405</v>
      </c>
      <c r="E49" s="275">
        <f t="shared" si="5"/>
        <v>1.1276804310456795E-2</v>
      </c>
    </row>
    <row r="52" spans="1:5" x14ac:dyDescent="0.2">
      <c r="A52" s="272" t="s">
        <v>315</v>
      </c>
    </row>
    <row r="53" spans="1:5" ht="25.5" x14ac:dyDescent="0.2">
      <c r="A53" s="415"/>
      <c r="B53" s="415" t="s">
        <v>314</v>
      </c>
      <c r="C53" s="415" t="s">
        <v>316</v>
      </c>
      <c r="D53" s="415" t="s">
        <v>243</v>
      </c>
      <c r="E53" s="416" t="s">
        <v>244</v>
      </c>
    </row>
    <row r="54" spans="1:5" x14ac:dyDescent="0.2">
      <c r="A54" s="270" t="s">
        <v>272</v>
      </c>
      <c r="B54" s="271"/>
      <c r="C54" s="271"/>
      <c r="D54" s="271"/>
      <c r="E54" s="280"/>
    </row>
    <row r="55" spans="1:5" x14ac:dyDescent="0.2">
      <c r="A55" s="237" t="s">
        <v>1</v>
      </c>
      <c r="B55" s="276">
        <f>'Exhibit 3 Tables'!S5</f>
        <v>16495527.880882952</v>
      </c>
      <c r="C55" s="276">
        <f>'Exhibit 3 Tables'!T5</f>
        <v>16964394.523131743</v>
      </c>
      <c r="D55" s="276">
        <f>C55-B55</f>
        <v>468866.64224879071</v>
      </c>
      <c r="E55" s="281">
        <f>D55/C55</f>
        <v>2.7638277429204394E-2</v>
      </c>
    </row>
    <row r="56" spans="1:5" x14ac:dyDescent="0.2">
      <c r="A56" s="237" t="s">
        <v>138</v>
      </c>
      <c r="B56" s="276">
        <f>'Exhibit 3 Tables'!S6</f>
        <v>4059568.5179035389</v>
      </c>
      <c r="C56" s="276">
        <f>'Exhibit 3 Tables'!T6</f>
        <v>4081599.285853826</v>
      </c>
      <c r="D56" s="276">
        <f t="shared" ref="D56:D66" si="6">C56-B56</f>
        <v>22030.767950287089</v>
      </c>
      <c r="E56" s="281">
        <f t="shared" ref="E56:E66" si="7">D56/C56</f>
        <v>5.3975822728708879E-3</v>
      </c>
    </row>
    <row r="57" spans="1:5" x14ac:dyDescent="0.2">
      <c r="A57" s="237" t="s">
        <v>139</v>
      </c>
      <c r="B57" s="276">
        <f>'Exhibit 3 Tables'!S7</f>
        <v>8246828.0745449075</v>
      </c>
      <c r="C57" s="276">
        <f>'Exhibit 3 Tables'!T7</f>
        <v>7791032.3367225453</v>
      </c>
      <c r="D57" s="276">
        <f t="shared" si="6"/>
        <v>-455795.73782236222</v>
      </c>
      <c r="E57" s="281">
        <f t="shared" si="7"/>
        <v>-5.8502611479867364E-2</v>
      </c>
    </row>
    <row r="58" spans="1:5" x14ac:dyDescent="0.2">
      <c r="A58" s="237" t="s">
        <v>140</v>
      </c>
      <c r="B58" s="276">
        <f>'Exhibit 3 Tables'!S8</f>
        <v>1896554.12</v>
      </c>
      <c r="C58" s="276">
        <f>'Exhibit 3 Tables'!T8</f>
        <v>1792008.1248807504</v>
      </c>
      <c r="D58" s="276">
        <f t="shared" si="6"/>
        <v>-104545.99511924968</v>
      </c>
      <c r="E58" s="281">
        <f t="shared" si="7"/>
        <v>-5.8340134549449502E-2</v>
      </c>
    </row>
    <row r="59" spans="1:5" x14ac:dyDescent="0.2">
      <c r="A59" s="237" t="s">
        <v>113</v>
      </c>
      <c r="B59" s="276">
        <f>'Exhibit 3 Tables'!S9</f>
        <v>1173639.76</v>
      </c>
      <c r="C59" s="276">
        <f>'Exhibit 3 Tables'!T9</f>
        <v>1288466.0792596445</v>
      </c>
      <c r="D59" s="276">
        <f t="shared" si="6"/>
        <v>114826.31925964449</v>
      </c>
      <c r="E59" s="281">
        <f t="shared" si="7"/>
        <v>8.9118620278792249E-2</v>
      </c>
    </row>
    <row r="60" spans="1:5" x14ac:dyDescent="0.2">
      <c r="A60" s="237" t="s">
        <v>66</v>
      </c>
      <c r="B60" s="276">
        <f>'Exhibit 3 Tables'!S10</f>
        <v>1042980.7103124999</v>
      </c>
      <c r="C60" s="276">
        <f>'Exhibit 3 Tables'!T10</f>
        <v>956388.78674363997</v>
      </c>
      <c r="D60" s="276">
        <f t="shared" si="6"/>
        <v>-86591.923568859929</v>
      </c>
      <c r="E60" s="281">
        <f t="shared" si="7"/>
        <v>-9.0540504833491839E-2</v>
      </c>
    </row>
    <row r="61" spans="1:5" x14ac:dyDescent="0.2">
      <c r="A61" s="237" t="s">
        <v>195</v>
      </c>
      <c r="B61" s="276">
        <f>'Exhibit 3 Tables'!S11</f>
        <v>16538.458191599999</v>
      </c>
      <c r="C61" s="276">
        <f>'Exhibit 3 Tables'!T11</f>
        <v>14535.452936</v>
      </c>
      <c r="D61" s="276">
        <f t="shared" si="6"/>
        <v>-2003.0052555999991</v>
      </c>
      <c r="E61" s="281">
        <f t="shared" si="7"/>
        <v>-0.13780136500866444</v>
      </c>
    </row>
    <row r="62" spans="1:5" x14ac:dyDescent="0.2">
      <c r="A62" s="237" t="s">
        <v>2</v>
      </c>
      <c r="B62" s="276">
        <f>'Exhibit 3 Tables'!S12</f>
        <v>64700.05309999999</v>
      </c>
      <c r="C62" s="276">
        <f>'Exhibit 3 Tables'!T12</f>
        <v>64855.219800000006</v>
      </c>
      <c r="D62" s="276">
        <f t="shared" si="6"/>
        <v>155.16670000001614</v>
      </c>
      <c r="E62" s="281">
        <f t="shared" si="7"/>
        <v>2.3925090452012643E-3</v>
      </c>
    </row>
    <row r="63" spans="1:5" x14ac:dyDescent="0.2">
      <c r="A63" s="237" t="s">
        <v>227</v>
      </c>
      <c r="B63" s="276">
        <f>'Exhibit 3 Tables'!S13</f>
        <v>281674.05</v>
      </c>
      <c r="C63" s="276">
        <f>'Exhibit 3 Tables'!T13</f>
        <v>264331.21999999997</v>
      </c>
      <c r="D63" s="276">
        <f t="shared" si="6"/>
        <v>-17342.830000000016</v>
      </c>
      <c r="E63" s="281">
        <f t="shared" si="7"/>
        <v>-6.561022190265689E-2</v>
      </c>
    </row>
    <row r="64" spans="1:5" x14ac:dyDescent="0.2">
      <c r="A64" s="237" t="s">
        <v>304</v>
      </c>
      <c r="B64" s="276">
        <f>'Exhibit 3 Tables'!S14</f>
        <v>0</v>
      </c>
      <c r="C64" s="276">
        <f>'Exhibit 3 Tables'!T14</f>
        <v>0</v>
      </c>
      <c r="D64" s="276">
        <f t="shared" si="6"/>
        <v>0</v>
      </c>
      <c r="E64" s="281"/>
    </row>
    <row r="65" spans="1:5" x14ac:dyDescent="0.2">
      <c r="A65" s="234" t="s">
        <v>324</v>
      </c>
      <c r="B65" s="276">
        <f>'Exhibit 3 Tables'!S15</f>
        <v>0</v>
      </c>
      <c r="C65" s="276">
        <f>'Exhibit 3 Tables'!T15</f>
        <v>0</v>
      </c>
      <c r="D65" s="276">
        <f t="shared" si="6"/>
        <v>0</v>
      </c>
      <c r="E65" s="281"/>
    </row>
    <row r="66" spans="1:5" x14ac:dyDescent="0.2">
      <c r="A66" s="269" t="s">
        <v>12</v>
      </c>
      <c r="B66" s="278">
        <f>SUM(B55:B65)</f>
        <v>33278011.624935504</v>
      </c>
      <c r="C66" s="278">
        <f>SUM(C55:C65)</f>
        <v>33217611.029328149</v>
      </c>
      <c r="D66" s="277">
        <f t="shared" si="6"/>
        <v>-60400.595607355237</v>
      </c>
      <c r="E66" s="275">
        <f t="shared" si="7"/>
        <v>-1.8183305101028178E-3</v>
      </c>
    </row>
    <row r="69" spans="1:5" x14ac:dyDescent="0.2">
      <c r="A69" s="272" t="s">
        <v>317</v>
      </c>
    </row>
    <row r="70" spans="1:5" ht="25.5" x14ac:dyDescent="0.2">
      <c r="A70" s="415"/>
      <c r="B70" s="415" t="s">
        <v>316</v>
      </c>
      <c r="C70" s="415" t="s">
        <v>318</v>
      </c>
      <c r="D70" s="415" t="s">
        <v>243</v>
      </c>
      <c r="E70" s="416" t="s">
        <v>244</v>
      </c>
    </row>
    <row r="71" spans="1:5" x14ac:dyDescent="0.2">
      <c r="A71" s="270" t="s">
        <v>272</v>
      </c>
      <c r="B71" s="271"/>
      <c r="C71" s="271"/>
      <c r="D71" s="271"/>
      <c r="E71" s="280"/>
    </row>
    <row r="72" spans="1:5" x14ac:dyDescent="0.2">
      <c r="A72" s="237" t="s">
        <v>1</v>
      </c>
      <c r="B72" s="276">
        <f>'Exhibit 3 Tables'!T5</f>
        <v>16964394.523131743</v>
      </c>
      <c r="C72" s="276">
        <f>'Exhibit 3 Tables'!U5</f>
        <v>17346538.428553525</v>
      </c>
      <c r="D72" s="276">
        <f>C72-B72</f>
        <v>382143.90542178228</v>
      </c>
      <c r="E72" s="281">
        <f>D72/C72</f>
        <v>2.2029980620960586E-2</v>
      </c>
    </row>
    <row r="73" spans="1:5" x14ac:dyDescent="0.2">
      <c r="A73" s="237" t="s">
        <v>138</v>
      </c>
      <c r="B73" s="276">
        <f>'Exhibit 3 Tables'!T6</f>
        <v>4081599.285853826</v>
      </c>
      <c r="C73" s="276">
        <f>'Exhibit 3 Tables'!U6</f>
        <v>4057006.7882216675</v>
      </c>
      <c r="D73" s="276">
        <f t="shared" ref="D73:D83" si="8">C73-B73</f>
        <v>-24592.497632158455</v>
      </c>
      <c r="E73" s="281">
        <f t="shared" ref="E73:E81" si="9">D73/C73</f>
        <v>-6.0617344056597532E-3</v>
      </c>
    </row>
    <row r="74" spans="1:5" x14ac:dyDescent="0.2">
      <c r="A74" s="237" t="s">
        <v>139</v>
      </c>
      <c r="B74" s="276">
        <f>'Exhibit 3 Tables'!T7</f>
        <v>7791032.3367225453</v>
      </c>
      <c r="C74" s="276">
        <f>'Exhibit 3 Tables'!U7</f>
        <v>7647110.3712846497</v>
      </c>
      <c r="D74" s="276">
        <f t="shared" si="8"/>
        <v>-143921.96543789562</v>
      </c>
      <c r="E74" s="281">
        <f t="shared" si="9"/>
        <v>-1.8820437845167123E-2</v>
      </c>
    </row>
    <row r="75" spans="1:5" x14ac:dyDescent="0.2">
      <c r="A75" s="237" t="s">
        <v>140</v>
      </c>
      <c r="B75" s="276">
        <f>'Exhibit 3 Tables'!T8</f>
        <v>1792008.1248807504</v>
      </c>
      <c r="C75" s="276">
        <f>'Exhibit 3 Tables'!U8</f>
        <v>2547667.513710795</v>
      </c>
      <c r="D75" s="276">
        <f t="shared" si="8"/>
        <v>755659.38883004454</v>
      </c>
      <c r="E75" s="281">
        <f t="shared" si="9"/>
        <v>0.29660832301048257</v>
      </c>
    </row>
    <row r="76" spans="1:5" x14ac:dyDescent="0.2">
      <c r="A76" s="237" t="s">
        <v>113</v>
      </c>
      <c r="B76" s="276">
        <f>'Exhibit 3 Tables'!T9</f>
        <v>1288466.0792596445</v>
      </c>
      <c r="C76" s="276">
        <f>'Exhibit 3 Tables'!U9</f>
        <v>1042830.0982967052</v>
      </c>
      <c r="D76" s="276">
        <f t="shared" si="8"/>
        <v>-245635.98096293933</v>
      </c>
      <c r="E76" s="281">
        <f t="shared" si="9"/>
        <v>-0.23554746009359157</v>
      </c>
    </row>
    <row r="77" spans="1:5" x14ac:dyDescent="0.2">
      <c r="A77" s="237" t="s">
        <v>66</v>
      </c>
      <c r="B77" s="276">
        <f>'Exhibit 3 Tables'!T10</f>
        <v>956388.78674363997</v>
      </c>
      <c r="C77" s="276">
        <f>'Exhibit 3 Tables'!U10</f>
        <v>742910.75547901273</v>
      </c>
      <c r="D77" s="276">
        <f t="shared" si="8"/>
        <v>-213478.03126462724</v>
      </c>
      <c r="E77" s="281">
        <f t="shared" si="9"/>
        <v>-0.28735353431110477</v>
      </c>
    </row>
    <row r="78" spans="1:5" x14ac:dyDescent="0.2">
      <c r="A78" s="237" t="s">
        <v>195</v>
      </c>
      <c r="B78" s="276">
        <f>'Exhibit 3 Tables'!T11</f>
        <v>14535.452936</v>
      </c>
      <c r="C78" s="276">
        <f>'Exhibit 3 Tables'!U11</f>
        <v>14572.660176000001</v>
      </c>
      <c r="D78" s="276">
        <f t="shared" si="8"/>
        <v>37.207240000001548</v>
      </c>
      <c r="E78" s="281">
        <f t="shared" si="9"/>
        <v>2.5532222360663344E-3</v>
      </c>
    </row>
    <row r="79" spans="1:5" x14ac:dyDescent="0.2">
      <c r="A79" s="237" t="s">
        <v>2</v>
      </c>
      <c r="B79" s="276">
        <f>'Exhibit 3 Tables'!T12</f>
        <v>64855.219800000006</v>
      </c>
      <c r="C79" s="276">
        <f>'Exhibit 3 Tables'!U12</f>
        <v>64041.929412203215</v>
      </c>
      <c r="D79" s="276">
        <f t="shared" si="8"/>
        <v>-813.29038779679104</v>
      </c>
      <c r="E79" s="281">
        <f t="shared" si="9"/>
        <v>-1.2699342372433555E-2</v>
      </c>
    </row>
    <row r="80" spans="1:5" x14ac:dyDescent="0.2">
      <c r="A80" s="237" t="s">
        <v>227</v>
      </c>
      <c r="B80" s="276">
        <f>'Exhibit 3 Tables'!T13</f>
        <v>264331.21999999997</v>
      </c>
      <c r="C80" s="276">
        <f>'Exhibit 3 Tables'!U13</f>
        <v>400890.23606465844</v>
      </c>
      <c r="D80" s="276">
        <f t="shared" si="8"/>
        <v>136559.01606465847</v>
      </c>
      <c r="E80" s="281">
        <f t="shared" si="9"/>
        <v>0.34063941642777562</v>
      </c>
    </row>
    <row r="81" spans="1:5" x14ac:dyDescent="0.2">
      <c r="A81" s="237" t="s">
        <v>304</v>
      </c>
      <c r="B81" s="276">
        <f>'Exhibit 3 Tables'!T14</f>
        <v>0</v>
      </c>
      <c r="C81" s="276">
        <f>'Exhibit 3 Tables'!U14</f>
        <v>-511575</v>
      </c>
      <c r="D81" s="276">
        <f t="shared" si="8"/>
        <v>-511575</v>
      </c>
      <c r="E81" s="281">
        <f t="shared" si="9"/>
        <v>1</v>
      </c>
    </row>
    <row r="82" spans="1:5" x14ac:dyDescent="0.2">
      <c r="A82" s="234" t="s">
        <v>384</v>
      </c>
      <c r="B82" s="276">
        <f>'Exhibit 3 Tables'!T15</f>
        <v>0</v>
      </c>
      <c r="C82" s="276">
        <f>'Exhibit 3 Tables'!U15</f>
        <v>0</v>
      </c>
      <c r="D82" s="276">
        <f t="shared" si="8"/>
        <v>0</v>
      </c>
      <c r="E82" s="281"/>
    </row>
    <row r="83" spans="1:5" x14ac:dyDescent="0.2">
      <c r="A83" s="269" t="s">
        <v>12</v>
      </c>
      <c r="B83" s="278">
        <f>SUM(B72:B82)</f>
        <v>33217611.029328149</v>
      </c>
      <c r="C83" s="278">
        <f>SUM(C72:C82)</f>
        <v>33351993.781199224</v>
      </c>
      <c r="D83" s="277">
        <f t="shared" si="8"/>
        <v>134382.75187107548</v>
      </c>
      <c r="E83" s="275">
        <f t="shared" ref="E83" si="10">D83/C83</f>
        <v>4.0292269407542309E-3</v>
      </c>
    </row>
    <row r="86" spans="1:5" x14ac:dyDescent="0.2">
      <c r="A86" s="272" t="s">
        <v>320</v>
      </c>
    </row>
    <row r="87" spans="1:5" ht="51" x14ac:dyDescent="0.2">
      <c r="A87" s="415"/>
      <c r="B87" s="415" t="s">
        <v>318</v>
      </c>
      <c r="C87" s="415" t="s">
        <v>321</v>
      </c>
      <c r="D87" s="415" t="s">
        <v>243</v>
      </c>
      <c r="E87" s="416" t="s">
        <v>244</v>
      </c>
    </row>
    <row r="88" spans="1:5" x14ac:dyDescent="0.2">
      <c r="A88" s="270" t="s">
        <v>272</v>
      </c>
      <c r="B88" s="271"/>
      <c r="C88" s="271"/>
      <c r="D88" s="271"/>
      <c r="E88" s="280"/>
    </row>
    <row r="89" spans="1:5" x14ac:dyDescent="0.2">
      <c r="A89" s="237" t="s">
        <v>1</v>
      </c>
      <c r="B89" s="276">
        <f>'Exhibit 3 Tables'!U5</f>
        <v>17346538.428553525</v>
      </c>
      <c r="C89" s="276">
        <f>'Exhibit 3 Tables'!V5</f>
        <v>17528594.544314642</v>
      </c>
      <c r="D89" s="276">
        <f>C89-B89</f>
        <v>182056.11576111615</v>
      </c>
      <c r="E89" s="281">
        <f>D89/C89</f>
        <v>1.0386235776111646E-2</v>
      </c>
    </row>
    <row r="90" spans="1:5" x14ac:dyDescent="0.2">
      <c r="A90" s="237" t="s">
        <v>138</v>
      </c>
      <c r="B90" s="276">
        <f>'Exhibit 3 Tables'!U6</f>
        <v>4057006.7882216675</v>
      </c>
      <c r="C90" s="276">
        <f>'Exhibit 3 Tables'!V6</f>
        <v>4131617.4822672913</v>
      </c>
      <c r="D90" s="276">
        <f t="shared" ref="D90:D100" si="11">C90-B90</f>
        <v>74610.694045623764</v>
      </c>
      <c r="E90" s="281">
        <f t="shared" ref="E90:E98" si="12">D90/C90</f>
        <v>1.8058470893263803E-2</v>
      </c>
    </row>
    <row r="91" spans="1:5" x14ac:dyDescent="0.2">
      <c r="A91" s="237" t="s">
        <v>139</v>
      </c>
      <c r="B91" s="276">
        <f>'Exhibit 3 Tables'!U7</f>
        <v>7647110.3712846497</v>
      </c>
      <c r="C91" s="276">
        <f>'Exhibit 3 Tables'!V7</f>
        <v>7629214.5216107639</v>
      </c>
      <c r="D91" s="276">
        <f t="shared" si="11"/>
        <v>-17895.849673885852</v>
      </c>
      <c r="E91" s="281">
        <f t="shared" si="12"/>
        <v>-2.3457001534290954E-3</v>
      </c>
    </row>
    <row r="92" spans="1:5" x14ac:dyDescent="0.2">
      <c r="A92" s="237" t="s">
        <v>140</v>
      </c>
      <c r="B92" s="276">
        <f>'Exhibit 3 Tables'!U8</f>
        <v>2547667.513710795</v>
      </c>
      <c r="C92" s="276">
        <f>'Exhibit 3 Tables'!V8</f>
        <v>2488991.9726209231</v>
      </c>
      <c r="D92" s="276">
        <f t="shared" si="11"/>
        <v>-58675.541089871898</v>
      </c>
      <c r="E92" s="281">
        <f t="shared" si="12"/>
        <v>-2.3574017809340788E-2</v>
      </c>
    </row>
    <row r="93" spans="1:5" x14ac:dyDescent="0.2">
      <c r="A93" s="237" t="s">
        <v>113</v>
      </c>
      <c r="B93" s="276">
        <f>'Exhibit 3 Tables'!U9</f>
        <v>1042830.0982967052</v>
      </c>
      <c r="C93" s="276">
        <f>'Exhibit 3 Tables'!V9</f>
        <v>1040060.5908347343</v>
      </c>
      <c r="D93" s="276">
        <f t="shared" si="11"/>
        <v>-2769.5074619709048</v>
      </c>
      <c r="E93" s="281">
        <f t="shared" si="12"/>
        <v>-2.6628328064503886E-3</v>
      </c>
    </row>
    <row r="94" spans="1:5" x14ac:dyDescent="0.2">
      <c r="A94" s="237" t="s">
        <v>66</v>
      </c>
      <c r="B94" s="276">
        <f>'Exhibit 3 Tables'!U10</f>
        <v>742910.75547901273</v>
      </c>
      <c r="C94" s="276">
        <f>'Exhibit 3 Tables'!V10</f>
        <v>671811.38031171809</v>
      </c>
      <c r="D94" s="276">
        <f t="shared" si="11"/>
        <v>-71099.375167294638</v>
      </c>
      <c r="E94" s="281">
        <f t="shared" si="12"/>
        <v>-0.10583234707084715</v>
      </c>
    </row>
    <row r="95" spans="1:5" x14ac:dyDescent="0.2">
      <c r="A95" s="237" t="s">
        <v>195</v>
      </c>
      <c r="B95" s="276">
        <f>'Exhibit 3 Tables'!U11</f>
        <v>14572.660176000001</v>
      </c>
      <c r="C95" s="276">
        <f>'Exhibit 3 Tables'!V11</f>
        <v>14572.660176000001</v>
      </c>
      <c r="D95" s="276">
        <f t="shared" si="11"/>
        <v>0</v>
      </c>
      <c r="E95" s="281">
        <f t="shared" si="12"/>
        <v>0</v>
      </c>
    </row>
    <row r="96" spans="1:5" x14ac:dyDescent="0.2">
      <c r="A96" s="237" t="s">
        <v>2</v>
      </c>
      <c r="B96" s="276">
        <f>'Exhibit 3 Tables'!U12</f>
        <v>64041.929412203215</v>
      </c>
      <c r="C96" s="276">
        <f>'Exhibit 3 Tables'!V12</f>
        <v>64041.929412203215</v>
      </c>
      <c r="D96" s="276">
        <f t="shared" si="11"/>
        <v>0</v>
      </c>
      <c r="E96" s="281">
        <f t="shared" si="12"/>
        <v>0</v>
      </c>
    </row>
    <row r="97" spans="1:7" x14ac:dyDescent="0.2">
      <c r="A97" s="237" t="s">
        <v>227</v>
      </c>
      <c r="B97" s="276">
        <f>'Exhibit 3 Tables'!U13</f>
        <v>400890.23606465844</v>
      </c>
      <c r="C97" s="276">
        <f>'Exhibit 3 Tables'!V13</f>
        <v>400890.23606465844</v>
      </c>
      <c r="D97" s="276">
        <f t="shared" si="11"/>
        <v>0</v>
      </c>
      <c r="E97" s="281">
        <f t="shared" si="12"/>
        <v>0</v>
      </c>
    </row>
    <row r="98" spans="1:7" x14ac:dyDescent="0.2">
      <c r="A98" s="237" t="s">
        <v>304</v>
      </c>
      <c r="B98" s="276">
        <f>'Exhibit 3 Tables'!U14</f>
        <v>-511575</v>
      </c>
      <c r="C98" s="276">
        <f>'Exhibit 3 Tables'!V14</f>
        <v>-511575</v>
      </c>
      <c r="D98" s="276">
        <f t="shared" si="11"/>
        <v>0</v>
      </c>
      <c r="E98" s="281">
        <f t="shared" si="12"/>
        <v>0</v>
      </c>
    </row>
    <row r="99" spans="1:7" x14ac:dyDescent="0.2">
      <c r="A99" s="234" t="s">
        <v>324</v>
      </c>
      <c r="B99" s="276">
        <f>'Exhibit 3 Tables'!U15</f>
        <v>0</v>
      </c>
      <c r="C99" s="276">
        <f>'Exhibit 3 Tables'!V15</f>
        <v>0</v>
      </c>
      <c r="D99" s="276">
        <f t="shared" si="11"/>
        <v>0</v>
      </c>
      <c r="E99" s="281"/>
    </row>
    <row r="100" spans="1:7" x14ac:dyDescent="0.2">
      <c r="A100" s="269" t="s">
        <v>12</v>
      </c>
      <c r="B100" s="278">
        <f>SUM(B89:B99)</f>
        <v>33351993.781199224</v>
      </c>
      <c r="C100" s="278">
        <f>SUM(C89:C99)</f>
        <v>33458220.317612931</v>
      </c>
      <c r="D100" s="277">
        <f t="shared" si="11"/>
        <v>106226.53641370684</v>
      </c>
      <c r="E100" s="275">
        <f t="shared" ref="E100" si="13">D100/C100</f>
        <v>3.1749009781547625E-3</v>
      </c>
    </row>
    <row r="104" spans="1:7" ht="51" x14ac:dyDescent="0.2">
      <c r="A104" s="415"/>
      <c r="B104" s="415" t="s">
        <v>318</v>
      </c>
      <c r="C104" s="415" t="s">
        <v>323</v>
      </c>
      <c r="D104" s="415" t="s">
        <v>243</v>
      </c>
      <c r="E104" s="416" t="s">
        <v>244</v>
      </c>
      <c r="G104" s="235" t="s">
        <v>322</v>
      </c>
    </row>
    <row r="105" spans="1:7" x14ac:dyDescent="0.2">
      <c r="A105" s="270" t="s">
        <v>272</v>
      </c>
      <c r="B105" s="271"/>
      <c r="C105" s="271"/>
      <c r="D105" s="271"/>
      <c r="E105" s="280"/>
    </row>
    <row r="106" spans="1:7" x14ac:dyDescent="0.2">
      <c r="A106" s="237" t="s">
        <v>1</v>
      </c>
      <c r="B106" s="276">
        <f>'Exhibit 3 Tables'!V5</f>
        <v>17528594.544314642</v>
      </c>
      <c r="C106" s="276">
        <f>'Exhibit 3 Tables'!W5</f>
        <v>19605183.239355054</v>
      </c>
      <c r="D106" s="276">
        <f>C106-B106</f>
        <v>2076588.6950404122</v>
      </c>
      <c r="E106" s="281">
        <f>D106/C106</f>
        <v>0.10592039205590843</v>
      </c>
    </row>
    <row r="107" spans="1:7" x14ac:dyDescent="0.2">
      <c r="A107" s="237" t="s">
        <v>138</v>
      </c>
      <c r="B107" s="276">
        <f>'Exhibit 3 Tables'!V6</f>
        <v>4131617.4822672913</v>
      </c>
      <c r="C107" s="276">
        <f>'Exhibit 3 Tables'!W6</f>
        <v>4269184.3798069246</v>
      </c>
      <c r="D107" s="276">
        <f t="shared" ref="D107:D117" si="14">C107-B107</f>
        <v>137566.89753963333</v>
      </c>
      <c r="E107" s="281">
        <f t="shared" ref="E107:E115" si="15">D107/C107</f>
        <v>3.2223227038475868E-2</v>
      </c>
    </row>
    <row r="108" spans="1:7" x14ac:dyDescent="0.2">
      <c r="A108" s="237" t="s">
        <v>139</v>
      </c>
      <c r="B108" s="276">
        <f>'Exhibit 3 Tables'!V7</f>
        <v>7629214.5216107639</v>
      </c>
      <c r="C108" s="276">
        <f>'Exhibit 3 Tables'!W7</f>
        <v>6705640.406702511</v>
      </c>
      <c r="D108" s="276">
        <f t="shared" si="14"/>
        <v>-923574.11490825284</v>
      </c>
      <c r="E108" s="281">
        <f t="shared" si="15"/>
        <v>-0.13773093379494519</v>
      </c>
    </row>
    <row r="109" spans="1:7" x14ac:dyDescent="0.2">
      <c r="A109" s="237" t="s">
        <v>140</v>
      </c>
      <c r="B109" s="276">
        <f>'Exhibit 3 Tables'!V8</f>
        <v>2488991.9726209231</v>
      </c>
      <c r="C109" s="276">
        <f>'Exhibit 3 Tables'!W8</f>
        <v>2560262.1346356031</v>
      </c>
      <c r="D109" s="276">
        <f t="shared" si="14"/>
        <v>71270.162014679983</v>
      </c>
      <c r="E109" s="281">
        <f t="shared" si="15"/>
        <v>2.78370566242131E-2</v>
      </c>
    </row>
    <row r="110" spans="1:7" x14ac:dyDescent="0.2">
      <c r="A110" s="237" t="s">
        <v>113</v>
      </c>
      <c r="B110" s="276">
        <f>'Exhibit 3 Tables'!V9</f>
        <v>1040060.5908347343</v>
      </c>
      <c r="C110" s="276">
        <f>'Exhibit 3 Tables'!W9</f>
        <v>1074690.5897028425</v>
      </c>
      <c r="D110" s="276">
        <f t="shared" si="14"/>
        <v>34629.998868108261</v>
      </c>
      <c r="E110" s="281">
        <f t="shared" si="15"/>
        <v>3.2223227038475917E-2</v>
      </c>
    </row>
    <row r="111" spans="1:7" x14ac:dyDescent="0.2">
      <c r="A111" s="237" t="s">
        <v>66</v>
      </c>
      <c r="B111" s="276">
        <f>'Exhibit 3 Tables'!V10</f>
        <v>671811.38031171809</v>
      </c>
      <c r="C111" s="276">
        <f>'Exhibit 3 Tables'!W10</f>
        <v>538394.31442399893</v>
      </c>
      <c r="D111" s="276">
        <f t="shared" si="14"/>
        <v>-133417.06588771916</v>
      </c>
      <c r="E111" s="281">
        <f t="shared" si="15"/>
        <v>-0.24780548812157385</v>
      </c>
    </row>
    <row r="112" spans="1:7" x14ac:dyDescent="0.2">
      <c r="A112" s="237" t="s">
        <v>195</v>
      </c>
      <c r="B112" s="276">
        <f>'Exhibit 3 Tables'!V11</f>
        <v>14572.660176000001</v>
      </c>
      <c r="C112" s="276">
        <f>'Exhibit 3 Tables'!W11</f>
        <v>20188.159220207301</v>
      </c>
      <c r="D112" s="276">
        <f t="shared" si="14"/>
        <v>5615.4990442072994</v>
      </c>
      <c r="E112" s="281">
        <f t="shared" si="15"/>
        <v>0.27815805210147521</v>
      </c>
    </row>
    <row r="113" spans="1:5" x14ac:dyDescent="0.2">
      <c r="A113" s="237" t="s">
        <v>2</v>
      </c>
      <c r="B113" s="276">
        <f>'Exhibit 3 Tables'!V12</f>
        <v>64041.929412203215</v>
      </c>
      <c r="C113" s="276">
        <f>'Exhibit 3 Tables'!W12</f>
        <v>67519.769797174144</v>
      </c>
      <c r="D113" s="276">
        <f t="shared" si="14"/>
        <v>3477.8403849709284</v>
      </c>
      <c r="E113" s="281">
        <f t="shared" si="15"/>
        <v>5.1508475153546569E-2</v>
      </c>
    </row>
    <row r="114" spans="1:5" x14ac:dyDescent="0.2">
      <c r="A114" s="237" t="s">
        <v>227</v>
      </c>
      <c r="B114" s="276">
        <f>'Exhibit 3 Tables'!V13</f>
        <v>400890.23606465844</v>
      </c>
      <c r="C114" s="276">
        <f>'Exhibit 3 Tables'!W13</f>
        <v>242761.77757760839</v>
      </c>
      <c r="D114" s="276">
        <f t="shared" si="14"/>
        <v>-158128.45848705005</v>
      </c>
      <c r="E114" s="281">
        <f t="shared" si="15"/>
        <v>-0.65137296350739582</v>
      </c>
    </row>
    <row r="115" spans="1:5" x14ac:dyDescent="0.2">
      <c r="A115" s="237" t="s">
        <v>304</v>
      </c>
      <c r="B115" s="276">
        <f>'Exhibit 3 Tables'!V14</f>
        <v>-511575</v>
      </c>
      <c r="C115" s="276">
        <f>'Exhibit 3 Tables'!W14</f>
        <v>-511575</v>
      </c>
      <c r="D115" s="276">
        <f t="shared" si="14"/>
        <v>0</v>
      </c>
      <c r="E115" s="281">
        <f t="shared" si="15"/>
        <v>0</v>
      </c>
    </row>
    <row r="116" spans="1:5" x14ac:dyDescent="0.2">
      <c r="A116" s="234" t="s">
        <v>324</v>
      </c>
      <c r="B116" s="276">
        <f>'Exhibit 3 Tables'!V15</f>
        <v>0</v>
      </c>
      <c r="C116" s="276">
        <f>'Exhibit 3 Tables'!W15</f>
        <v>0</v>
      </c>
      <c r="D116" s="276">
        <f t="shared" si="14"/>
        <v>0</v>
      </c>
      <c r="E116" s="281"/>
    </row>
    <row r="117" spans="1:5" x14ac:dyDescent="0.2">
      <c r="A117" s="269" t="s">
        <v>12</v>
      </c>
      <c r="B117" s="277">
        <f>SUM(B106:B116)</f>
        <v>33458220.317612931</v>
      </c>
      <c r="C117" s="277">
        <f>SUM(C106:C116)</f>
        <v>34572249.771221928</v>
      </c>
      <c r="D117" s="277">
        <f t="shared" si="14"/>
        <v>1114029.4536089972</v>
      </c>
      <c r="E117" s="275">
        <f t="shared" ref="E117" si="16">D117/C117</f>
        <v>3.2223227038476375E-2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5" sqref="F25"/>
    </sheetView>
  </sheetViews>
  <sheetFormatPr defaultRowHeight="12.75" x14ac:dyDescent="0.2"/>
  <cols>
    <col min="1" max="1" width="54.28515625" bestFit="1" customWidth="1"/>
    <col min="2" max="2" width="11" customWidth="1"/>
    <col min="3" max="3" width="12.28515625" customWidth="1"/>
    <col min="4" max="4" width="11.5703125" customWidth="1"/>
    <col min="5" max="5" width="5.85546875" customWidth="1"/>
    <col min="6" max="6" width="10.85546875" customWidth="1"/>
    <col min="7" max="8" width="12.85546875" bestFit="1" customWidth="1"/>
    <col min="9" max="9" width="13.140625" customWidth="1"/>
  </cols>
  <sheetData>
    <row r="1" spans="1:9" x14ac:dyDescent="0.2">
      <c r="A1" t="s">
        <v>335</v>
      </c>
      <c r="B1" t="s">
        <v>336</v>
      </c>
    </row>
    <row r="2" spans="1:9" x14ac:dyDescent="0.2">
      <c r="B2" t="s">
        <v>389</v>
      </c>
    </row>
    <row r="3" spans="1:9" ht="15" x14ac:dyDescent="0.2">
      <c r="A3" s="282"/>
      <c r="B3" s="282"/>
      <c r="C3" s="282"/>
      <c r="D3" s="282"/>
      <c r="E3" s="282"/>
      <c r="F3" s="475" t="s">
        <v>326</v>
      </c>
      <c r="G3" s="476"/>
      <c r="H3" s="476"/>
      <c r="I3" s="477"/>
    </row>
    <row r="4" spans="1:9" ht="15.75" thickBot="1" x14ac:dyDescent="0.25">
      <c r="A4" s="282"/>
      <c r="B4" s="282"/>
      <c r="C4" s="282"/>
      <c r="D4" s="282"/>
      <c r="E4" s="282"/>
      <c r="F4" s="478" t="s">
        <v>254</v>
      </c>
      <c r="G4" s="290" t="s">
        <v>327</v>
      </c>
      <c r="H4" s="291" t="s">
        <v>328</v>
      </c>
      <c r="I4" s="290" t="s">
        <v>329</v>
      </c>
    </row>
    <row r="5" spans="1:9" ht="15" x14ac:dyDescent="0.25">
      <c r="A5" s="283"/>
      <c r="B5" s="284"/>
      <c r="C5" s="284"/>
      <c r="D5" s="284"/>
      <c r="E5" s="282"/>
      <c r="F5" s="479"/>
      <c r="G5" s="292" t="s">
        <v>330</v>
      </c>
      <c r="H5" s="293" t="s">
        <v>330</v>
      </c>
      <c r="I5" s="292" t="s">
        <v>330</v>
      </c>
    </row>
    <row r="6" spans="1:9" ht="60.75" thickBot="1" x14ac:dyDescent="0.3">
      <c r="A6" s="288" t="s">
        <v>331</v>
      </c>
      <c r="B6" s="289" t="s">
        <v>332</v>
      </c>
      <c r="C6" s="289" t="s">
        <v>326</v>
      </c>
      <c r="D6" s="289" t="s">
        <v>333</v>
      </c>
      <c r="E6" s="285"/>
      <c r="F6" s="480"/>
      <c r="G6" s="294">
        <v>6.7999999999999996E-3</v>
      </c>
      <c r="H6" s="295">
        <v>2.8E-3</v>
      </c>
      <c r="I6" s="294">
        <v>1.6E-2</v>
      </c>
    </row>
    <row r="7" spans="1:9" ht="15" x14ac:dyDescent="0.25">
      <c r="A7" s="286" t="s">
        <v>1</v>
      </c>
      <c r="B7" s="424">
        <v>13473027</v>
      </c>
      <c r="C7" s="424">
        <f>I7</f>
        <v>3144679.2916486189</v>
      </c>
      <c r="D7" s="424">
        <f t="shared" ref="D7:D15" si="0">B7+C7</f>
        <v>16617706.291648619</v>
      </c>
      <c r="E7" s="425"/>
      <c r="F7" s="426">
        <v>3065668</v>
      </c>
      <c r="G7" s="427">
        <f t="shared" ref="G7:G15" si="1">F7*(1+$G$6)</f>
        <v>3086514.5423999997</v>
      </c>
      <c r="H7" s="427">
        <f t="shared" ref="H7:H15" si="2">G7*(1+$H$6)</f>
        <v>3095156.7831187192</v>
      </c>
      <c r="I7" s="427">
        <f t="shared" ref="I7:I15" si="3">H7*(1+$I$6)</f>
        <v>3144679.2916486189</v>
      </c>
    </row>
    <row r="8" spans="1:9" ht="15" x14ac:dyDescent="0.25">
      <c r="A8" s="287" t="s">
        <v>138</v>
      </c>
      <c r="B8" s="428">
        <v>2894872</v>
      </c>
      <c r="C8" s="424">
        <f t="shared" ref="C8:C15" si="4">I8</f>
        <v>982828.96031264635</v>
      </c>
      <c r="D8" s="428">
        <f t="shared" si="0"/>
        <v>3877700.9603126463</v>
      </c>
      <c r="E8" s="425"/>
      <c r="F8" s="429">
        <v>958135</v>
      </c>
      <c r="G8" s="430">
        <f t="shared" si="1"/>
        <v>964650.31799999997</v>
      </c>
      <c r="H8" s="430">
        <f t="shared" si="2"/>
        <v>967351.3388903999</v>
      </c>
      <c r="I8" s="430">
        <f t="shared" si="3"/>
        <v>982828.96031264635</v>
      </c>
    </row>
    <row r="9" spans="1:9" ht="15" x14ac:dyDescent="0.25">
      <c r="A9" s="287" t="s">
        <v>139</v>
      </c>
      <c r="B9" s="428">
        <v>6454976</v>
      </c>
      <c r="C9" s="424">
        <f t="shared" si="4"/>
        <v>1440255.99260774</v>
      </c>
      <c r="D9" s="428">
        <f t="shared" si="0"/>
        <v>7895231.9926077398</v>
      </c>
      <c r="E9" s="425"/>
      <c r="F9" s="429">
        <v>1404069</v>
      </c>
      <c r="G9" s="430">
        <f t="shared" si="1"/>
        <v>1413616.6691999999</v>
      </c>
      <c r="H9" s="430">
        <f t="shared" si="2"/>
        <v>1417574.7958737598</v>
      </c>
      <c r="I9" s="430">
        <f t="shared" si="3"/>
        <v>1440255.99260774</v>
      </c>
    </row>
    <row r="10" spans="1:9" ht="15" x14ac:dyDescent="0.25">
      <c r="A10" s="287" t="s">
        <v>140</v>
      </c>
      <c r="B10" s="428">
        <v>1854779</v>
      </c>
      <c r="C10" s="424">
        <f t="shared" si="4"/>
        <v>0</v>
      </c>
      <c r="D10" s="428">
        <f t="shared" si="0"/>
        <v>1854779</v>
      </c>
      <c r="E10" s="425"/>
      <c r="F10" s="429">
        <v>0</v>
      </c>
      <c r="G10" s="430">
        <f t="shared" si="1"/>
        <v>0</v>
      </c>
      <c r="H10" s="430">
        <f t="shared" si="2"/>
        <v>0</v>
      </c>
      <c r="I10" s="430">
        <f t="shared" si="3"/>
        <v>0</v>
      </c>
    </row>
    <row r="11" spans="1:9" ht="15" x14ac:dyDescent="0.25">
      <c r="A11" s="287" t="s">
        <v>113</v>
      </c>
      <c r="B11" s="428">
        <v>1504085</v>
      </c>
      <c r="C11" s="424">
        <f t="shared" si="4"/>
        <v>0</v>
      </c>
      <c r="D11" s="428">
        <f t="shared" si="0"/>
        <v>1504085</v>
      </c>
      <c r="E11" s="425"/>
      <c r="F11" s="429">
        <v>0</v>
      </c>
      <c r="G11" s="430">
        <f t="shared" si="1"/>
        <v>0</v>
      </c>
      <c r="H11" s="430">
        <f t="shared" si="2"/>
        <v>0</v>
      </c>
      <c r="I11" s="430">
        <f t="shared" si="3"/>
        <v>0</v>
      </c>
    </row>
    <row r="12" spans="1:9" ht="15" x14ac:dyDescent="0.25">
      <c r="A12" s="287" t="s">
        <v>66</v>
      </c>
      <c r="B12" s="428">
        <v>777185</v>
      </c>
      <c r="C12" s="424">
        <f t="shared" si="4"/>
        <v>264339.63628783869</v>
      </c>
      <c r="D12" s="428">
        <f t="shared" si="0"/>
        <v>1041524.6362878387</v>
      </c>
      <c r="E12" s="425"/>
      <c r="F12" s="429">
        <v>257698</v>
      </c>
      <c r="G12" s="430">
        <f t="shared" si="1"/>
        <v>259450.34639999998</v>
      </c>
      <c r="H12" s="430">
        <f t="shared" si="2"/>
        <v>260176.80736991996</v>
      </c>
      <c r="I12" s="430">
        <f t="shared" si="3"/>
        <v>264339.63628783869</v>
      </c>
    </row>
    <row r="13" spans="1:9" ht="15" x14ac:dyDescent="0.25">
      <c r="A13" s="287" t="s">
        <v>195</v>
      </c>
      <c r="B13" s="428">
        <v>0</v>
      </c>
      <c r="C13" s="424">
        <f t="shared" si="4"/>
        <v>22961.927365766394</v>
      </c>
      <c r="D13" s="428">
        <f t="shared" si="0"/>
        <v>22961.927365766394</v>
      </c>
      <c r="E13" s="425"/>
      <c r="F13" s="429">
        <v>22385</v>
      </c>
      <c r="G13" s="430">
        <f t="shared" si="1"/>
        <v>22537.217999999997</v>
      </c>
      <c r="H13" s="430">
        <f t="shared" si="2"/>
        <v>22600.322210399994</v>
      </c>
      <c r="I13" s="430">
        <f t="shared" si="3"/>
        <v>22961.927365766394</v>
      </c>
    </row>
    <row r="14" spans="1:9" ht="15" x14ac:dyDescent="0.25">
      <c r="A14" s="287" t="s">
        <v>2</v>
      </c>
      <c r="B14" s="428">
        <v>53096</v>
      </c>
      <c r="C14" s="424">
        <f t="shared" si="4"/>
        <v>11019.878744267518</v>
      </c>
      <c r="D14" s="428">
        <f t="shared" si="0"/>
        <v>64115.878744267517</v>
      </c>
      <c r="E14" s="425"/>
      <c r="F14" s="429">
        <v>10743</v>
      </c>
      <c r="G14" s="430">
        <f t="shared" si="1"/>
        <v>10816.052399999999</v>
      </c>
      <c r="H14" s="430">
        <f t="shared" si="2"/>
        <v>10846.337346719998</v>
      </c>
      <c r="I14" s="430">
        <f t="shared" si="3"/>
        <v>11019.878744267518</v>
      </c>
    </row>
    <row r="15" spans="1:9" ht="15" x14ac:dyDescent="0.25">
      <c r="A15" s="287" t="s">
        <v>227</v>
      </c>
      <c r="B15" s="428">
        <f>132877+61129</f>
        <v>194006</v>
      </c>
      <c r="C15" s="424">
        <f t="shared" si="4"/>
        <v>0</v>
      </c>
      <c r="D15" s="428">
        <f t="shared" si="0"/>
        <v>194006</v>
      </c>
      <c r="E15" s="425"/>
      <c r="F15" s="429">
        <v>0</v>
      </c>
      <c r="G15" s="430">
        <f t="shared" si="1"/>
        <v>0</v>
      </c>
      <c r="H15" s="430">
        <f t="shared" si="2"/>
        <v>0</v>
      </c>
      <c r="I15" s="430">
        <f t="shared" si="3"/>
        <v>0</v>
      </c>
    </row>
    <row r="16" spans="1:9" ht="15" x14ac:dyDescent="0.25">
      <c r="A16" s="287" t="s">
        <v>12</v>
      </c>
      <c r="B16" s="296">
        <f>SUM(B7:B15)</f>
        <v>27206026</v>
      </c>
      <c r="C16" s="296">
        <f>SUM(C7:C15)</f>
        <v>5866085.6869668784</v>
      </c>
      <c r="D16" s="296">
        <f>SUM(D7:D15)</f>
        <v>33072111.686966874</v>
      </c>
      <c r="F16" s="296">
        <f>SUM(F7:F15)</f>
        <v>5718698</v>
      </c>
      <c r="G16" s="296">
        <f>SUM(G7:G15)</f>
        <v>5757585.1464000009</v>
      </c>
      <c r="H16" s="296">
        <f>SUM(H7:H15)</f>
        <v>5773706.3848099178</v>
      </c>
      <c r="I16" s="296">
        <f>SUM(I7:I15)</f>
        <v>5866085.6869668784</v>
      </c>
    </row>
    <row r="17" spans="1:9" s="299" customFormat="1" x14ac:dyDescent="0.2"/>
    <row r="18" spans="1:9" s="299" customFormat="1" ht="15" x14ac:dyDescent="0.25">
      <c r="A18" s="300" t="s">
        <v>334</v>
      </c>
      <c r="G18" s="301"/>
      <c r="H18" s="301"/>
      <c r="I18" s="301"/>
    </row>
    <row r="19" spans="1:9" s="299" customFormat="1" x14ac:dyDescent="0.2"/>
    <row r="20" spans="1:9" x14ac:dyDescent="0.2">
      <c r="G20" s="297"/>
      <c r="H20" s="297"/>
      <c r="I20" s="297"/>
    </row>
    <row r="22" spans="1:9" x14ac:dyDescent="0.2">
      <c r="A22" t="s">
        <v>390</v>
      </c>
      <c r="B22" s="422">
        <v>27206027</v>
      </c>
    </row>
    <row r="23" spans="1:9" x14ac:dyDescent="0.2">
      <c r="A23" t="s">
        <v>386</v>
      </c>
      <c r="B23" s="422">
        <v>1353379</v>
      </c>
      <c r="D23" s="422">
        <f>D16+B23</f>
        <v>34425490.686966874</v>
      </c>
      <c r="F23" s="422">
        <f>D23-34891697</f>
        <v>-466206.31303312629</v>
      </c>
    </row>
    <row r="24" spans="1:9" ht="13.5" thickBot="1" x14ac:dyDescent="0.25">
      <c r="A24" t="s">
        <v>387</v>
      </c>
      <c r="B24" s="423">
        <f>B22+B23</f>
        <v>28559406</v>
      </c>
    </row>
    <row r="25" spans="1:9" ht="13.5" thickTop="1" x14ac:dyDescent="0.2"/>
    <row r="26" spans="1:9" x14ac:dyDescent="0.2">
      <c r="A26" t="s">
        <v>388</v>
      </c>
      <c r="B26" s="422"/>
    </row>
    <row r="27" spans="1:9" x14ac:dyDescent="0.2">
      <c r="A27" t="s">
        <v>1</v>
      </c>
      <c r="B27" s="422">
        <v>14414600</v>
      </c>
    </row>
    <row r="28" spans="1:9" x14ac:dyDescent="0.2">
      <c r="A28" t="s">
        <v>138</v>
      </c>
      <c r="B28" s="422">
        <v>3028292</v>
      </c>
    </row>
    <row r="29" spans="1:9" x14ac:dyDescent="0.2">
      <c r="A29" t="s">
        <v>139</v>
      </c>
      <c r="B29" s="422">
        <v>6599948</v>
      </c>
    </row>
    <row r="30" spans="1:9" x14ac:dyDescent="0.2">
      <c r="A30" t="s">
        <v>140</v>
      </c>
      <c r="B30" s="422">
        <v>1897101</v>
      </c>
    </row>
    <row r="31" spans="1:9" x14ac:dyDescent="0.2">
      <c r="A31" t="s">
        <v>113</v>
      </c>
      <c r="B31" s="422">
        <v>1540113</v>
      </c>
    </row>
    <row r="32" spans="1:9" x14ac:dyDescent="0.2">
      <c r="A32" t="s">
        <v>66</v>
      </c>
      <c r="B32" s="422">
        <v>828247</v>
      </c>
    </row>
    <row r="33" spans="1:2" x14ac:dyDescent="0.2">
      <c r="A33" t="s">
        <v>195</v>
      </c>
      <c r="B33" s="422"/>
    </row>
    <row r="34" spans="1:2" x14ac:dyDescent="0.2">
      <c r="A34" t="s">
        <v>2</v>
      </c>
      <c r="B34" s="422">
        <v>55750</v>
      </c>
    </row>
    <row r="35" spans="1:2" x14ac:dyDescent="0.2">
      <c r="A35" t="s">
        <v>227</v>
      </c>
      <c r="B35" s="422">
        <v>195356</v>
      </c>
    </row>
    <row r="36" spans="1:2" ht="13.5" thickBot="1" x14ac:dyDescent="0.25">
      <c r="A36" t="s">
        <v>12</v>
      </c>
      <c r="B36" s="423">
        <f>SUM(B27:B35)</f>
        <v>28559407</v>
      </c>
    </row>
    <row r="37" spans="1:2" ht="13.5" thickTop="1" x14ac:dyDescent="0.2"/>
  </sheetData>
  <mergeCells count="2">
    <mergeCell ref="F3:I3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9"/>
  <sheetViews>
    <sheetView tabSelected="1" topLeftCell="A73" workbookViewId="0">
      <selection activeCell="J83" sqref="J83"/>
    </sheetView>
  </sheetViews>
  <sheetFormatPr defaultRowHeight="12.75" x14ac:dyDescent="0.2"/>
  <cols>
    <col min="1" max="1" width="42.5703125" customWidth="1"/>
    <col min="2" max="2" width="14" style="30" bestFit="1" customWidth="1"/>
    <col min="3" max="3" width="14" bestFit="1" customWidth="1"/>
    <col min="4" max="6" width="12.7109375" style="30" bestFit="1" customWidth="1"/>
    <col min="7" max="8" width="12.7109375" bestFit="1" customWidth="1"/>
    <col min="9" max="9" width="12.5703125" customWidth="1"/>
    <col min="10" max="11" width="12.7109375" bestFit="1" customWidth="1"/>
    <col min="13" max="13" width="12.7109375" customWidth="1"/>
    <col min="14" max="14" width="12.7109375" bestFit="1" customWidth="1"/>
  </cols>
  <sheetData>
    <row r="1" spans="1:11" ht="15.75" x14ac:dyDescent="0.25">
      <c r="A1" s="42" t="s">
        <v>197</v>
      </c>
    </row>
    <row r="3" spans="1:11" x14ac:dyDescent="0.2">
      <c r="B3" s="114" t="s">
        <v>73</v>
      </c>
      <c r="C3" s="44" t="s">
        <v>72</v>
      </c>
      <c r="D3" s="114" t="s">
        <v>71</v>
      </c>
      <c r="E3" s="44" t="s">
        <v>173</v>
      </c>
      <c r="F3" s="44" t="s">
        <v>174</v>
      </c>
      <c r="G3" s="114" t="s">
        <v>175</v>
      </c>
      <c r="H3" s="114" t="s">
        <v>176</v>
      </c>
      <c r="I3" s="114" t="s">
        <v>266</v>
      </c>
      <c r="J3" s="44" t="s">
        <v>177</v>
      </c>
      <c r="K3" s="44" t="s">
        <v>178</v>
      </c>
    </row>
    <row r="4" spans="1:11" x14ac:dyDescent="0.2">
      <c r="A4" s="17" t="s">
        <v>57</v>
      </c>
      <c r="B4" s="222">
        <f>'Purchased Power Model'!F154</f>
        <v>1761921851.4400001</v>
      </c>
      <c r="C4" s="27">
        <f>'Purchased Power Model'!F155</f>
        <v>1767032100.7299995</v>
      </c>
      <c r="D4" s="27">
        <f>'Purchased Power Model'!F156</f>
        <v>1775157463.7770281</v>
      </c>
      <c r="E4" s="27">
        <f>'Purchased Power Model'!F157</f>
        <v>1780674124</v>
      </c>
      <c r="F4" s="27">
        <f>'Purchased Power Model'!F158</f>
        <v>1782419695</v>
      </c>
      <c r="G4" s="27">
        <f>'Purchased Power Model'!F159</f>
        <v>1777379399.230386</v>
      </c>
      <c r="H4" s="27">
        <f>'Purchased Power Model'!F160</f>
        <v>1722187256.0000002</v>
      </c>
      <c r="I4" s="27">
        <f>'Purchased Power Model'!F161</f>
        <v>1643582346.551877</v>
      </c>
    </row>
    <row r="5" spans="1:11" x14ac:dyDescent="0.2">
      <c r="A5" s="17" t="s">
        <v>58</v>
      </c>
      <c r="B5" s="222">
        <f>'Purchased Power Model'!S154</f>
        <v>1748395386.5384984</v>
      </c>
      <c r="C5" s="27">
        <f>'Purchased Power Model'!S155</f>
        <v>1768963448.1354213</v>
      </c>
      <c r="D5" s="27">
        <f>'Purchased Power Model'!S156</f>
        <v>1787204459.9350173</v>
      </c>
      <c r="E5" s="27">
        <f>'Purchased Power Model'!S157</f>
        <v>1778351375.4538741</v>
      </c>
      <c r="F5" s="27">
        <f>'Purchased Power Model'!S158</f>
        <v>1769039132.9827464</v>
      </c>
      <c r="G5" s="27">
        <f>'Purchased Power Model'!S159</f>
        <v>1793648359.1459024</v>
      </c>
      <c r="H5" s="27">
        <f>'Purchased Power Model'!S160</f>
        <v>1699432505.2365861</v>
      </c>
      <c r="I5" s="27">
        <f>'Purchased Power Model'!S161</f>
        <v>1666337097.3152921</v>
      </c>
      <c r="J5" s="27">
        <f>'Purchased Power Model'!S162</f>
        <v>1678027185.7444842</v>
      </c>
      <c r="K5" s="27">
        <f>'Purchased Power Model'!S163</f>
        <v>1678027185.7444842</v>
      </c>
    </row>
    <row r="6" spans="1:11" x14ac:dyDescent="0.2">
      <c r="A6" s="17" t="s">
        <v>11</v>
      </c>
      <c r="B6" s="223">
        <f t="shared" ref="B6:G6" si="0">(B5-B4)/B4</f>
        <v>-7.6771083180826776E-3</v>
      </c>
      <c r="C6" s="43">
        <f t="shared" si="0"/>
        <v>1.092989428219132E-3</v>
      </c>
      <c r="D6" s="43">
        <f t="shared" si="0"/>
        <v>6.7864380506035202E-3</v>
      </c>
      <c r="E6" s="43">
        <f t="shared" si="0"/>
        <v>-1.3044209015112801E-3</v>
      </c>
      <c r="F6" s="43">
        <f t="shared" si="0"/>
        <v>-7.5069648606265185E-3</v>
      </c>
      <c r="G6" s="43">
        <f t="shared" si="0"/>
        <v>9.1533411057655532E-3</v>
      </c>
      <c r="H6" s="43">
        <f>(H5-H4)/H4</f>
        <v>-1.3212704184250532E-2</v>
      </c>
      <c r="I6" s="43">
        <f>(I5-I4)/I4</f>
        <v>1.3844606454403094E-2</v>
      </c>
    </row>
    <row r="7" spans="1:11" x14ac:dyDescent="0.2">
      <c r="A7" s="17" t="s">
        <v>114</v>
      </c>
      <c r="B7" s="223"/>
      <c r="C7" s="43"/>
      <c r="D7" s="223"/>
      <c r="J7" s="118">
        <f>-'Rate Class Energy Model'!G85*'Rate Class Energy Model'!$F$17</f>
        <v>-30739206.71415868</v>
      </c>
      <c r="K7" s="118">
        <f>-'Rate Class Energy Model'!G86*'Rate Class Energy Model'!$F$17</f>
        <v>-37199151.096635096</v>
      </c>
    </row>
    <row r="8" spans="1:11" x14ac:dyDescent="0.2">
      <c r="A8" s="17" t="s">
        <v>115</v>
      </c>
      <c r="B8" s="223"/>
      <c r="C8" s="43"/>
      <c r="D8" s="223"/>
      <c r="J8" s="119">
        <f>J5+J7</f>
        <v>1647287979.0303254</v>
      </c>
      <c r="K8" s="119">
        <f>K5+K7</f>
        <v>1640828034.6478491</v>
      </c>
    </row>
    <row r="9" spans="1:11" x14ac:dyDescent="0.2">
      <c r="A9" s="17"/>
      <c r="C9" s="161"/>
      <c r="D9" s="21"/>
      <c r="E9" s="21"/>
      <c r="F9" s="21"/>
    </row>
    <row r="10" spans="1:11" x14ac:dyDescent="0.2">
      <c r="A10" s="17" t="s">
        <v>118</v>
      </c>
      <c r="B10" s="119">
        <f>'Rate Class Energy Model'!G6</f>
        <v>1700869074.0808105</v>
      </c>
      <c r="C10" s="6">
        <f>'Rate Class Energy Model'!G7</f>
        <v>1705485900.5254331</v>
      </c>
      <c r="D10" s="25">
        <f>'Rate Class Energy Model'!G8</f>
        <v>1721439858.3643131</v>
      </c>
      <c r="E10" s="25">
        <f>'Rate Class Energy Model'!G9</f>
        <v>1745480850.6928558</v>
      </c>
      <c r="F10" s="25">
        <f>'Rate Class Energy Model'!G10</f>
        <v>1730430155.3751984</v>
      </c>
      <c r="G10" s="25">
        <f>'Rate Class Energy Model'!G11</f>
        <v>1750185362.5649092</v>
      </c>
      <c r="H10" s="25">
        <f>'Rate Class Energy Model'!G12</f>
        <v>1676617026.5528002</v>
      </c>
      <c r="I10" s="25">
        <f>'Rate Class Energy Model'!G13</f>
        <v>1596674909.6966147</v>
      </c>
      <c r="J10" s="25">
        <f>'Rate Class Energy Model'!T70</f>
        <v>1602129952.8702075</v>
      </c>
      <c r="K10" s="25">
        <f>'Rate Class Energy Model'!T71</f>
        <v>1595847098.5540283</v>
      </c>
    </row>
    <row r="11" spans="1:11" x14ac:dyDescent="0.2">
      <c r="A11" s="17" t="s">
        <v>295</v>
      </c>
      <c r="B11" s="6">
        <f>B63</f>
        <v>0</v>
      </c>
      <c r="C11" s="6">
        <f t="shared" ref="C11:K11" si="1">C63</f>
        <v>0</v>
      </c>
      <c r="D11" s="25">
        <f t="shared" si="1"/>
        <v>0</v>
      </c>
      <c r="E11" s="25">
        <f t="shared" si="1"/>
        <v>45983609.929999992</v>
      </c>
      <c r="F11" s="25">
        <f t="shared" si="1"/>
        <v>58781039.110000007</v>
      </c>
      <c r="G11" s="25">
        <f t="shared" si="1"/>
        <v>60363735.780000001</v>
      </c>
      <c r="H11" s="25">
        <f t="shared" si="1"/>
        <v>61404043.760000005</v>
      </c>
      <c r="I11" s="25">
        <f t="shared" si="1"/>
        <v>58104381.490000002</v>
      </c>
      <c r="J11" s="25">
        <f t="shared" si="1"/>
        <v>58104381.490000002</v>
      </c>
      <c r="K11" s="25">
        <f t="shared" si="1"/>
        <v>58104381.490000002</v>
      </c>
    </row>
    <row r="12" spans="1:11" x14ac:dyDescent="0.2">
      <c r="A12" s="17" t="s">
        <v>12</v>
      </c>
      <c r="B12" s="119">
        <f>SUM(B10:B11)</f>
        <v>1700869074.0808105</v>
      </c>
      <c r="C12" s="119">
        <f t="shared" ref="C12:K12" si="2">SUM(C10:C11)</f>
        <v>1705485900.5254331</v>
      </c>
      <c r="D12" s="119">
        <f t="shared" si="2"/>
        <v>1721439858.3643131</v>
      </c>
      <c r="E12" s="119">
        <f t="shared" si="2"/>
        <v>1791464460.6228559</v>
      </c>
      <c r="F12" s="119">
        <f t="shared" si="2"/>
        <v>1789211194.4851983</v>
      </c>
      <c r="G12" s="119">
        <f t="shared" si="2"/>
        <v>1810549098.3449092</v>
      </c>
      <c r="H12" s="119">
        <f>SUM(H10:H11)</f>
        <v>1738021070.3128002</v>
      </c>
      <c r="I12" s="119">
        <f>SUM(I10:I11)</f>
        <v>1654779291.1866148</v>
      </c>
      <c r="J12" s="119">
        <f t="shared" si="2"/>
        <v>1660234334.3602076</v>
      </c>
      <c r="K12" s="119">
        <f t="shared" si="2"/>
        <v>1653951480.0440283</v>
      </c>
    </row>
    <row r="13" spans="1:11" x14ac:dyDescent="0.2">
      <c r="A13" s="17"/>
      <c r="C13" s="161"/>
    </row>
    <row r="14" spans="1:11" ht="15.75" x14ac:dyDescent="0.25">
      <c r="A14" s="42" t="s">
        <v>59</v>
      </c>
      <c r="C14" s="161"/>
      <c r="D14" s="21"/>
      <c r="E14" s="21"/>
      <c r="F14" s="21"/>
      <c r="H14" s="55"/>
    </row>
    <row r="15" spans="1:11" x14ac:dyDescent="0.2">
      <c r="A15" s="41" t="str">
        <f>'Rate Class Energy Model'!H2</f>
        <v xml:space="preserve">Residential </v>
      </c>
      <c r="C15" s="161"/>
      <c r="D15" s="21"/>
      <c r="E15" s="21"/>
      <c r="F15" s="21"/>
      <c r="H15" s="6"/>
      <c r="I15" s="6"/>
      <c r="J15" s="6"/>
      <c r="K15" s="6"/>
    </row>
    <row r="16" spans="1:11" x14ac:dyDescent="0.2">
      <c r="A16" t="s">
        <v>51</v>
      </c>
      <c r="B16" s="25">
        <f>'Rate Class Customer Model'!B13</f>
        <v>53053.824999999997</v>
      </c>
      <c r="C16" s="6">
        <f>'Rate Class Customer Model'!B14</f>
        <v>54019.096548117159</v>
      </c>
      <c r="D16" s="25">
        <f>'Rate Class Customer Model'!B15</f>
        <v>54633.271548117154</v>
      </c>
      <c r="E16" s="25">
        <f>'Rate Class Customer Model'!B16</f>
        <v>55069.766666666663</v>
      </c>
      <c r="F16" s="25">
        <f>'Rate Class Customer Model'!B17</f>
        <v>55463.033333333333</v>
      </c>
      <c r="G16" s="25">
        <f>'Rate Class Customer Model'!B18</f>
        <v>55921.837967914442</v>
      </c>
      <c r="H16" s="25">
        <f>'Rate Class Customer Model'!B19</f>
        <v>56560.571301247772</v>
      </c>
      <c r="I16" s="25">
        <f>'Rate Class Customer Model'!B20</f>
        <v>57271.5</v>
      </c>
      <c r="J16" s="25">
        <f>'Rate Class Customer Model'!B21</f>
        <v>57970.103375516119</v>
      </c>
      <c r="K16" s="25">
        <f>'Rate Class Customer Model'!B22</f>
        <v>58677.228383541995</v>
      </c>
    </row>
    <row r="17" spans="1:11" x14ac:dyDescent="0.2">
      <c r="A17" t="s">
        <v>52</v>
      </c>
      <c r="B17" s="25">
        <f>'Rate Class Energy Model'!H6</f>
        <v>476486462.39498103</v>
      </c>
      <c r="C17" s="53">
        <f>'Rate Class Energy Model'!H7</f>
        <v>478456723.38740706</v>
      </c>
      <c r="D17" s="25">
        <f>'Rate Class Energy Model'!H8</f>
        <v>479247117.86883599</v>
      </c>
      <c r="E17" s="25">
        <f>'Rate Class Energy Model'!H9</f>
        <v>464848342.57999998</v>
      </c>
      <c r="F17" s="25">
        <f>'Rate Class Energy Model'!H10</f>
        <v>477025968.10000002</v>
      </c>
      <c r="G17" s="25">
        <f>'Rate Class Energy Model'!H11</f>
        <v>486541295.97806096</v>
      </c>
      <c r="H17" s="25">
        <f>'Rate Class Energy Model'!H12</f>
        <v>479944151.9611001</v>
      </c>
      <c r="I17" s="25">
        <f>'Rate Class Energy Model'!H13</f>
        <v>453855074.99999994</v>
      </c>
      <c r="J17" s="25">
        <f>'Rate Class Energy Model'!H70</f>
        <v>462090269.53014374</v>
      </c>
      <c r="K17" s="25">
        <f>'Rate Class Energy Model'!H71</f>
        <v>461453715.88431841</v>
      </c>
    </row>
    <row r="18" spans="1:11" x14ac:dyDescent="0.2">
      <c r="C18" s="53"/>
      <c r="F18" s="55"/>
      <c r="G18" s="55"/>
      <c r="I18" s="55"/>
      <c r="J18" s="55"/>
      <c r="K18" s="55"/>
    </row>
    <row r="19" spans="1:11" x14ac:dyDescent="0.2">
      <c r="A19" s="41" t="str">
        <f>'Rate Class Energy Model'!I2</f>
        <v>General Service &lt; 50 kW</v>
      </c>
      <c r="C19" s="224"/>
      <c r="D19" s="21"/>
      <c r="E19" s="21"/>
      <c r="F19" s="21"/>
      <c r="G19" s="6"/>
      <c r="H19" s="6"/>
      <c r="I19" s="6"/>
      <c r="J19" s="6"/>
      <c r="K19" s="6"/>
    </row>
    <row r="20" spans="1:11" ht="13.5" customHeight="1" x14ac:dyDescent="0.2">
      <c r="A20" t="s">
        <v>51</v>
      </c>
      <c r="B20" s="25">
        <f>'Rate Class Customer Model'!C13</f>
        <v>5893.3649999999998</v>
      </c>
      <c r="C20" s="6">
        <f>'Rate Class Customer Model'!C14</f>
        <v>5932.2793346659046</v>
      </c>
      <c r="D20" s="25">
        <f>'Rate Class Customer Model'!C15</f>
        <v>5980.4143346659048</v>
      </c>
      <c r="E20" s="25">
        <f>'Rate Class Customer Model'!C16</f>
        <v>6004.383517763541</v>
      </c>
      <c r="F20" s="25">
        <f>'Rate Class Customer Model'!C17</f>
        <v>6056.767035527082</v>
      </c>
      <c r="G20" s="25">
        <f>'Rate Class Customer Model'!C18</f>
        <v>6149.0998196068595</v>
      </c>
      <c r="H20" s="25">
        <f>'Rate Class Customer Model'!C19</f>
        <v>6240.7163018433184</v>
      </c>
      <c r="I20" s="25">
        <f>'Rate Class Customer Model'!C20</f>
        <v>6297.5</v>
      </c>
      <c r="J20" s="25">
        <f>'Rate Class Customer Model'!C21</f>
        <v>6373.6893471967605</v>
      </c>
      <c r="K20" s="25">
        <f>'Rate Class Customer Model'!C22</f>
        <v>6450.8004596378669</v>
      </c>
    </row>
    <row r="21" spans="1:11" x14ac:dyDescent="0.2">
      <c r="A21" t="s">
        <v>52</v>
      </c>
      <c r="B21" s="25">
        <f>'Rate Class Energy Model'!I6</f>
        <v>199237830.35864899</v>
      </c>
      <c r="C21" s="6">
        <f>'Rate Class Energy Model'!I7</f>
        <v>194492494.32360297</v>
      </c>
      <c r="D21" s="25">
        <f>'Rate Class Energy Model'!I8</f>
        <v>194297828.73600498</v>
      </c>
      <c r="E21" s="25">
        <f>'Rate Class Energy Model'!I9</f>
        <v>193717266.88</v>
      </c>
      <c r="F21" s="25">
        <f>'Rate Class Energy Model'!I10</f>
        <v>198149244.67199999</v>
      </c>
      <c r="G21" s="25">
        <f>'Rate Class Energy Model'!I11</f>
        <v>203100575.02300143</v>
      </c>
      <c r="H21" s="25">
        <f>'Rate Class Energy Model'!I12</f>
        <v>212807518.98150003</v>
      </c>
      <c r="I21" s="25">
        <f>'Rate Class Energy Model'!I13</f>
        <v>189005847.53</v>
      </c>
      <c r="J21" s="25">
        <f>'Rate Class Energy Model'!I70</f>
        <v>190021845.86862719</v>
      </c>
      <c r="K21" s="25">
        <f>'Rate Class Energy Model'!I71</f>
        <v>193967011.30428866</v>
      </c>
    </row>
    <row r="22" spans="1:11" x14ac:dyDescent="0.2">
      <c r="B22" s="25"/>
      <c r="C22" s="161"/>
      <c r="G22" s="55"/>
      <c r="I22" s="55"/>
      <c r="J22" s="55"/>
      <c r="K22" s="55"/>
    </row>
    <row r="23" spans="1:11" x14ac:dyDescent="0.2">
      <c r="A23" s="41" t="str">
        <f>'Rate Class Energy Model'!J2</f>
        <v>General Service &gt; 50 to 999 kW</v>
      </c>
      <c r="B23" s="25"/>
      <c r="C23" s="161"/>
      <c r="D23" s="21"/>
      <c r="E23" s="21"/>
      <c r="F23" s="21"/>
    </row>
    <row r="24" spans="1:11" x14ac:dyDescent="0.2">
      <c r="A24" t="s">
        <v>51</v>
      </c>
      <c r="B24" s="25">
        <f>'Rate Class Customer Model'!D13</f>
        <v>802.59165000000007</v>
      </c>
      <c r="C24" s="6">
        <f>'Rate Class Customer Model'!D14</f>
        <v>822.44998333333342</v>
      </c>
      <c r="D24" s="25">
        <f>'Rate Class Customer Model'!D15</f>
        <v>838.98333333333335</v>
      </c>
      <c r="E24" s="25">
        <f>'Rate Class Customer Model'!D16</f>
        <v>840.00026063386156</v>
      </c>
      <c r="F24" s="25">
        <f>'Rate Class Customer Model'!D17</f>
        <v>825.00052126772312</v>
      </c>
      <c r="G24" s="25">
        <f>'Rate Class Customer Model'!D18</f>
        <v>807.93707304671102</v>
      </c>
      <c r="H24" s="25">
        <f>'Rate Class Customer Model'!D19</f>
        <v>805.93681241284958</v>
      </c>
      <c r="I24" s="25">
        <f>'Rate Class Customer Model'!D20</f>
        <v>796</v>
      </c>
      <c r="J24" s="25">
        <f>'Rate Class Customer Model'!D21</f>
        <v>798.19667260588278</v>
      </c>
      <c r="K24" s="25">
        <f>'Rate Class Customer Model'!D22</f>
        <v>800.39940723505379</v>
      </c>
    </row>
    <row r="25" spans="1:11" x14ac:dyDescent="0.2">
      <c r="A25" t="s">
        <v>52</v>
      </c>
      <c r="B25" s="25">
        <f>'Rate Class Energy Model'!J6</f>
        <v>486523861.41307795</v>
      </c>
      <c r="C25" s="6">
        <f>'Rate Class Energy Model'!J7</f>
        <v>500487577.54214203</v>
      </c>
      <c r="D25" s="25">
        <f>'Rate Class Energy Model'!J8</f>
        <v>501135344.831294</v>
      </c>
      <c r="E25" s="25">
        <f>'Rate Class Energy Model'!J9</f>
        <v>518348767.14387101</v>
      </c>
      <c r="F25" s="25">
        <f>'Rate Class Energy Model'!J10</f>
        <v>494277241.77838707</v>
      </c>
      <c r="G25" s="25">
        <f>'Rate Class Energy Model'!J11</f>
        <v>485904145.62462068</v>
      </c>
      <c r="H25" s="25">
        <f>'Rate Class Energy Model'!J12</f>
        <v>484199963.40020001</v>
      </c>
      <c r="I25" s="25">
        <f>'Rate Class Energy Model'!J13</f>
        <v>487037521.93633008</v>
      </c>
      <c r="J25" s="25">
        <f>'Rate Class Energy Model'!J70</f>
        <v>492875293.95718992</v>
      </c>
      <c r="K25" s="25">
        <f>'Rate Class Energy Model'!J71</f>
        <v>491288356.1165024</v>
      </c>
    </row>
    <row r="26" spans="1:11" x14ac:dyDescent="0.2">
      <c r="A26" t="s">
        <v>53</v>
      </c>
      <c r="B26" s="25">
        <f>'Rate Class Load Model'!B2</f>
        <v>1535991.72820355</v>
      </c>
      <c r="C26" s="6">
        <f>'Rate Class Load Model'!B3</f>
        <v>1559457.9765679198</v>
      </c>
      <c r="D26" s="25">
        <f>'Rate Class Load Model'!B4</f>
        <v>1578630.36979942</v>
      </c>
      <c r="E26" s="25">
        <f>'Rate Class Load Model'!B5</f>
        <v>1568192.8160256497</v>
      </c>
      <c r="F26" s="25">
        <f>'Rate Class Load Model'!B6</f>
        <v>1605303.1854654762</v>
      </c>
      <c r="G26" s="25">
        <f>'Rate Class Load Model'!B7</f>
        <v>1555819.3298522707</v>
      </c>
      <c r="H26" s="25">
        <f>'Rate Class Load Model'!B8</f>
        <v>1564560.6600000001</v>
      </c>
      <c r="I26" s="25">
        <f>'Rate Class Load Model'!B9</f>
        <v>1518753.3299999998</v>
      </c>
      <c r="J26" s="25">
        <f>'Rate Class Load Model'!B10</f>
        <v>1555494.9738878242</v>
      </c>
      <c r="K26" s="25">
        <f>'Rate Class Load Model'!B11</f>
        <v>1550486.6606992225</v>
      </c>
    </row>
    <row r="27" spans="1:11" x14ac:dyDescent="0.2">
      <c r="B27" s="25"/>
      <c r="C27" s="6"/>
      <c r="D27" s="25"/>
      <c r="E27" s="25"/>
      <c r="F27" s="25"/>
      <c r="G27" s="25"/>
      <c r="I27" s="25"/>
      <c r="J27" s="25"/>
      <c r="K27" s="25"/>
    </row>
    <row r="28" spans="1:11" x14ac:dyDescent="0.2">
      <c r="A28" s="41" t="str">
        <f>'Rate Class Energy Model'!K2</f>
        <v>General Service &gt; 1000 to 4999 kW</v>
      </c>
      <c r="B28" s="25"/>
      <c r="C28" s="161"/>
      <c r="E28" s="21"/>
      <c r="F28" s="21"/>
    </row>
    <row r="29" spans="1:11" x14ac:dyDescent="0.2">
      <c r="A29" t="s">
        <v>51</v>
      </c>
      <c r="B29" s="25">
        <f>'Rate Class Customer Model'!E13</f>
        <v>31</v>
      </c>
      <c r="C29" s="6">
        <f>'Rate Class Customer Model'!E14</f>
        <v>33</v>
      </c>
      <c r="D29" s="25">
        <f>'Rate Class Customer Model'!E15</f>
        <v>32</v>
      </c>
      <c r="E29" s="25">
        <f>'Rate Class Customer Model'!E16</f>
        <v>29.5</v>
      </c>
      <c r="F29" s="25">
        <f>'Rate Class Customer Model'!E17</f>
        <v>29</v>
      </c>
      <c r="G29" s="25">
        <f>'Rate Class Customer Model'!E18</f>
        <v>29</v>
      </c>
      <c r="H29" s="25">
        <f>'Rate Class Customer Model'!E19</f>
        <v>28.5</v>
      </c>
      <c r="I29" s="25">
        <f>'Rate Class Customer Model'!E20</f>
        <v>28</v>
      </c>
      <c r="J29" s="25">
        <f>'Rate Class Customer Model'!E21</f>
        <v>27.493472574956247</v>
      </c>
      <c r="K29" s="25">
        <f>'Rate Class Customer Model'!E22</f>
        <v>26.996108365352548</v>
      </c>
    </row>
    <row r="30" spans="1:11" x14ac:dyDescent="0.2">
      <c r="A30" t="s">
        <v>52</v>
      </c>
      <c r="B30" s="25">
        <f>'Rate Class Energy Model'!K6</f>
        <v>250459340.058624</v>
      </c>
      <c r="C30" s="6">
        <f>'Rate Class Energy Model'!K7</f>
        <v>269851932.18712997</v>
      </c>
      <c r="D30" s="25">
        <f>'Rate Class Energy Model'!K8</f>
        <v>256008218.77028799</v>
      </c>
      <c r="E30" s="25">
        <f>'Rate Class Energy Model'!K9</f>
        <v>270280542.79000002</v>
      </c>
      <c r="F30" s="25">
        <f>'Rate Class Energy Model'!K10</f>
        <v>263042175.85000002</v>
      </c>
      <c r="G30" s="25">
        <f>'Rate Class Energy Model'!K11</f>
        <v>263255329.52904668</v>
      </c>
      <c r="H30" s="25">
        <f>'Rate Class Energy Model'!K12</f>
        <v>261804628.41999996</v>
      </c>
      <c r="I30" s="25">
        <f>'Rate Class Energy Model'!K13</f>
        <v>241351905.12511182</v>
      </c>
      <c r="J30" s="25">
        <f>'Rate Class Energy Model'!K70</f>
        <v>235543174.07176879</v>
      </c>
      <c r="K30" s="25">
        <f>'Rate Class Energy Model'!K71</f>
        <v>229378990.2350671</v>
      </c>
    </row>
    <row r="31" spans="1:11" x14ac:dyDescent="0.2">
      <c r="A31" t="s">
        <v>53</v>
      </c>
      <c r="B31" s="25">
        <f>'Rate Class Load Model'!C2</f>
        <v>646503.53520000004</v>
      </c>
      <c r="C31" s="6">
        <f>'Rate Class Load Model'!C3</f>
        <v>659131.46674197295</v>
      </c>
      <c r="D31" s="25">
        <f>'Rate Class Load Model'!C4</f>
        <v>606301.92947526893</v>
      </c>
      <c r="E31" s="25">
        <f>'Rate Class Load Model'!C5</f>
        <v>586434.7699999999</v>
      </c>
      <c r="F31" s="25">
        <f>'Rate Class Load Model'!C6</f>
        <v>581849.28</v>
      </c>
      <c r="G31" s="25">
        <f>'Rate Class Load Model'!C7</f>
        <v>581152.97</v>
      </c>
      <c r="H31" s="25">
        <f>'Rate Class Load Model'!C8</f>
        <v>631904.10997964221</v>
      </c>
      <c r="I31" s="25">
        <f>'Rate Class Load Model'!C9</f>
        <v>574484.46259129199</v>
      </c>
      <c r="J31" s="25">
        <f>'Rate Class Load Model'!C10</f>
        <v>552800.52702529693</v>
      </c>
      <c r="K31" s="25">
        <f>'Rate Class Load Model'!C11</f>
        <v>538333.692709091</v>
      </c>
    </row>
    <row r="32" spans="1:11" x14ac:dyDescent="0.2">
      <c r="C32" s="161"/>
      <c r="F32" s="25"/>
      <c r="G32" s="25"/>
      <c r="I32" s="25"/>
      <c r="J32" s="25"/>
      <c r="K32" s="25"/>
    </row>
    <row r="33" spans="1:11" x14ac:dyDescent="0.2">
      <c r="A33" s="41" t="str">
        <f>'Rate Class Energy Model'!L2</f>
        <v>Large User</v>
      </c>
      <c r="C33" s="161"/>
      <c r="D33" s="21"/>
      <c r="E33" s="21"/>
      <c r="F33" s="21"/>
      <c r="G33" s="25"/>
    </row>
    <row r="34" spans="1:11" x14ac:dyDescent="0.2">
      <c r="A34" t="s">
        <v>51</v>
      </c>
      <c r="B34" s="25">
        <f>'Rate Class Customer Model'!F13</f>
        <v>2</v>
      </c>
      <c r="C34" s="6">
        <f>'Rate Class Customer Model'!F14</f>
        <v>2</v>
      </c>
      <c r="D34" s="25">
        <f>'Rate Class Customer Model'!F15</f>
        <v>2</v>
      </c>
      <c r="E34" s="25">
        <f>'Rate Class Customer Model'!F16</f>
        <v>2.5</v>
      </c>
      <c r="F34" s="25">
        <f>'Rate Class Customer Model'!F17</f>
        <v>2.5</v>
      </c>
      <c r="G34" s="25">
        <f>'Rate Class Customer Model'!F18</f>
        <v>2</v>
      </c>
      <c r="H34" s="25">
        <f>'Rate Class Customer Model'!F19</f>
        <v>2</v>
      </c>
      <c r="I34" s="25">
        <f>'Rate Class Customer Model'!F20</f>
        <v>2</v>
      </c>
      <c r="J34" s="25">
        <f>'Rate Class Customer Model'!F21</f>
        <v>2</v>
      </c>
      <c r="K34" s="25">
        <f>'Rate Class Customer Model'!F22</f>
        <v>2</v>
      </c>
    </row>
    <row r="35" spans="1:11" x14ac:dyDescent="0.2">
      <c r="A35" t="s">
        <v>52</v>
      </c>
      <c r="B35" s="25">
        <f>'Rate Class Energy Model'!L6</f>
        <v>196557280.622706</v>
      </c>
      <c r="C35" s="6">
        <f>'Rate Class Energy Model'!L7</f>
        <v>169195800.19187</v>
      </c>
      <c r="D35" s="25">
        <f>'Rate Class Energy Model'!L8</f>
        <v>201189505.21250001</v>
      </c>
      <c r="E35" s="25">
        <f>'Rate Class Energy Model'!L9</f>
        <v>204906256.95999998</v>
      </c>
      <c r="F35" s="25">
        <f>'Rate Class Energy Model'!L10</f>
        <v>205265394.56999999</v>
      </c>
      <c r="G35" s="25">
        <f>'Rate Class Energy Model'!L11</f>
        <v>207374361.59</v>
      </c>
      <c r="H35" s="25">
        <f>'Rate Class Energy Model'!L12</f>
        <v>151250311.81999996</v>
      </c>
      <c r="I35" s="25">
        <f>'Rate Class Energy Model'!L13</f>
        <v>146226388.16</v>
      </c>
      <c r="J35" s="25">
        <f>'Rate Class Energy Model'!L70</f>
        <v>145628457.4468382</v>
      </c>
      <c r="K35" s="25">
        <f>'Rate Class Energy Model'!L71</f>
        <v>145141006.46077192</v>
      </c>
    </row>
    <row r="36" spans="1:11" x14ac:dyDescent="0.2">
      <c r="A36" t="s">
        <v>53</v>
      </c>
      <c r="B36" s="25">
        <f>'Rate Class Load Model'!D2</f>
        <v>421436.3223</v>
      </c>
      <c r="C36" s="6">
        <f>'Rate Class Load Model'!D3</f>
        <v>431698.8584427</v>
      </c>
      <c r="D36" s="25">
        <f>'Rate Class Load Model'!D4</f>
        <v>483777.43670654303</v>
      </c>
      <c r="E36" s="25">
        <f>'Rate Class Load Model'!D5</f>
        <v>425911.83</v>
      </c>
      <c r="F36" s="25">
        <f>'Rate Class Load Model'!D6</f>
        <v>457866.89653992082</v>
      </c>
      <c r="G36" s="25">
        <f>'Rate Class Load Model'!D7</f>
        <v>430086.51000000007</v>
      </c>
      <c r="H36" s="25">
        <f>'Rate Class Load Model'!D8</f>
        <v>358566.19</v>
      </c>
      <c r="I36" s="25">
        <f>'Rate Class Load Model'!D9</f>
        <v>348189.01999999996</v>
      </c>
      <c r="J36" s="25">
        <f>'Rate Class Load Model'!D10</f>
        <v>331944.32251332153</v>
      </c>
      <c r="K36" s="25">
        <f>'Rate Class Load Model'!D11</f>
        <v>361276.31069675618</v>
      </c>
    </row>
    <row r="37" spans="1:11" x14ac:dyDescent="0.2">
      <c r="B37" s="25"/>
      <c r="C37" s="161"/>
      <c r="F37" s="25"/>
      <c r="G37" s="25"/>
      <c r="I37" s="25"/>
      <c r="J37" s="25"/>
      <c r="K37" s="25"/>
    </row>
    <row r="38" spans="1:11" x14ac:dyDescent="0.2">
      <c r="A38" s="41" t="str">
        <f>'Rate Class Energy Model'!V2</f>
        <v>Direct Market Participant</v>
      </c>
      <c r="B38" s="25"/>
      <c r="C38" s="161"/>
      <c r="D38" s="21"/>
      <c r="E38" s="21"/>
      <c r="F38" s="21"/>
    </row>
    <row r="39" spans="1:11" x14ac:dyDescent="0.2">
      <c r="A39" t="s">
        <v>51</v>
      </c>
      <c r="B39" s="25">
        <f>'Rate Class Customer Model'!Q13</f>
        <v>4</v>
      </c>
      <c r="C39" s="25">
        <f>'Rate Class Customer Model'!Q14</f>
        <v>4</v>
      </c>
      <c r="D39" s="25">
        <f>'Rate Class Customer Model'!Q15</f>
        <v>4</v>
      </c>
      <c r="E39" s="25">
        <f>'Rate Class Customer Model'!Q16</f>
        <v>4</v>
      </c>
      <c r="F39" s="25">
        <f>'Rate Class Customer Model'!Q17</f>
        <v>4</v>
      </c>
      <c r="G39" s="25">
        <f>'Rate Class Customer Model'!Q18</f>
        <v>4</v>
      </c>
      <c r="H39" s="25">
        <f>'Rate Class Customer Model'!Q19</f>
        <v>4</v>
      </c>
      <c r="I39" s="25">
        <f>'Rate Class Customer Model'!Q20</f>
        <v>4</v>
      </c>
      <c r="J39" s="25">
        <f>'Rate Class Customer Model'!Q21</f>
        <v>4</v>
      </c>
      <c r="K39" s="25">
        <f>'Rate Class Customer Model'!Q22</f>
        <v>4</v>
      </c>
    </row>
    <row r="40" spans="1:11" x14ac:dyDescent="0.2">
      <c r="A40" t="s">
        <v>53</v>
      </c>
      <c r="B40" s="25">
        <f>'Rate Class Load Model'!N2</f>
        <v>75928.2</v>
      </c>
      <c r="C40" s="25">
        <f>'Rate Class Load Model'!N3</f>
        <v>81847.960000000006</v>
      </c>
      <c r="D40" s="25">
        <f>'Rate Class Load Model'!N4</f>
        <v>81650.759999999995</v>
      </c>
      <c r="E40" s="25">
        <f>'Rate Class Load Model'!N5</f>
        <v>73573.420000000013</v>
      </c>
      <c r="F40" s="25">
        <f>'Rate Class Load Model'!N6</f>
        <v>69660.58</v>
      </c>
      <c r="G40" s="25">
        <f>'Rate Class Load Model'!N7</f>
        <v>69115.460000000006</v>
      </c>
      <c r="H40" s="25">
        <f>'Rate Class Load Model'!N8</f>
        <v>70836.33</v>
      </c>
      <c r="I40" s="25">
        <f>'Rate Class Load Model'!N9</f>
        <v>67941.700000000012</v>
      </c>
      <c r="J40" s="25">
        <f>'Rate Class Load Model'!N10</f>
        <v>67941.700000000012</v>
      </c>
      <c r="K40" s="25">
        <f>'Rate Class Load Model'!N11</f>
        <v>67941.700000000012</v>
      </c>
    </row>
    <row r="41" spans="1:1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2">
      <c r="A42" s="41" t="str">
        <f>'Rate Class Energy Model'!M2</f>
        <v>Street Lights</v>
      </c>
      <c r="C42" s="161"/>
      <c r="D42" s="21"/>
      <c r="F42" s="21"/>
      <c r="I42" s="25"/>
    </row>
    <row r="43" spans="1:11" x14ac:dyDescent="0.2">
      <c r="A43" t="s">
        <v>54</v>
      </c>
      <c r="B43" s="25">
        <f>'Rate Class Customer Model'!G13</f>
        <v>15198.5</v>
      </c>
      <c r="C43" s="25">
        <f>'Rate Class Customer Model'!G14</f>
        <v>15263.5</v>
      </c>
      <c r="D43" s="25">
        <f>'Rate Class Customer Model'!G15</f>
        <v>15362</v>
      </c>
      <c r="E43" s="25">
        <f>'Rate Class Customer Model'!G16</f>
        <v>15453.073785272187</v>
      </c>
      <c r="F43" s="25">
        <f>'Rate Class Customer Model'!G17</f>
        <v>15512.073785272187</v>
      </c>
      <c r="G43" s="25">
        <f>'Rate Class Customer Model'!G18</f>
        <v>15538.5</v>
      </c>
      <c r="H43" s="25">
        <f>'Rate Class Customer Model'!G19</f>
        <v>15726</v>
      </c>
      <c r="I43" s="25">
        <f>'Rate Class Customer Model'!G20</f>
        <v>16024</v>
      </c>
      <c r="J43" s="25">
        <f>'Rate Class Customer Model'!G21</f>
        <v>16141.350826567697</v>
      </c>
      <c r="K43" s="25">
        <f>'Rate Class Customer Model'!G22</f>
        <v>16259.561065048532</v>
      </c>
    </row>
    <row r="44" spans="1:11" x14ac:dyDescent="0.2">
      <c r="A44" t="s">
        <v>52</v>
      </c>
      <c r="B44" s="25">
        <f>'Rate Class Energy Model'!M6</f>
        <v>11228686.4925451</v>
      </c>
      <c r="C44" s="25">
        <f>'Rate Class Energy Model'!M7</f>
        <v>11229392.51389375</v>
      </c>
      <c r="D44" s="25">
        <f>'Rate Class Energy Model'!M8</f>
        <v>11359958.941223141</v>
      </c>
      <c r="E44" s="25">
        <f>'Rate Class Energy Model'!M9</f>
        <v>11262943.219999999</v>
      </c>
      <c r="F44" s="25">
        <f>'Rate Class Energy Model'!M10</f>
        <v>11406115.66</v>
      </c>
      <c r="G44" s="25">
        <f>'Rate Class Energy Model'!M11</f>
        <v>11394265.718750002</v>
      </c>
      <c r="H44" s="25">
        <f>'Rate Class Energy Model'!M12</f>
        <v>11108606.15000003</v>
      </c>
      <c r="I44" s="25">
        <f>'Rate Class Energy Model'!M13</f>
        <v>8378434.2200000007</v>
      </c>
      <c r="J44" s="25">
        <f>'Rate Class Energy Model'!M70</f>
        <v>5151174.2704671035</v>
      </c>
      <c r="K44" s="25">
        <f>'Rate Class Energy Model'!M71</f>
        <v>3798280.8279070696</v>
      </c>
    </row>
    <row r="45" spans="1:11" x14ac:dyDescent="0.2">
      <c r="A45" t="s">
        <v>53</v>
      </c>
      <c r="B45" s="25">
        <f>'Rate Class Load Model'!E2</f>
        <v>31414.760000000002</v>
      </c>
      <c r="C45" s="25">
        <f>'Rate Class Load Model'!E3</f>
        <v>31402.7772498757</v>
      </c>
      <c r="D45" s="25">
        <f>'Rate Class Load Model'!E4</f>
        <v>31676.619901697199</v>
      </c>
      <c r="E45" s="25">
        <f>'Rate Class Load Model'!E5</f>
        <v>31771.761757714674</v>
      </c>
      <c r="F45" s="25">
        <f>'Rate Class Load Model'!E6</f>
        <v>31886.136091179094</v>
      </c>
      <c r="G45" s="25">
        <f>'Rate Class Load Model'!E7</f>
        <v>31872.978670269313</v>
      </c>
      <c r="H45" s="25">
        <f>'Rate Class Load Model'!E8</f>
        <v>31300.14</v>
      </c>
      <c r="I45" s="25">
        <f>'Rate Class Load Model'!E9</f>
        <v>24144.04</v>
      </c>
      <c r="J45" s="25">
        <f>'Rate Class Load Model'!E10</f>
        <v>14844.081169277064</v>
      </c>
      <c r="K45" s="25">
        <f>'Rate Class Load Model'!E11</f>
        <v>10945.463296866632</v>
      </c>
    </row>
    <row r="46" spans="1:11" x14ac:dyDescent="0.2">
      <c r="F46" s="25"/>
      <c r="G46" s="25"/>
      <c r="I46" s="25"/>
      <c r="J46" s="25"/>
      <c r="K46" s="25"/>
    </row>
    <row r="47" spans="1:11" x14ac:dyDescent="0.2">
      <c r="A47" s="41" t="str">
        <f>'Rate Class Energy Model'!N2</f>
        <v>Sentinel Lights</v>
      </c>
      <c r="C47" s="161"/>
      <c r="E47" s="21"/>
      <c r="I47" s="75"/>
    </row>
    <row r="48" spans="1:11" x14ac:dyDescent="0.2">
      <c r="A48" t="s">
        <v>54</v>
      </c>
      <c r="B48" s="25">
        <f>'Rate Class Customer Model'!H13</f>
        <v>219.19</v>
      </c>
      <c r="C48" s="6">
        <f>'Rate Class Customer Model'!H14</f>
        <v>189.12055555555554</v>
      </c>
      <c r="D48" s="25">
        <f>'Rate Class Customer Model'!H15</f>
        <v>176.89706230751005</v>
      </c>
      <c r="E48" s="25">
        <f>'Rate Class Customer Model'!H16</f>
        <v>190.6022269604359</v>
      </c>
      <c r="F48" s="25">
        <f>'Rate Class Customer Model'!H17</f>
        <v>188.52144041696278</v>
      </c>
      <c r="G48" s="25">
        <f>'Rate Class Customer Model'!H18</f>
        <v>188.78204217010187</v>
      </c>
      <c r="H48" s="25">
        <f>'Rate Class Customer Model'!H19</f>
        <v>181.02132196162046</v>
      </c>
      <c r="I48" s="25">
        <f>'Rate Class Customer Model'!H20</f>
        <v>168</v>
      </c>
      <c r="J48" s="25">
        <f>'Rate Class Customer Model'!H21</f>
        <v>168</v>
      </c>
      <c r="K48" s="25">
        <f>'Rate Class Customer Model'!H22</f>
        <v>168</v>
      </c>
    </row>
    <row r="49" spans="1:11" x14ac:dyDescent="0.2">
      <c r="A49" t="s">
        <v>52</v>
      </c>
      <c r="B49" s="25">
        <f>'Rate Class Energy Model'!N6</f>
        <v>175284.4</v>
      </c>
      <c r="C49" s="6">
        <f>'Rate Class Energy Model'!N7</f>
        <v>164006.01</v>
      </c>
      <c r="D49" s="25">
        <f>'Rate Class Energy Model'!N8</f>
        <v>178406.38999999998</v>
      </c>
      <c r="E49" s="25">
        <f>'Rate Class Energy Model'!N9</f>
        <v>152803.15</v>
      </c>
      <c r="F49" s="25">
        <f>'Rate Class Energy Model'!N10</f>
        <v>146515.24000000002</v>
      </c>
      <c r="G49" s="25">
        <f>'Rate Class Energy Model'!N11</f>
        <v>142708.41887585534</v>
      </c>
      <c r="H49" s="25">
        <f>'Rate Class Energy Model'!N12</f>
        <v>136701.00000000009</v>
      </c>
      <c r="I49" s="25">
        <f>'Rate Class Energy Model'!N13</f>
        <v>126989</v>
      </c>
      <c r="J49" s="25">
        <f>'Rate Class Energy Model'!N70</f>
        <v>126989.00000000001</v>
      </c>
      <c r="K49" s="25">
        <f>'Rate Class Energy Model'!N71</f>
        <v>126989.00000000001</v>
      </c>
    </row>
    <row r="50" spans="1:11" x14ac:dyDescent="0.2">
      <c r="A50" t="s">
        <v>53</v>
      </c>
      <c r="B50" s="25">
        <f>'Rate Class Load Model'!F2</f>
        <v>486.90111111111116</v>
      </c>
      <c r="C50" s="6">
        <f>'Rate Class Load Model'!F3</f>
        <v>228.22855967333334</v>
      </c>
      <c r="D50" s="25">
        <f>'Rate Class Load Model'!F4</f>
        <v>311.12235571111108</v>
      </c>
      <c r="E50" s="25">
        <f>'Rate Class Load Model'!F5</f>
        <v>306.93329242222217</v>
      </c>
      <c r="F50" s="25">
        <f>'Rate Class Load Model'!F6</f>
        <v>292.76845053333329</v>
      </c>
      <c r="G50" s="25">
        <f>'Rate Class Load Model'!F7</f>
        <v>288.48305517777777</v>
      </c>
      <c r="H50" s="25">
        <f>'Rate Class Load Model'!F8</f>
        <v>416.63902725875835</v>
      </c>
      <c r="I50" s="25">
        <f>'Rate Class Load Model'!F9</f>
        <v>342.92000000000007</v>
      </c>
      <c r="J50" s="25">
        <f>'Rate Class Load Model'!F10</f>
        <v>342.92000000000007</v>
      </c>
      <c r="K50" s="25">
        <f>'Rate Class Load Model'!F11</f>
        <v>342.92000000000007</v>
      </c>
    </row>
    <row r="51" spans="1:11" x14ac:dyDescent="0.2">
      <c r="B51"/>
      <c r="D51"/>
      <c r="E51"/>
      <c r="F51"/>
    </row>
    <row r="52" spans="1:11" x14ac:dyDescent="0.2">
      <c r="A52" s="41" t="str">
        <f>'Rate Class Energy Model'!O2</f>
        <v xml:space="preserve">Unmetered Loads </v>
      </c>
      <c r="C52" s="161"/>
      <c r="D52" s="21"/>
      <c r="E52" s="21"/>
      <c r="F52" s="21"/>
    </row>
    <row r="53" spans="1:11" x14ac:dyDescent="0.2">
      <c r="A53" t="s">
        <v>54</v>
      </c>
      <c r="B53" s="25">
        <f>'Rate Class Customer Model'!I13</f>
        <v>588.875</v>
      </c>
      <c r="C53" s="25">
        <f>'Rate Class Customer Model'!I14</f>
        <v>564.95000000000005</v>
      </c>
      <c r="D53" s="25">
        <f>'Rate Class Customer Model'!I15</f>
        <v>538.45000000000005</v>
      </c>
      <c r="E53" s="25">
        <f>'Rate Class Customer Model'!I16</f>
        <v>534</v>
      </c>
      <c r="F53" s="25">
        <f>'Rate Class Customer Model'!I17</f>
        <v>531</v>
      </c>
      <c r="G53" s="25">
        <f>'Rate Class Customer Model'!I18</f>
        <v>534</v>
      </c>
      <c r="H53" s="25">
        <f>'Rate Class Customer Model'!I19</f>
        <v>523</v>
      </c>
      <c r="I53" s="25">
        <f>'Rate Class Customer Model'!I20</f>
        <v>499</v>
      </c>
      <c r="J53" s="25">
        <f>'Rate Class Customer Model'!I21</f>
        <v>499</v>
      </c>
      <c r="K53" s="25">
        <f>'Rate Class Customer Model'!I22</f>
        <v>499</v>
      </c>
    </row>
    <row r="54" spans="1:11" x14ac:dyDescent="0.2">
      <c r="A54" t="s">
        <v>52</v>
      </c>
      <c r="B54" s="25">
        <f>'Rate Class Energy Model'!O6</f>
        <v>2609944.9105078499</v>
      </c>
      <c r="C54" s="25">
        <f>'Rate Class Energy Model'!O7</f>
        <v>2512918.5874618399</v>
      </c>
      <c r="D54" s="25">
        <f>'Rate Class Energy Model'!O8</f>
        <v>2457457.59674505</v>
      </c>
      <c r="E54" s="25">
        <f>'Rate Class Energy Model'!O9</f>
        <v>2430644.8189845476</v>
      </c>
      <c r="F54" s="25">
        <f>'Rate Class Energy Model'!O10</f>
        <v>2451441.9548110636</v>
      </c>
      <c r="G54" s="25">
        <f>'Rate Class Energy Model'!O11</f>
        <v>2413613.7725536497</v>
      </c>
      <c r="H54" s="25">
        <f>'Rate Class Energy Model'!O12</f>
        <v>2346837.5999999996</v>
      </c>
      <c r="I54" s="25">
        <f>'Rate Class Energy Model'!O13</f>
        <v>2273987.9970972422</v>
      </c>
      <c r="J54" s="25">
        <f>'Rate Class Energy Model'!O70</f>
        <v>2273987.9970972422</v>
      </c>
      <c r="K54" s="25">
        <f>'Rate Class Energy Model'!O71</f>
        <v>2273987.9970972422</v>
      </c>
    </row>
    <row r="55" spans="1:11" x14ac:dyDescent="0.2">
      <c r="B55"/>
      <c r="D55"/>
      <c r="E55"/>
      <c r="F55"/>
    </row>
    <row r="56" spans="1:11" x14ac:dyDescent="0.2">
      <c r="A56" s="41" t="s">
        <v>290</v>
      </c>
      <c r="C56" s="161"/>
      <c r="D56" s="21"/>
      <c r="E56" s="21"/>
      <c r="F56" s="21"/>
      <c r="G56" s="25"/>
      <c r="H56" s="25"/>
    </row>
    <row r="57" spans="1:11" x14ac:dyDescent="0.2">
      <c r="A57" s="113" t="s">
        <v>289</v>
      </c>
      <c r="B57" s="25">
        <f>'Rate Class Customer Model'!M13</f>
        <v>2</v>
      </c>
      <c r="C57" s="25">
        <f>'Rate Class Customer Model'!M14</f>
        <v>2</v>
      </c>
      <c r="D57" s="25">
        <f>'Rate Class Customer Model'!M15</f>
        <v>2</v>
      </c>
      <c r="E57" s="25">
        <f>'Rate Class Customer Model'!M16</f>
        <v>2</v>
      </c>
      <c r="F57" s="25">
        <f>'Rate Class Customer Model'!M17</f>
        <v>2</v>
      </c>
      <c r="G57" s="25">
        <f>'Rate Class Customer Model'!M18</f>
        <v>2</v>
      </c>
      <c r="H57" s="25">
        <f>'Rate Class Customer Model'!M19</f>
        <v>2</v>
      </c>
      <c r="I57" s="25">
        <f>'Rate Class Customer Model'!M20</f>
        <v>2</v>
      </c>
      <c r="J57" s="25">
        <f>'Rate Class Customer Model'!M21</f>
        <v>2</v>
      </c>
      <c r="K57" s="25">
        <f>'Rate Class Customer Model'!M22</f>
        <v>2</v>
      </c>
    </row>
    <row r="58" spans="1:11" x14ac:dyDescent="0.2">
      <c r="A58" s="113" t="s">
        <v>52</v>
      </c>
      <c r="B58" s="25">
        <f>'Rate Class Energy Model'!S6</f>
        <v>13614985.1197195</v>
      </c>
      <c r="C58" s="6">
        <f>'Rate Class Energy Model'!S7</f>
        <v>13478593.7449254</v>
      </c>
      <c r="D58" s="25">
        <f>'Rate Class Energy Model'!S8</f>
        <v>13008528.857421899</v>
      </c>
      <c r="E58" s="25">
        <f>'Rate Class Energy Model'!S9</f>
        <v>13176711.219999999</v>
      </c>
      <c r="F58" s="25">
        <f>'Rate Class Energy Model'!S10</f>
        <v>13845907.199999999</v>
      </c>
      <c r="G58" s="25">
        <f>'Rate Class Energy Model'!S11</f>
        <v>13548202.5</v>
      </c>
      <c r="H58" s="25">
        <f>'Rate Class Energy Model'!S12</f>
        <v>13027612.079999994</v>
      </c>
      <c r="I58" s="25">
        <f>'Rate Class Energy Model'!S13</f>
        <v>12605162.219999999</v>
      </c>
      <c r="J58" s="25">
        <f>'Rate Class Energy Model'!S70</f>
        <v>12605162.219999999</v>
      </c>
      <c r="K58" s="25">
        <f>'Rate Class Energy Model'!S71</f>
        <v>12605162.219999999</v>
      </c>
    </row>
    <row r="59" spans="1:11" x14ac:dyDescent="0.2">
      <c r="A59" s="113" t="s">
        <v>53</v>
      </c>
      <c r="B59" s="25">
        <f t="shared" ref="B59:K59" si="3">B105</f>
        <v>27708.199199999988</v>
      </c>
      <c r="C59" s="25">
        <f t="shared" si="3"/>
        <v>28171.380953131098</v>
      </c>
      <c r="D59" s="25">
        <f t="shared" si="3"/>
        <v>29053.063102722197</v>
      </c>
      <c r="E59" s="25">
        <f t="shared" si="3"/>
        <v>27808.589999999997</v>
      </c>
      <c r="F59" s="25">
        <f t="shared" si="3"/>
        <v>28706.47</v>
      </c>
      <c r="G59" s="25">
        <f t="shared" si="3"/>
        <v>28843.22000000003</v>
      </c>
      <c r="H59" s="25">
        <f>H105</f>
        <v>27465.539999999994</v>
      </c>
      <c r="I59" s="25">
        <f t="shared" si="3"/>
        <v>24387.435638304029</v>
      </c>
      <c r="J59" s="25">
        <f t="shared" si="3"/>
        <v>24387.435638304029</v>
      </c>
      <c r="K59" s="25">
        <f t="shared" si="3"/>
        <v>24387.435638304029</v>
      </c>
    </row>
    <row r="60" spans="1:11" x14ac:dyDescent="0.2">
      <c r="A60" s="113"/>
      <c r="B60" s="25"/>
      <c r="C60" s="25"/>
      <c r="D60" s="25"/>
      <c r="E60" s="25"/>
      <c r="F60" s="25"/>
      <c r="G60" s="25"/>
      <c r="I60" s="25"/>
      <c r="J60" s="25"/>
      <c r="K60" s="25"/>
    </row>
    <row r="61" spans="1:11" x14ac:dyDescent="0.2">
      <c r="A61" s="41" t="s">
        <v>291</v>
      </c>
      <c r="C61" s="161"/>
      <c r="D61" s="21"/>
      <c r="E61" s="21"/>
      <c r="F61" s="21"/>
      <c r="G61" s="25"/>
      <c r="H61" s="25"/>
    </row>
    <row r="62" spans="1:11" x14ac:dyDescent="0.2">
      <c r="A62" s="113" t="s">
        <v>289</v>
      </c>
      <c r="B62" s="25">
        <f>'Rate Class Customer Model'!P13</f>
        <v>1</v>
      </c>
      <c r="C62" s="25">
        <f>'Rate Class Customer Model'!P14</f>
        <v>1</v>
      </c>
      <c r="D62" s="25">
        <f>'Rate Class Customer Model'!P15</f>
        <v>1</v>
      </c>
      <c r="E62" s="25">
        <f>'Rate Class Customer Model'!P15</f>
        <v>1</v>
      </c>
      <c r="F62" s="25">
        <f>'Rate Class Customer Model'!P17</f>
        <v>1</v>
      </c>
      <c r="G62" s="25">
        <f>'Rate Class Customer Model'!P18</f>
        <v>1</v>
      </c>
      <c r="H62" s="25">
        <f>'Rate Class Customer Model'!P19</f>
        <v>1</v>
      </c>
      <c r="I62" s="25">
        <f>'Rate Class Customer Model'!P20</f>
        <v>1</v>
      </c>
      <c r="J62" s="25">
        <f>'Rate Class Customer Model'!P21</f>
        <v>1</v>
      </c>
      <c r="K62" s="25">
        <f>'Rate Class Customer Model'!P22</f>
        <v>1</v>
      </c>
    </row>
    <row r="63" spans="1:11" x14ac:dyDescent="0.2">
      <c r="A63" s="113" t="s">
        <v>52</v>
      </c>
      <c r="B63" s="25">
        <f>'Rate Class Energy Model'!U6</f>
        <v>0</v>
      </c>
      <c r="C63" s="25">
        <f>'Rate Class Energy Model'!U7</f>
        <v>0</v>
      </c>
      <c r="D63" s="25">
        <f>'Rate Class Energy Model'!U8</f>
        <v>0</v>
      </c>
      <c r="E63" s="25">
        <f>'Rate Class Energy Model'!U9</f>
        <v>45983609.929999992</v>
      </c>
      <c r="F63" s="25">
        <f>'Rate Class Energy Model'!U10</f>
        <v>58781039.110000007</v>
      </c>
      <c r="G63" s="25">
        <f>'Rate Class Energy Model'!U11</f>
        <v>60363735.780000001</v>
      </c>
      <c r="H63" s="25">
        <f>'Rate Class Energy Model'!U12</f>
        <v>61404043.760000005</v>
      </c>
      <c r="I63" s="25">
        <f>'Rate Class Energy Model'!U13</f>
        <v>58104381.490000002</v>
      </c>
      <c r="J63" s="25">
        <f>'Rate Class Energy Model'!U66</f>
        <v>58104381.490000002</v>
      </c>
      <c r="K63" s="25">
        <f>'Rate Class Energy Model'!U67</f>
        <v>58104381.490000002</v>
      </c>
    </row>
    <row r="64" spans="1:11" x14ac:dyDescent="0.2">
      <c r="A64" s="113" t="s">
        <v>53</v>
      </c>
      <c r="B64" s="25">
        <f t="shared" ref="B64:K64" si="4">B104</f>
        <v>73663.072638679005</v>
      </c>
      <c r="C64" s="25">
        <f t="shared" si="4"/>
        <v>78979.832576877903</v>
      </c>
      <c r="D64" s="25">
        <f t="shared" si="4"/>
        <v>70981.983230590806</v>
      </c>
      <c r="E64" s="25">
        <f t="shared" si="4"/>
        <v>92129.709999999992</v>
      </c>
      <c r="F64" s="25">
        <f t="shared" si="4"/>
        <v>106790</v>
      </c>
      <c r="G64" s="25">
        <f t="shared" si="4"/>
        <v>108928.78999999998</v>
      </c>
      <c r="H64" s="25">
        <f>H104</f>
        <v>121168.08</v>
      </c>
      <c r="I64" s="25">
        <f t="shared" si="4"/>
        <v>114656.88436169598</v>
      </c>
      <c r="J64" s="25">
        <f t="shared" si="4"/>
        <v>114656.88436169598</v>
      </c>
      <c r="K64" s="25">
        <f t="shared" si="4"/>
        <v>114656.88436169598</v>
      </c>
    </row>
    <row r="65" spans="1:11" x14ac:dyDescent="0.2">
      <c r="A65" s="113"/>
      <c r="C65" s="25"/>
      <c r="D65" s="25"/>
      <c r="E65" s="25"/>
      <c r="F65" s="25"/>
      <c r="G65" s="25"/>
      <c r="H65" s="25"/>
      <c r="J65" s="25"/>
      <c r="K65" s="25"/>
    </row>
    <row r="66" spans="1:11" x14ac:dyDescent="0.2">
      <c r="A66" s="41" t="s">
        <v>292</v>
      </c>
      <c r="D66" s="21"/>
      <c r="E66" s="21"/>
      <c r="F66" s="21"/>
      <c r="G66" s="25"/>
    </row>
    <row r="67" spans="1:11" x14ac:dyDescent="0.2">
      <c r="A67" s="113" t="s">
        <v>289</v>
      </c>
      <c r="B67" s="25">
        <f>'Rate Class Customer Model'!J13</f>
        <v>1</v>
      </c>
      <c r="C67" s="25">
        <f>'Rate Class Customer Model'!J14</f>
        <v>1</v>
      </c>
      <c r="D67" s="25">
        <f>'Rate Class Customer Model'!J15</f>
        <v>1</v>
      </c>
      <c r="E67" s="25">
        <f>'Rate Class Customer Model'!J16</f>
        <v>1</v>
      </c>
      <c r="F67" s="25">
        <f>'Rate Class Customer Model'!J17</f>
        <v>1</v>
      </c>
      <c r="G67" s="25">
        <f>'Rate Class Customer Model'!J18</f>
        <v>1</v>
      </c>
      <c r="H67" s="25">
        <f>'Rate Class Customer Model'!J19</f>
        <v>1</v>
      </c>
      <c r="I67" s="25">
        <f>'Rate Class Customer Model'!J20</f>
        <v>1</v>
      </c>
      <c r="J67" s="25">
        <f>'Rate Class Customer Model'!J21</f>
        <v>1</v>
      </c>
      <c r="K67" s="25">
        <f>'Rate Class Customer Model'!J22</f>
        <v>1</v>
      </c>
    </row>
    <row r="68" spans="1:11" x14ac:dyDescent="0.2">
      <c r="A68" s="113" t="s">
        <v>52</v>
      </c>
      <c r="B68" s="25">
        <f>'Rate Class Energy Model'!P6</f>
        <v>373339</v>
      </c>
      <c r="C68" s="25">
        <f>'Rate Class Energy Model'!P7</f>
        <v>373339</v>
      </c>
      <c r="D68" s="25">
        <f>'Rate Class Energy Model'!P8</f>
        <v>374823</v>
      </c>
      <c r="E68" s="25">
        <f>'Rate Class Energy Model'!P9</f>
        <v>356273</v>
      </c>
      <c r="F68" s="25">
        <f>'Rate Class Energy Model'!P10</f>
        <v>338022</v>
      </c>
      <c r="G68" s="25">
        <f>'Rate Class Energy Model'!P11</f>
        <v>352067.78</v>
      </c>
      <c r="H68" s="25">
        <f>'Rate Class Energy Model'!P12</f>
        <v>380114.44</v>
      </c>
      <c r="I68" s="25">
        <f>'Rate Class Energy Model'!P13</f>
        <v>347756.59287776717</v>
      </c>
      <c r="J68" s="25">
        <f>'Rate Class Energy Model'!P70</f>
        <v>347756.59287776717</v>
      </c>
      <c r="K68" s="25">
        <f>'Rate Class Energy Model'!P71</f>
        <v>347756.59287776717</v>
      </c>
    </row>
    <row r="69" spans="1:11" x14ac:dyDescent="0.2">
      <c r="A69" s="113" t="s">
        <v>53</v>
      </c>
      <c r="B69" s="25">
        <f>'Rate Class Load Model'!G2</f>
        <v>10.28</v>
      </c>
      <c r="C69" s="25">
        <f>'Rate Class Load Model'!G3</f>
        <v>44.33</v>
      </c>
      <c r="D69" s="25">
        <f>'Rate Class Load Model'!G4</f>
        <v>87.52000000000001</v>
      </c>
      <c r="E69" s="25">
        <f>'Rate Class Load Model'!G5</f>
        <v>31.049999999999997</v>
      </c>
      <c r="F69" s="25">
        <f>'Rate Class Load Model'!G6</f>
        <v>94.67</v>
      </c>
      <c r="G69" s="25">
        <f>'Rate Class Load Model'!G7</f>
        <v>95.46</v>
      </c>
      <c r="H69" s="25">
        <f>'Rate Class Load Model'!G8</f>
        <v>1313.24</v>
      </c>
      <c r="I69" s="25">
        <f>'Rate Class Load Model'!G9</f>
        <v>1074.96</v>
      </c>
      <c r="J69" s="25">
        <f>'Rate Class Load Model'!G10</f>
        <v>1074.96</v>
      </c>
      <c r="K69" s="25">
        <f>'Rate Class Load Model'!G11</f>
        <v>1074.96</v>
      </c>
    </row>
    <row r="71" spans="1:11" x14ac:dyDescent="0.2">
      <c r="A71" s="41" t="s">
        <v>293</v>
      </c>
      <c r="D71" s="21"/>
      <c r="E71" s="21"/>
      <c r="F71" s="21"/>
      <c r="G71" s="25"/>
      <c r="H71" s="25"/>
    </row>
    <row r="72" spans="1:11" x14ac:dyDescent="0.2">
      <c r="A72" s="113" t="s">
        <v>289</v>
      </c>
      <c r="B72" s="25">
        <f>'Rate Class Customer Model'!K13</f>
        <v>1</v>
      </c>
      <c r="C72" s="25">
        <f>'Rate Class Customer Model'!K14</f>
        <v>1</v>
      </c>
      <c r="D72" s="25">
        <f>'Rate Class Customer Model'!K15</f>
        <v>1</v>
      </c>
      <c r="E72" s="25">
        <f>'Rate Class Customer Model'!K16</f>
        <v>1</v>
      </c>
      <c r="F72" s="25">
        <f>'Rate Class Customer Model'!K17</f>
        <v>1</v>
      </c>
      <c r="G72" s="25">
        <f>'Rate Class Customer Model'!K18</f>
        <v>1</v>
      </c>
      <c r="H72" s="25">
        <f>'Rate Class Customer Model'!K19</f>
        <v>1</v>
      </c>
      <c r="I72" s="25">
        <f>'Rate Class Customer Model'!K20</f>
        <v>1</v>
      </c>
      <c r="J72" s="25">
        <f>'Rate Class Customer Model'!K21</f>
        <v>1</v>
      </c>
      <c r="K72" s="25">
        <f>'Rate Class Customer Model'!K22</f>
        <v>1</v>
      </c>
    </row>
    <row r="73" spans="1:11" x14ac:dyDescent="0.2">
      <c r="A73" s="113" t="s">
        <v>52</v>
      </c>
      <c r="B73" s="25">
        <f>'Rate Class Energy Model'!Q6</f>
        <v>13348829.459999999</v>
      </c>
      <c r="C73" s="25">
        <f>'Rate Class Energy Model'!Q7</f>
        <v>13695349.587000001</v>
      </c>
      <c r="D73" s="25">
        <f>'Rate Class Energy Model'!Q8</f>
        <v>9863706.6199999992</v>
      </c>
      <c r="E73" s="25">
        <f>'Rate Class Energy Model'!Q9</f>
        <v>13883197</v>
      </c>
      <c r="F73" s="25">
        <f>'Rate Class Energy Model'!Q10</f>
        <v>12996387</v>
      </c>
      <c r="G73" s="25">
        <f>'Rate Class Energy Model'!Q11</f>
        <v>13819341.6</v>
      </c>
      <c r="H73" s="25">
        <f>'Rate Class Energy Model'!Q12</f>
        <v>13560291.5</v>
      </c>
      <c r="I73" s="25">
        <f>'Rate Class Energy Model'!Q13</f>
        <v>12191720.381133871</v>
      </c>
      <c r="J73" s="25">
        <f>'Rate Class Energy Model'!Q70</f>
        <v>12191720.381133871</v>
      </c>
      <c r="K73" s="25">
        <f>'Rate Class Energy Model'!Q71</f>
        <v>12191720.381133871</v>
      </c>
    </row>
    <row r="74" spans="1:11" x14ac:dyDescent="0.2">
      <c r="A74" s="113" t="s">
        <v>53</v>
      </c>
      <c r="B74" s="25">
        <f>'Rate Class Load Model'!H2</f>
        <v>29199.89</v>
      </c>
      <c r="C74" s="25">
        <f>'Rate Class Load Model'!H3</f>
        <v>31127.55</v>
      </c>
      <c r="D74" s="25">
        <f>'Rate Class Load Model'!H4</f>
        <v>24429.269999999997</v>
      </c>
      <c r="E74" s="25">
        <f>'Rate Class Load Model'!H5</f>
        <v>31865.139999999996</v>
      </c>
      <c r="F74" s="25">
        <f>'Rate Class Load Model'!H6</f>
        <v>31822.170000000002</v>
      </c>
      <c r="G74" s="25">
        <f>'Rate Class Load Model'!H7</f>
        <v>30826.699999999997</v>
      </c>
      <c r="H74" s="25">
        <f>'Rate Class Load Model'!H8</f>
        <v>29427.999999999996</v>
      </c>
      <c r="I74" s="25">
        <f>'Rate Class Load Model'!H9</f>
        <v>29010.799999999999</v>
      </c>
      <c r="J74" s="25">
        <f>'Rate Class Load Model'!H10</f>
        <v>29994.605248481424</v>
      </c>
      <c r="K74" s="25">
        <f>'Rate Class Load Model'!H11</f>
        <v>29994.605248481424</v>
      </c>
    </row>
    <row r="76" spans="1:11" x14ac:dyDescent="0.2">
      <c r="A76" s="41" t="s">
        <v>294</v>
      </c>
      <c r="C76" s="161"/>
      <c r="D76" s="21"/>
      <c r="E76" s="21"/>
      <c r="F76" s="21"/>
      <c r="G76" s="25"/>
      <c r="H76" s="25"/>
    </row>
    <row r="77" spans="1:11" x14ac:dyDescent="0.2">
      <c r="A77" t="s">
        <v>51</v>
      </c>
      <c r="B77" s="25">
        <f>'Rate Class Customer Model'!L13</f>
        <v>4</v>
      </c>
      <c r="C77" s="25">
        <f>'Rate Class Customer Model'!L14</f>
        <v>4</v>
      </c>
      <c r="D77" s="25">
        <f>'Rate Class Customer Model'!L15</f>
        <v>4</v>
      </c>
      <c r="E77" s="25">
        <f>'Rate Class Customer Model'!L16</f>
        <v>4</v>
      </c>
      <c r="F77" s="25">
        <f>'Rate Class Customer Model'!L17</f>
        <v>4</v>
      </c>
      <c r="G77" s="25">
        <f>'Rate Class Customer Model'!L18</f>
        <v>4</v>
      </c>
      <c r="H77" s="25">
        <f>'Rate Class Customer Model'!L19</f>
        <v>4</v>
      </c>
      <c r="I77" s="25">
        <f>'Rate Class Customer Model'!L20</f>
        <v>4</v>
      </c>
      <c r="J77" s="25">
        <f>'Rate Class Customer Model'!L21</f>
        <v>4</v>
      </c>
      <c r="K77" s="25">
        <f>'Rate Class Customer Model'!L22</f>
        <v>4</v>
      </c>
    </row>
    <row r="78" spans="1:11" x14ac:dyDescent="0.2">
      <c r="A78" t="s">
        <v>52</v>
      </c>
      <c r="B78" s="25">
        <f>'Rate Class Energy Model'!R6</f>
        <v>50253229.850000001</v>
      </c>
      <c r="C78" s="25">
        <f>'Rate Class Energy Model'!R7</f>
        <v>51547773.450000003</v>
      </c>
      <c r="D78" s="25">
        <f>'Rate Class Energy Model'!R8</f>
        <v>52318961.540000007</v>
      </c>
      <c r="E78" s="25">
        <f>'Rate Class Energy Model'!R9</f>
        <v>52117101.93</v>
      </c>
      <c r="F78" s="25">
        <f>'Rate Class Energy Model'!R10</f>
        <v>51485741.349999994</v>
      </c>
      <c r="G78" s="25">
        <f>'Rate Class Energy Model'!R11</f>
        <v>62339455.030000001</v>
      </c>
      <c r="H78" s="25">
        <f>'Rate Class Energy Model'!R12</f>
        <v>46050289.200000003</v>
      </c>
      <c r="I78" s="25">
        <f>'Rate Class Energy Model'!R13</f>
        <v>43274121.534063838</v>
      </c>
      <c r="J78" s="55">
        <f>'Rate Class Energy Model'!R70</f>
        <v>43274121.534063838</v>
      </c>
      <c r="K78" s="55">
        <f>'Rate Class Energy Model'!R71</f>
        <v>43274121.534063838</v>
      </c>
    </row>
    <row r="79" spans="1:11" x14ac:dyDescent="0.2">
      <c r="A79" s="113" t="s">
        <v>298</v>
      </c>
      <c r="B79" s="25">
        <f>'Rate Class Load Model'!I2</f>
        <v>109926.40127449173</v>
      </c>
      <c r="C79" s="25">
        <f>'Rate Class Load Model'!I3</f>
        <v>117160.63801515776</v>
      </c>
      <c r="D79" s="25">
        <f>'Rate Class Load Model'!I4</f>
        <v>129577.45874038131</v>
      </c>
      <c r="E79" s="25">
        <f>'Rate Class Load Model'!I5</f>
        <v>119620.77246283546</v>
      </c>
      <c r="F79" s="25">
        <f>'Rate Class Load Model'!I6</f>
        <v>126064.88355692466</v>
      </c>
      <c r="G79" s="25">
        <f>'Rate Class Load Model'!I7</f>
        <v>139060.14729191593</v>
      </c>
      <c r="H79" s="25">
        <f>'Rate Class Load Model'!I8</f>
        <v>99936.488133577368</v>
      </c>
      <c r="I79" s="25">
        <f>'Rate Class Load Model'!I9</f>
        <v>102972.90667387019</v>
      </c>
      <c r="J79" s="25">
        <f>'Rate Class Load Model'!I10</f>
        <v>102972.90667387019</v>
      </c>
      <c r="K79" s="25">
        <f>'Rate Class Load Model'!I11</f>
        <v>102972.90667387019</v>
      </c>
    </row>
    <row r="81" spans="1:14" x14ac:dyDescent="0.2">
      <c r="A81" s="41" t="s">
        <v>12</v>
      </c>
      <c r="C81" s="21"/>
      <c r="E81" s="21"/>
      <c r="H81" s="115"/>
    </row>
    <row r="82" spans="1:14" x14ac:dyDescent="0.2">
      <c r="A82" t="s">
        <v>56</v>
      </c>
      <c r="B82" s="25">
        <f t="shared" ref="B82:H82" si="5">B77+B72+B67+B62+B57+B53+B48+B43+B39+B34+B29+B24+B20+B16</f>
        <v>75802.346649999992</v>
      </c>
      <c r="C82" s="25">
        <f t="shared" si="5"/>
        <v>76839.396421671961</v>
      </c>
      <c r="D82" s="25">
        <f t="shared" si="5"/>
        <v>77577.016278423893</v>
      </c>
      <c r="E82" s="25">
        <f t="shared" si="5"/>
        <v>78136.826457296687</v>
      </c>
      <c r="F82" s="25">
        <f t="shared" si="5"/>
        <v>78620.89611581729</v>
      </c>
      <c r="G82" s="25">
        <f t="shared" si="5"/>
        <v>79184.156902738119</v>
      </c>
      <c r="H82" s="25">
        <f t="shared" si="5"/>
        <v>80080.745737465564</v>
      </c>
      <c r="I82" s="25">
        <f t="shared" ref="I82:K82" si="6">I77+I72+I67+I62+I57+I53+I48+I43+I39+I34+I29+I24+I20+I16</f>
        <v>81099</v>
      </c>
      <c r="J82" s="25">
        <f t="shared" si="6"/>
        <v>81992.833694461413</v>
      </c>
      <c r="K82" s="25">
        <f t="shared" si="6"/>
        <v>82896.985423828795</v>
      </c>
    </row>
    <row r="83" spans="1:14" x14ac:dyDescent="0.2">
      <c r="A83" t="s">
        <v>52</v>
      </c>
      <c r="B83" s="25">
        <f>B78+B73+B68+B63+B58+B54+B49+B44+B35+B30+B25+B21+B17</f>
        <v>1700869074.0808105</v>
      </c>
      <c r="C83" s="25">
        <f t="shared" ref="C83:H83" si="7">C78+C73+C68+C63+C58+C54+C49+C44+C35+C30+C25+C21+C17</f>
        <v>1705485900.5254331</v>
      </c>
      <c r="D83" s="25">
        <f t="shared" si="7"/>
        <v>1721439858.3643131</v>
      </c>
      <c r="E83" s="25">
        <f t="shared" si="7"/>
        <v>1791464460.6228557</v>
      </c>
      <c r="F83" s="25">
        <f t="shared" si="7"/>
        <v>1789211194.485198</v>
      </c>
      <c r="G83" s="25">
        <f t="shared" si="7"/>
        <v>1810549098.3449092</v>
      </c>
      <c r="H83" s="25">
        <f t="shared" si="7"/>
        <v>1738021070.3127999</v>
      </c>
      <c r="I83" s="25">
        <f t="shared" ref="I83:K83" si="8">I78+I73+I68+I63+I58+I54+I49+I44+I35+I30+I25+I21+I17</f>
        <v>1654779291.1866148</v>
      </c>
      <c r="J83" s="25">
        <f t="shared" si="8"/>
        <v>1660234334.3602076</v>
      </c>
      <c r="K83" s="25">
        <f t="shared" si="8"/>
        <v>1653951480.0440283</v>
      </c>
    </row>
    <row r="84" spans="1:14" x14ac:dyDescent="0.2">
      <c r="A84" t="s">
        <v>55</v>
      </c>
      <c r="B84" s="25">
        <f t="shared" ref="B84:G84" si="9">B26+B31+B36+B40+B45+B50+B59+B64+B69+B74+B79</f>
        <v>2952269.2899278314</v>
      </c>
      <c r="C84" s="25">
        <f t="shared" si="9"/>
        <v>3019250.9991073082</v>
      </c>
      <c r="D84" s="25">
        <f t="shared" si="9"/>
        <v>3036477.5333123347</v>
      </c>
      <c r="E84" s="25">
        <f t="shared" si="9"/>
        <v>2957646.7935386221</v>
      </c>
      <c r="F84" s="25">
        <f t="shared" si="9"/>
        <v>3040337.0401040348</v>
      </c>
      <c r="G84" s="25">
        <f t="shared" si="9"/>
        <v>2976090.048869634</v>
      </c>
      <c r="H84" s="25">
        <f>H26+H31+H36+H40+H45+H50+H59+H64+H69+H74+H79</f>
        <v>2936895.4171404787</v>
      </c>
      <c r="I84" s="25">
        <f t="shared" ref="I84:K84" si="10">I26+I31+I36+I40+I45+I50+I59+I64+I69+I74+I79</f>
        <v>2805958.4592651618</v>
      </c>
      <c r="J84" s="25">
        <f t="shared" si="10"/>
        <v>2796455.3165180711</v>
      </c>
      <c r="K84" s="25">
        <f t="shared" si="10"/>
        <v>2802413.5393242873</v>
      </c>
    </row>
    <row r="85" spans="1:14" x14ac:dyDescent="0.2">
      <c r="C85" s="115"/>
      <c r="D85" s="21"/>
      <c r="E85" s="21"/>
      <c r="F85" s="21"/>
    </row>
    <row r="86" spans="1:14" x14ac:dyDescent="0.2">
      <c r="A86" t="s">
        <v>56</v>
      </c>
      <c r="B86" s="25">
        <f>'Rate Class Customer Model'!N13+'Rate Class Customer Model'!P13+'Rate Class Customer Model'!Q13</f>
        <v>75802.346649999992</v>
      </c>
      <c r="C86" s="25">
        <f>'Rate Class Customer Model'!N14+'Rate Class Customer Model'!P14+'Rate Class Customer Model'!Q14</f>
        <v>76839.396421671932</v>
      </c>
      <c r="D86" s="25">
        <f>'Rate Class Customer Model'!N15+'Rate Class Customer Model'!P15+'Rate Class Customer Model'!Q15</f>
        <v>77577.016278423907</v>
      </c>
      <c r="E86" s="25">
        <f>'Rate Class Customer Model'!N16+'Rate Class Customer Model'!P16+'Rate Class Customer Model'!Q16</f>
        <v>78136.826457296687</v>
      </c>
      <c r="F86" s="25">
        <f>'Rate Class Customer Model'!N17+'Rate Class Customer Model'!P17+'Rate Class Customer Model'!Q17</f>
        <v>78620.89611581729</v>
      </c>
      <c r="G86" s="25">
        <f>'Rate Class Customer Model'!N18+'Rate Class Customer Model'!P18+'Rate Class Customer Model'!Q18</f>
        <v>79184.156902738119</v>
      </c>
      <c r="H86" s="25">
        <f>'Rate Class Customer Model'!N19+'Rate Class Customer Model'!P19+'Rate Class Customer Model'!Q19</f>
        <v>80080.745737465564</v>
      </c>
      <c r="I86" s="25">
        <f>'Rate Class Customer Model'!N20+'Rate Class Customer Model'!P20+'Rate Class Customer Model'!Q20</f>
        <v>81099</v>
      </c>
      <c r="J86" s="25">
        <f>'Rate Class Customer Model'!N21+'Rate Class Customer Model'!P21+'Rate Class Customer Model'!Q21</f>
        <v>81992.833694461413</v>
      </c>
      <c r="K86" s="25">
        <f>'Rate Class Customer Model'!N22+'Rate Class Customer Model'!P22+'Rate Class Customer Model'!Q22</f>
        <v>82896.985423828795</v>
      </c>
    </row>
    <row r="87" spans="1:14" x14ac:dyDescent="0.2">
      <c r="A87" t="s">
        <v>52</v>
      </c>
      <c r="B87" s="25">
        <f>'Rate Class Energy Model'!G6+'Rate Class Energy Model'!U6</f>
        <v>1700869074.0808105</v>
      </c>
      <c r="C87" s="25">
        <f>'Rate Class Energy Model'!G7+'Rate Class Energy Model'!U7</f>
        <v>1705485900.5254331</v>
      </c>
      <c r="D87" s="25">
        <f>'Rate Class Energy Model'!G8+'Rate Class Energy Model'!U8</f>
        <v>1721439858.3643131</v>
      </c>
      <c r="E87" s="25">
        <f>'Rate Class Energy Model'!G9+'Rate Class Energy Model'!U9</f>
        <v>1791464460.6228559</v>
      </c>
      <c r="F87" s="25">
        <f>'Rate Class Energy Model'!G10+'Rate Class Energy Model'!U10</f>
        <v>1789211194.4851983</v>
      </c>
      <c r="G87" s="25">
        <f>'Rate Class Energy Model'!G11+'Rate Class Energy Model'!U11</f>
        <v>1810549098.3449092</v>
      </c>
      <c r="H87" s="25">
        <f>'Rate Class Energy Model'!G12+'Rate Class Energy Model'!U12</f>
        <v>1738021070.3128002</v>
      </c>
      <c r="I87" s="25">
        <f>'Rate Class Energy Model'!G13+'Rate Class Energy Model'!U13</f>
        <v>1654779291.1866148</v>
      </c>
      <c r="J87" s="25">
        <f>'Rate Class Energy Model'!T70+'Rate Class Energy Model'!U66</f>
        <v>1660234334.3602076</v>
      </c>
      <c r="K87" s="25">
        <f>'Rate Class Energy Model'!T71+'Rate Class Energy Model'!U67</f>
        <v>1653951480.0440283</v>
      </c>
      <c r="M87" s="25"/>
      <c r="N87" s="55"/>
    </row>
    <row r="88" spans="1:14" x14ac:dyDescent="0.2">
      <c r="A88" t="s">
        <v>55</v>
      </c>
      <c r="B88" s="25">
        <f>'Rate Class Load Model'!K2+'Rate Class Load Model'!N2</f>
        <v>2952269.2899278314</v>
      </c>
      <c r="C88" s="25">
        <f>'Rate Class Load Model'!K3+'Rate Class Load Model'!N3</f>
        <v>3019250.9991073082</v>
      </c>
      <c r="D88" s="25">
        <f>'Rate Class Load Model'!K4+'Rate Class Load Model'!N4</f>
        <v>3036477.5333123347</v>
      </c>
      <c r="E88" s="25">
        <f>'Rate Class Load Model'!K5+'Rate Class Load Model'!N5</f>
        <v>2957646.7935386221</v>
      </c>
      <c r="F88" s="25">
        <f>'Rate Class Load Model'!K6+'Rate Class Load Model'!N6</f>
        <v>3040337.0401040348</v>
      </c>
      <c r="G88" s="25">
        <f>'Rate Class Load Model'!K7+'Rate Class Load Model'!N7</f>
        <v>2976090.048869634</v>
      </c>
      <c r="H88" s="25">
        <f>'Rate Class Load Model'!K8+'Rate Class Load Model'!N8</f>
        <v>2936895.4171404787</v>
      </c>
      <c r="I88" s="25">
        <f>'Rate Class Load Model'!K9+'Rate Class Load Model'!N9</f>
        <v>2805958.4592651618</v>
      </c>
      <c r="J88" s="25">
        <f>'Rate Class Load Model'!K10+'Rate Class Load Model'!N10</f>
        <v>2796455.3165180711</v>
      </c>
      <c r="K88" s="25">
        <f>'Rate Class Load Model'!K11+'Rate Class Load Model'!N11</f>
        <v>2802413.5393242873</v>
      </c>
    </row>
    <row r="89" spans="1:14" x14ac:dyDescent="0.2">
      <c r="E89" s="55"/>
      <c r="F89" s="55"/>
      <c r="G89" s="55"/>
      <c r="H89" s="55"/>
      <c r="I89" s="55"/>
    </row>
    <row r="90" spans="1:14" hidden="1" x14ac:dyDescent="0.2">
      <c r="A90" t="s">
        <v>56</v>
      </c>
      <c r="C90" s="30"/>
      <c r="I90" s="25" t="e">
        <f>#REF!</f>
        <v>#REF!</v>
      </c>
      <c r="J90" s="25" t="e">
        <f>#REF!</f>
        <v>#REF!</v>
      </c>
      <c r="K90" s="25" t="e">
        <f>#REF!</f>
        <v>#REF!</v>
      </c>
    </row>
    <row r="91" spans="1:14" hidden="1" x14ac:dyDescent="0.2">
      <c r="A91" t="s">
        <v>52</v>
      </c>
      <c r="C91" s="30"/>
      <c r="I91" s="25" t="e">
        <f>#REF!</f>
        <v>#REF!</v>
      </c>
      <c r="J91" s="25" t="e">
        <f>#REF!</f>
        <v>#REF!</v>
      </c>
      <c r="K91" s="25" t="e">
        <f>#REF!</f>
        <v>#REF!</v>
      </c>
    </row>
    <row r="92" spans="1:14" hidden="1" x14ac:dyDescent="0.2">
      <c r="A92" t="s">
        <v>55</v>
      </c>
      <c r="C92" s="30"/>
      <c r="I92" s="25" t="e">
        <f>#REF!</f>
        <v>#REF!</v>
      </c>
      <c r="J92" s="25" t="e">
        <f>#REF!</f>
        <v>#REF!</v>
      </c>
      <c r="K92" s="25" t="e">
        <f>#REF!</f>
        <v>#REF!</v>
      </c>
    </row>
    <row r="93" spans="1:14" hidden="1" x14ac:dyDescent="0.2">
      <c r="C93" s="30"/>
    </row>
    <row r="94" spans="1:14" hidden="1" x14ac:dyDescent="0.2">
      <c r="A94" t="s">
        <v>56</v>
      </c>
      <c r="C94" s="30"/>
      <c r="I94" s="25" t="e">
        <f>#REF!-I90</f>
        <v>#REF!</v>
      </c>
      <c r="J94" s="25" t="e">
        <f>#REF!-J90</f>
        <v>#REF!</v>
      </c>
      <c r="K94" s="25" t="e">
        <f>#REF!-K90</f>
        <v>#REF!</v>
      </c>
    </row>
    <row r="95" spans="1:14" hidden="1" x14ac:dyDescent="0.2">
      <c r="A95" t="s">
        <v>52</v>
      </c>
      <c r="C95" s="30"/>
      <c r="I95" s="25" t="e">
        <f>#REF!-I91</f>
        <v>#REF!</v>
      </c>
      <c r="J95" s="25" t="e">
        <f>#REF!-J91</f>
        <v>#REF!</v>
      </c>
      <c r="K95" s="25" t="e">
        <f>#REF!-K91</f>
        <v>#REF!</v>
      </c>
    </row>
    <row r="96" spans="1:14" hidden="1" x14ac:dyDescent="0.2">
      <c r="A96" t="s">
        <v>55</v>
      </c>
      <c r="C96" s="30"/>
      <c r="I96" s="25" t="e">
        <f>#REF!-I92</f>
        <v>#REF!</v>
      </c>
      <c r="J96" s="25" t="e">
        <f>#REF!-J92</f>
        <v>#REF!</v>
      </c>
      <c r="K96" s="25" t="e">
        <f>#REF!-K92</f>
        <v>#REF!</v>
      </c>
    </row>
    <row r="97" spans="1:13" hidden="1" x14ac:dyDescent="0.2">
      <c r="C97" s="30"/>
    </row>
    <row r="98" spans="1:13" x14ac:dyDescent="0.2">
      <c r="A98" s="113" t="s">
        <v>19</v>
      </c>
    </row>
    <row r="99" spans="1:13" x14ac:dyDescent="0.2">
      <c r="A99" t="s">
        <v>56</v>
      </c>
      <c r="B99" s="25">
        <f>B82-B86</f>
        <v>0</v>
      </c>
      <c r="C99" s="25">
        <f t="shared" ref="C99:H99" si="11">C82-C86</f>
        <v>0</v>
      </c>
      <c r="D99" s="25">
        <f t="shared" si="11"/>
        <v>0</v>
      </c>
      <c r="E99" s="25">
        <f t="shared" si="11"/>
        <v>0</v>
      </c>
      <c r="F99" s="25">
        <f t="shared" si="11"/>
        <v>0</v>
      </c>
      <c r="G99" s="25">
        <f t="shared" si="11"/>
        <v>0</v>
      </c>
      <c r="H99" s="25">
        <f t="shared" si="11"/>
        <v>0</v>
      </c>
      <c r="I99" s="25">
        <f t="shared" ref="I99:K99" si="12">I82-I86</f>
        <v>0</v>
      </c>
      <c r="J99" s="25">
        <f t="shared" si="12"/>
        <v>0</v>
      </c>
      <c r="K99" s="25">
        <f t="shared" si="12"/>
        <v>0</v>
      </c>
    </row>
    <row r="100" spans="1:13" x14ac:dyDescent="0.2">
      <c r="A100" t="s">
        <v>52</v>
      </c>
      <c r="B100" s="25">
        <f>B83-B87</f>
        <v>0</v>
      </c>
      <c r="C100" s="25">
        <f t="shared" ref="C100:H100" si="13">C83-C87</f>
        <v>0</v>
      </c>
      <c r="D100" s="25">
        <f t="shared" si="13"/>
        <v>0</v>
      </c>
      <c r="E100" s="25">
        <f t="shared" si="13"/>
        <v>0</v>
      </c>
      <c r="F100" s="25">
        <f t="shared" si="13"/>
        <v>0</v>
      </c>
      <c r="G100" s="25">
        <f t="shared" si="13"/>
        <v>0</v>
      </c>
      <c r="H100" s="25">
        <f t="shared" si="13"/>
        <v>0</v>
      </c>
      <c r="I100" s="25">
        <f t="shared" ref="I100:K100" si="14">I83-I87</f>
        <v>0</v>
      </c>
      <c r="J100" s="25">
        <f t="shared" si="14"/>
        <v>0</v>
      </c>
      <c r="K100" s="25">
        <f t="shared" si="14"/>
        <v>0</v>
      </c>
    </row>
    <row r="101" spans="1:13" x14ac:dyDescent="0.2">
      <c r="A101" t="s">
        <v>55</v>
      </c>
      <c r="B101" s="25">
        <f>B84-B88</f>
        <v>0</v>
      </c>
      <c r="C101" s="25">
        <f t="shared" ref="C101:G101" si="15">C84-C88</f>
        <v>0</v>
      </c>
      <c r="D101" s="25">
        <f t="shared" si="15"/>
        <v>0</v>
      </c>
      <c r="E101" s="25">
        <f t="shared" si="15"/>
        <v>0</v>
      </c>
      <c r="F101" s="25">
        <f t="shared" si="15"/>
        <v>0</v>
      </c>
      <c r="G101" s="25">
        <f t="shared" si="15"/>
        <v>0</v>
      </c>
      <c r="H101" s="25">
        <f>H84-H88</f>
        <v>0</v>
      </c>
      <c r="I101" s="25">
        <f t="shared" ref="I101:K101" si="16">I84-I88</f>
        <v>0</v>
      </c>
      <c r="J101" s="25">
        <f t="shared" si="16"/>
        <v>0</v>
      </c>
      <c r="K101" s="25">
        <f t="shared" si="16"/>
        <v>0</v>
      </c>
    </row>
    <row r="103" spans="1:13" x14ac:dyDescent="0.2">
      <c r="A103" t="s">
        <v>67</v>
      </c>
      <c r="C103" s="30"/>
    </row>
    <row r="104" spans="1:13" x14ac:dyDescent="0.2">
      <c r="A104" t="s">
        <v>68</v>
      </c>
      <c r="B104" s="225">
        <v>73663.072638679005</v>
      </c>
      <c r="C104" s="226">
        <v>78979.832576877903</v>
      </c>
      <c r="D104" s="226">
        <v>70981.983230590806</v>
      </c>
      <c r="E104" s="225">
        <v>92129.709999999992</v>
      </c>
      <c r="F104" s="225">
        <v>106790</v>
      </c>
      <c r="G104" s="225">
        <v>108928.78999999998</v>
      </c>
      <c r="H104" s="225">
        <v>121168.08</v>
      </c>
      <c r="I104" s="225">
        <f>H104*'Rate Class Energy Model'!U13/'Rate Class Energy Model'!U12</f>
        <v>114656.88436169598</v>
      </c>
      <c r="J104" s="225">
        <f t="shared" ref="J104:K104" si="17">I104</f>
        <v>114656.88436169598</v>
      </c>
      <c r="K104" s="225">
        <f t="shared" si="17"/>
        <v>114656.88436169598</v>
      </c>
    </row>
    <row r="105" spans="1:13" x14ac:dyDescent="0.2">
      <c r="A105" t="s">
        <v>69</v>
      </c>
      <c r="B105" s="225">
        <f t="shared" ref="B105:K105" si="18">B106-B104</f>
        <v>27708.199199999988</v>
      </c>
      <c r="C105" s="225">
        <f t="shared" si="18"/>
        <v>28171.380953131098</v>
      </c>
      <c r="D105" s="225">
        <f t="shared" si="18"/>
        <v>29053.063102722197</v>
      </c>
      <c r="E105" s="225">
        <f t="shared" si="18"/>
        <v>27808.589999999997</v>
      </c>
      <c r="F105" s="225">
        <f t="shared" si="18"/>
        <v>28706.47</v>
      </c>
      <c r="G105" s="225">
        <f t="shared" si="18"/>
        <v>28843.22000000003</v>
      </c>
      <c r="H105" s="225">
        <f t="shared" si="18"/>
        <v>27465.539999999994</v>
      </c>
      <c r="I105" s="225">
        <f t="shared" si="18"/>
        <v>24387.435638304029</v>
      </c>
      <c r="J105" s="225">
        <f t="shared" si="18"/>
        <v>24387.435638304029</v>
      </c>
      <c r="K105" s="225">
        <f t="shared" si="18"/>
        <v>24387.435638304029</v>
      </c>
    </row>
    <row r="106" spans="1:13" x14ac:dyDescent="0.2">
      <c r="A106" s="113" t="s">
        <v>20</v>
      </c>
      <c r="B106" s="77">
        <f>'Rate Class Load Model'!J2</f>
        <v>101371.27183867899</v>
      </c>
      <c r="C106" s="77">
        <f>'Rate Class Load Model'!J3</f>
        <v>107151.213530009</v>
      </c>
      <c r="D106" s="77">
        <f>'Rate Class Load Model'!J4</f>
        <v>100035.046333313</v>
      </c>
      <c r="E106" s="77">
        <f>'Rate Class Load Model'!J5</f>
        <v>119938.29999999999</v>
      </c>
      <c r="F106" s="77">
        <f>'Rate Class Load Model'!J6</f>
        <v>135496.47</v>
      </c>
      <c r="G106" s="77">
        <f>'Rate Class Load Model'!J7</f>
        <v>137772.01</v>
      </c>
      <c r="H106" s="77">
        <f>'Rate Class Load Model'!J8</f>
        <v>148633.62</v>
      </c>
      <c r="I106" s="77">
        <f>'Rate Class Load Model'!J9</f>
        <v>139044.32</v>
      </c>
      <c r="J106" s="77">
        <f>'Rate Class Load Model'!J10</f>
        <v>139044.32</v>
      </c>
      <c r="K106" s="77">
        <f>'Rate Class Load Model'!J11</f>
        <v>139044.32</v>
      </c>
    </row>
    <row r="107" spans="1:13" x14ac:dyDescent="0.2">
      <c r="A107" s="113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</row>
    <row r="108" spans="1:13" x14ac:dyDescent="0.2">
      <c r="A108" s="41" t="s">
        <v>296</v>
      </c>
    </row>
    <row r="109" spans="1:13" x14ac:dyDescent="0.2">
      <c r="A109" t="s">
        <v>56</v>
      </c>
      <c r="B109" s="25">
        <f>'Summary BCP'!B57+'Summary CND'!B58</f>
        <v>75802.346650000007</v>
      </c>
      <c r="C109" s="25">
        <f>'Summary BCP'!C57+'Summary CND'!C58</f>
        <v>76839.396421671947</v>
      </c>
      <c r="D109" s="25">
        <f>'Summary BCP'!D57+'Summary CND'!D58</f>
        <v>77577.016278423907</v>
      </c>
      <c r="E109" s="25">
        <f>'Summary BCP'!E57+'Summary CND'!E58</f>
        <v>78136.826457296687</v>
      </c>
      <c r="F109" s="25">
        <f>'Summary BCP'!F57+'Summary CND'!F58</f>
        <v>78620.89611581729</v>
      </c>
      <c r="G109" s="25">
        <f>'Summary BCP'!G57+'Summary CND'!G58</f>
        <v>79184.156902738105</v>
      </c>
      <c r="H109" s="25">
        <f>'Summary BCP'!H57+'Summary CND'!H58</f>
        <v>80080.745737465564</v>
      </c>
      <c r="I109" s="25">
        <f>'Summary BCP'!I57+'Summary CND'!I58</f>
        <v>81099</v>
      </c>
      <c r="J109" s="25">
        <f>'Summary BCP'!J57+'Summary CND'!J58</f>
        <v>81992.833694461413</v>
      </c>
      <c r="K109" s="25">
        <f>'Summary BCP'!K57+'Summary CND'!K58</f>
        <v>82896.98542382881</v>
      </c>
    </row>
    <row r="110" spans="1:13" x14ac:dyDescent="0.2">
      <c r="A110" t="s">
        <v>52</v>
      </c>
      <c r="B110" s="25">
        <f>'Summary BCP'!B58+'Summary CND'!B59</f>
        <v>1700869074.0808105</v>
      </c>
      <c r="C110" s="25">
        <f>'Summary BCP'!C58+'Summary CND'!C59</f>
        <v>1705485900.5254333</v>
      </c>
      <c r="D110" s="25">
        <f>'Summary BCP'!D58+'Summary CND'!D59</f>
        <v>1721439858.3643131</v>
      </c>
      <c r="E110" s="25">
        <f>'Summary BCP'!E58+'Summary CND'!E59</f>
        <v>1791464460.6228554</v>
      </c>
      <c r="F110" s="25">
        <f>'Summary BCP'!F58+'Summary CND'!F59</f>
        <v>1789211194.485198</v>
      </c>
      <c r="G110" s="25">
        <f>'Summary BCP'!G58+'Summary CND'!G59</f>
        <v>1810549098.3449092</v>
      </c>
      <c r="H110" s="25">
        <f>'Summary BCP'!H58+'Summary CND'!H59</f>
        <v>1738021070.3128002</v>
      </c>
      <c r="I110" s="25">
        <f>'Summary BCP'!I58+'Summary CND'!I59</f>
        <v>1654779291.1866148</v>
      </c>
      <c r="J110" s="25">
        <f>'Summary BCP'!J58+'Summary CND'!J59</f>
        <v>1660234334.3602078</v>
      </c>
      <c r="K110" s="25">
        <f>'Summary BCP'!K58+'Summary CND'!K59</f>
        <v>1653951480.0440285</v>
      </c>
    </row>
    <row r="111" spans="1:13" x14ac:dyDescent="0.2">
      <c r="A111" t="s">
        <v>55</v>
      </c>
      <c r="B111" s="25">
        <f>'Summary BCP'!B59+'Summary CND'!B60</f>
        <v>2952269.2899278323</v>
      </c>
      <c r="C111" s="25">
        <f>'Summary BCP'!C59+'Summary CND'!C60</f>
        <v>3019250.9991073082</v>
      </c>
      <c r="D111" s="25">
        <f>'Summary BCP'!D59+'Summary CND'!D60</f>
        <v>3036477.5333123347</v>
      </c>
      <c r="E111" s="25">
        <f>'Summary BCP'!E59+'Summary CND'!E60</f>
        <v>2957646.7935386216</v>
      </c>
      <c r="F111" s="25">
        <f>'Summary BCP'!F59+'Summary CND'!F60</f>
        <v>3040337.0401040344</v>
      </c>
      <c r="G111" s="25">
        <f>'Summary BCP'!G59+'Summary CND'!G60</f>
        <v>2976090.0488696336</v>
      </c>
      <c r="H111" s="25">
        <f>'Summary BCP'!H59+'Summary CND'!H60</f>
        <v>2936895.4171404783</v>
      </c>
      <c r="I111" s="25">
        <f>'Summary BCP'!I59+'Summary CND'!I60</f>
        <v>2805958.4592651622</v>
      </c>
      <c r="J111" s="25">
        <f>'Summary BCP'!J59+'Summary CND'!J60</f>
        <v>2796455.3165180711</v>
      </c>
      <c r="K111" s="25">
        <f>'Summary BCP'!K59+'Summary CND'!K60</f>
        <v>2802413.5393242878</v>
      </c>
      <c r="M111" s="55"/>
    </row>
    <row r="112" spans="1:13" x14ac:dyDescent="0.2">
      <c r="B112" s="25"/>
      <c r="C112" s="25"/>
      <c r="D112" s="25"/>
      <c r="E112" s="25"/>
      <c r="F112" s="25"/>
      <c r="G112" s="25"/>
      <c r="I112" s="25"/>
      <c r="J112" s="25"/>
      <c r="K112" s="25"/>
    </row>
    <row r="113" spans="1:11" x14ac:dyDescent="0.2">
      <c r="A113" s="113" t="s">
        <v>19</v>
      </c>
    </row>
    <row r="114" spans="1:11" x14ac:dyDescent="0.2">
      <c r="A114" t="s">
        <v>56</v>
      </c>
      <c r="B114" s="25">
        <f>B86-B109</f>
        <v>0</v>
      </c>
      <c r="C114" s="25">
        <f t="shared" ref="C114:K114" si="19">C86-C109</f>
        <v>0</v>
      </c>
      <c r="D114" s="25">
        <f t="shared" si="19"/>
        <v>0</v>
      </c>
      <c r="E114" s="25">
        <f t="shared" si="19"/>
        <v>0</v>
      </c>
      <c r="F114" s="25">
        <f t="shared" si="19"/>
        <v>0</v>
      </c>
      <c r="G114" s="25">
        <f t="shared" si="19"/>
        <v>0</v>
      </c>
      <c r="H114" s="25">
        <f t="shared" si="19"/>
        <v>0</v>
      </c>
      <c r="I114" s="25">
        <f t="shared" si="19"/>
        <v>0</v>
      </c>
      <c r="J114" s="25">
        <f t="shared" si="19"/>
        <v>0</v>
      </c>
      <c r="K114" s="25">
        <f t="shared" si="19"/>
        <v>0</v>
      </c>
    </row>
    <row r="115" spans="1:11" x14ac:dyDescent="0.2">
      <c r="A115" t="s">
        <v>52</v>
      </c>
      <c r="B115" s="25">
        <f>B87-B110</f>
        <v>0</v>
      </c>
      <c r="C115" s="25">
        <f t="shared" ref="C115:K115" si="20">C87-C110</f>
        <v>0</v>
      </c>
      <c r="D115" s="25">
        <f t="shared" si="20"/>
        <v>0</v>
      </c>
      <c r="E115" s="25">
        <f t="shared" si="20"/>
        <v>0</v>
      </c>
      <c r="F115" s="25">
        <f t="shared" si="20"/>
        <v>0</v>
      </c>
      <c r="G115" s="25">
        <f t="shared" si="20"/>
        <v>0</v>
      </c>
      <c r="H115" s="25">
        <f t="shared" si="20"/>
        <v>0</v>
      </c>
      <c r="I115" s="25">
        <f t="shared" si="20"/>
        <v>0</v>
      </c>
      <c r="J115" s="25">
        <f t="shared" si="20"/>
        <v>0</v>
      </c>
      <c r="K115" s="25">
        <f t="shared" si="20"/>
        <v>0</v>
      </c>
    </row>
    <row r="116" spans="1:11" x14ac:dyDescent="0.2">
      <c r="A116" t="s">
        <v>55</v>
      </c>
      <c r="B116" s="25">
        <f>B88-B111</f>
        <v>0</v>
      </c>
      <c r="C116" s="25">
        <f t="shared" ref="C116:K116" si="21">C88-C111</f>
        <v>0</v>
      </c>
      <c r="D116" s="25">
        <f t="shared" si="21"/>
        <v>0</v>
      </c>
      <c r="E116" s="25">
        <f t="shared" si="21"/>
        <v>0</v>
      </c>
      <c r="F116" s="25">
        <f t="shared" si="21"/>
        <v>0</v>
      </c>
      <c r="G116" s="25">
        <f t="shared" si="21"/>
        <v>0</v>
      </c>
      <c r="H116" s="25">
        <f>H88-H111</f>
        <v>0</v>
      </c>
      <c r="I116" s="25">
        <f t="shared" si="21"/>
        <v>0</v>
      </c>
      <c r="J116" s="25">
        <f t="shared" si="21"/>
        <v>0</v>
      </c>
      <c r="K116" s="25">
        <f t="shared" si="21"/>
        <v>0</v>
      </c>
    </row>
    <row r="119" spans="1:11" x14ac:dyDescent="0.2">
      <c r="A119" t="s">
        <v>302</v>
      </c>
      <c r="B119" s="6">
        <f t="shared" ref="B119:G119" si="22">B109-B53-B48-B43</f>
        <v>59795.781650000004</v>
      </c>
      <c r="C119" s="6">
        <f t="shared" si="22"/>
        <v>60821.8258661164</v>
      </c>
      <c r="D119" s="6">
        <f t="shared" si="22"/>
        <v>61499.669216116396</v>
      </c>
      <c r="E119" s="6">
        <f t="shared" si="22"/>
        <v>61959.150445064071</v>
      </c>
      <c r="F119" s="6">
        <f t="shared" si="22"/>
        <v>62389.300890128136</v>
      </c>
      <c r="G119" s="6">
        <f t="shared" si="22"/>
        <v>62922.874860568001</v>
      </c>
      <c r="H119" s="6">
        <f>H109-H53-H48-H43</f>
        <v>63650.724415503937</v>
      </c>
      <c r="I119" s="6">
        <f t="shared" ref="I119:K119" si="23">I109-I53-I48-I43</f>
        <v>64408</v>
      </c>
      <c r="J119" s="6">
        <f t="shared" si="23"/>
        <v>65184.482867893719</v>
      </c>
      <c r="K119" s="6">
        <f t="shared" si="23"/>
        <v>65970.424358780278</v>
      </c>
    </row>
  </sheetData>
  <phoneticPr fontId="0" type="noConversion"/>
  <pageMargins left="0.38" right="0.75" top="0.73" bottom="0.74" header="0.5" footer="0.5"/>
  <pageSetup scale="74" fitToHeight="2" orientation="landscape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workbookViewId="0">
      <selection activeCell="D22" sqref="D22"/>
    </sheetView>
  </sheetViews>
  <sheetFormatPr defaultRowHeight="12.75" x14ac:dyDescent="0.2"/>
  <cols>
    <col min="1" max="1" width="43.28515625" customWidth="1"/>
    <col min="2" max="2" width="14" style="71" bestFit="1" customWidth="1"/>
    <col min="3" max="3" width="14" bestFit="1" customWidth="1"/>
    <col min="4" max="6" width="12.7109375" style="30" bestFit="1" customWidth="1"/>
    <col min="7" max="8" width="12.7109375" bestFit="1" customWidth="1"/>
    <col min="9" max="9" width="12.5703125" customWidth="1"/>
    <col min="10" max="11" width="12.7109375" bestFit="1" customWidth="1"/>
  </cols>
  <sheetData>
    <row r="1" spans="1:11" ht="15.75" x14ac:dyDescent="0.25">
      <c r="A1" s="42" t="s">
        <v>252</v>
      </c>
      <c r="B1" s="30"/>
    </row>
    <row r="2" spans="1:11" x14ac:dyDescent="0.2">
      <c r="B2" s="30"/>
    </row>
    <row r="3" spans="1:11" x14ac:dyDescent="0.2">
      <c r="B3" s="114" t="s">
        <v>73</v>
      </c>
      <c r="C3" s="44" t="s">
        <v>72</v>
      </c>
      <c r="D3" s="114" t="s">
        <v>71</v>
      </c>
      <c r="E3" s="44" t="s">
        <v>173</v>
      </c>
      <c r="F3" s="44" t="s">
        <v>174</v>
      </c>
      <c r="G3" s="114" t="s">
        <v>175</v>
      </c>
      <c r="H3" s="114" t="s">
        <v>176</v>
      </c>
      <c r="I3" s="114" t="s">
        <v>266</v>
      </c>
      <c r="J3" s="44" t="s">
        <v>177</v>
      </c>
      <c r="K3" s="44" t="s">
        <v>178</v>
      </c>
    </row>
    <row r="4" spans="1:11" x14ac:dyDescent="0.2">
      <c r="A4" s="17" t="s">
        <v>57</v>
      </c>
      <c r="B4" s="27">
        <v>291433060</v>
      </c>
      <c r="C4" s="27">
        <v>293737263</v>
      </c>
      <c r="D4" s="27">
        <v>293429507</v>
      </c>
      <c r="E4" s="27">
        <v>301042483</v>
      </c>
      <c r="F4" s="27">
        <v>303815429</v>
      </c>
      <c r="G4" s="27">
        <v>293516037.00000006</v>
      </c>
      <c r="H4" s="27">
        <v>298126493</v>
      </c>
      <c r="I4" s="27">
        <f>'Purchased Power Model'!E161</f>
        <v>286507171.5518769</v>
      </c>
    </row>
    <row r="5" spans="1:11" x14ac:dyDescent="0.2">
      <c r="B5" s="114"/>
      <c r="C5" s="44"/>
      <c r="D5" s="114"/>
      <c r="E5" s="44"/>
      <c r="F5" s="44"/>
      <c r="G5" s="114"/>
      <c r="H5" s="114"/>
    </row>
    <row r="6" spans="1:11" x14ac:dyDescent="0.2">
      <c r="A6" s="17" t="s">
        <v>118</v>
      </c>
      <c r="B6" s="6">
        <v>271869208.26999998</v>
      </c>
      <c r="C6" s="6">
        <v>278419409.917</v>
      </c>
      <c r="D6" s="25">
        <v>273767432.33925796</v>
      </c>
      <c r="E6" s="25">
        <v>282638929.30000001</v>
      </c>
      <c r="F6" s="25">
        <v>284646658.80200005</v>
      </c>
      <c r="G6" s="25">
        <v>285243240.10868824</v>
      </c>
      <c r="H6" s="25">
        <v>288991554.07593203</v>
      </c>
      <c r="I6" s="25">
        <f>SUM('Rate Class Energy Model'!H37:R37)</f>
        <v>270576406.03905129</v>
      </c>
    </row>
    <row r="7" spans="1:11" x14ac:dyDescent="0.2">
      <c r="A7" s="17"/>
      <c r="B7" s="30"/>
      <c r="C7" s="161"/>
      <c r="H7" s="25"/>
    </row>
    <row r="8" spans="1:11" ht="15.75" x14ac:dyDescent="0.25">
      <c r="A8" s="42" t="s">
        <v>59</v>
      </c>
      <c r="B8" s="30"/>
      <c r="C8" s="161"/>
      <c r="D8" s="21"/>
      <c r="F8" s="21"/>
    </row>
    <row r="9" spans="1:11" x14ac:dyDescent="0.2">
      <c r="A9" s="41" t="s">
        <v>1</v>
      </c>
      <c r="B9" s="30"/>
      <c r="C9" s="161"/>
      <c r="D9" s="21"/>
      <c r="E9" s="21"/>
      <c r="F9" s="21"/>
    </row>
    <row r="10" spans="1:11" x14ac:dyDescent="0.2">
      <c r="A10" t="s">
        <v>51</v>
      </c>
      <c r="B10" s="25">
        <v>8133.3250000000007</v>
      </c>
      <c r="C10" s="25">
        <v>8238.5965481171552</v>
      </c>
      <c r="D10" s="25">
        <v>8349.7715481171545</v>
      </c>
      <c r="E10" s="25">
        <v>8431.7666666666664</v>
      </c>
      <c r="F10" s="25">
        <v>8519.5333333333347</v>
      </c>
      <c r="G10" s="25">
        <v>8599.8379679144382</v>
      </c>
      <c r="H10" s="25">
        <v>8731.0713012477718</v>
      </c>
      <c r="I10" s="25">
        <f>AVERAGE('Rate Class Customer Model'!B79:B80)</f>
        <v>8895.5</v>
      </c>
      <c r="J10" s="25">
        <f>I10/Summary!I16*Summary!J16</f>
        <v>9004.0081816768143</v>
      </c>
      <c r="K10" s="25">
        <f>I10/Summary!I16*Summary!K16</f>
        <v>9113.8399567987199</v>
      </c>
    </row>
    <row r="11" spans="1:11" x14ac:dyDescent="0.2">
      <c r="A11" t="s">
        <v>52</v>
      </c>
      <c r="B11" s="25">
        <v>80219627</v>
      </c>
      <c r="C11" s="25">
        <v>81900003.020000011</v>
      </c>
      <c r="D11" s="25">
        <v>79659539.737000003</v>
      </c>
      <c r="E11" s="25">
        <v>79931655.050000012</v>
      </c>
      <c r="F11" s="25">
        <v>81545698.020000011</v>
      </c>
      <c r="G11" s="25">
        <v>85209274.018060982</v>
      </c>
      <c r="H11" s="25">
        <f>'Rate Class Energy Model'!H36</f>
        <v>83373122.232199997</v>
      </c>
      <c r="I11" s="25">
        <f>'Rate Class Energy Model'!H37</f>
        <v>79607416.689999983</v>
      </c>
      <c r="J11" s="25">
        <f>J10/Summary!J16*Summary!J17</f>
        <v>71772591.82325229</v>
      </c>
      <c r="K11" s="25">
        <f>K10/Summary!K16*Summary!K17</f>
        <v>71673721.303771585</v>
      </c>
    </row>
    <row r="12" spans="1:11" x14ac:dyDescent="0.2">
      <c r="B12" s="30"/>
    </row>
    <row r="13" spans="1:11" x14ac:dyDescent="0.2">
      <c r="A13" s="41" t="s">
        <v>138</v>
      </c>
      <c r="B13" s="30"/>
      <c r="C13" s="224"/>
      <c r="D13" s="21"/>
      <c r="E13" s="21"/>
      <c r="F13" s="21"/>
      <c r="G13" s="25"/>
    </row>
    <row r="14" spans="1:11" ht="13.5" customHeight="1" x14ac:dyDescent="0.2">
      <c r="A14" t="s">
        <v>51</v>
      </c>
      <c r="B14" s="25">
        <v>1289.365</v>
      </c>
      <c r="C14" s="6">
        <v>1302.779334665905</v>
      </c>
      <c r="D14" s="25">
        <v>1319.414334665905</v>
      </c>
      <c r="E14" s="25">
        <v>1308.383517763541</v>
      </c>
      <c r="F14" s="25">
        <v>1297.767035527082</v>
      </c>
      <c r="G14" s="25">
        <v>1297.599819606859</v>
      </c>
      <c r="H14" s="25">
        <v>1319.716301843318</v>
      </c>
      <c r="I14" s="25">
        <f>AVERAGE('Rate Class Customer Model'!C79:C80)</f>
        <v>1339</v>
      </c>
      <c r="J14" s="25">
        <f>I14/Summary!I20*Summary!J20</f>
        <v>1355.1996881137693</v>
      </c>
      <c r="K14" s="25">
        <f>I14/Summary!I20*Summary!K20</f>
        <v>1371.5953656935458</v>
      </c>
    </row>
    <row r="15" spans="1:11" x14ac:dyDescent="0.2">
      <c r="A15" t="s">
        <v>52</v>
      </c>
      <c r="B15" s="25">
        <v>35757937.539999999</v>
      </c>
      <c r="C15" s="6">
        <v>36170425.079999998</v>
      </c>
      <c r="D15" s="25">
        <v>35702794.359999992</v>
      </c>
      <c r="E15" s="25">
        <v>37126640.460000001</v>
      </c>
      <c r="F15" s="25">
        <v>37605273.952</v>
      </c>
      <c r="G15" s="25">
        <v>35949071.403001435</v>
      </c>
      <c r="H15" s="25">
        <f>'Rate Class Energy Model'!I36</f>
        <v>42681652.129600003</v>
      </c>
      <c r="I15" s="25">
        <f>'Rate Class Energy Model'!I37</f>
        <v>36754537.07</v>
      </c>
      <c r="J15" s="25">
        <f>J14/Summary!J20*Summary!J21</f>
        <v>40403215.818672776</v>
      </c>
      <c r="K15" s="25">
        <f>K14/Summary!K20*Summary!K21</f>
        <v>41242052.899792381</v>
      </c>
    </row>
    <row r="16" spans="1:11" x14ac:dyDescent="0.2">
      <c r="B16" s="25"/>
      <c r="C16" s="161"/>
    </row>
    <row r="17" spans="1:11" x14ac:dyDescent="0.2">
      <c r="A17" s="41" t="s">
        <v>139</v>
      </c>
      <c r="B17" s="25"/>
      <c r="C17" s="161"/>
      <c r="D17" s="21"/>
      <c r="E17" s="21"/>
      <c r="F17" s="21"/>
    </row>
    <row r="18" spans="1:11" x14ac:dyDescent="0.2">
      <c r="A18" t="s">
        <v>51</v>
      </c>
      <c r="B18" s="25">
        <v>94.591650000000001</v>
      </c>
      <c r="C18" s="6">
        <v>98.949983333333336</v>
      </c>
      <c r="D18" s="25">
        <v>102.48333333333333</v>
      </c>
      <c r="E18" s="25">
        <v>104.00026063386156</v>
      </c>
      <c r="F18" s="25">
        <v>106.0005212677231</v>
      </c>
      <c r="G18" s="25">
        <v>112.00031219088362</v>
      </c>
      <c r="H18" s="25">
        <v>113.00005155702206</v>
      </c>
      <c r="I18" s="25">
        <f>AVERAGE('Rate Class Customer Model'!D79:D80)</f>
        <v>107.5</v>
      </c>
      <c r="J18" s="25">
        <f>I18/Summary!I24*Summary!J24</f>
        <v>107.79666118735226</v>
      </c>
      <c r="K18" s="25">
        <f>I18/Summary!I24*Summary!K24</f>
        <v>108.09414105247271</v>
      </c>
    </row>
    <row r="19" spans="1:11" x14ac:dyDescent="0.2">
      <c r="A19" t="s">
        <v>52</v>
      </c>
      <c r="B19" s="25">
        <f>'Rate Class Energy Model'!J30</f>
        <v>60010105.849999994</v>
      </c>
      <c r="C19" s="6">
        <f>'Rate Class Energy Model'!J31</f>
        <v>63328541.460000016</v>
      </c>
      <c r="D19" s="25">
        <f>'Rate Class Energy Model'!J32</f>
        <v>63734065.342257977</v>
      </c>
      <c r="E19" s="25">
        <f>'Rate Class Energy Model'!J33</f>
        <v>65991244.699999988</v>
      </c>
      <c r="F19" s="25">
        <f>'Rate Class Energy Model'!J34</f>
        <v>67781850.810000002</v>
      </c>
      <c r="G19" s="25">
        <f>'Rate Class Energy Model'!J35</f>
        <v>49488193.210000008</v>
      </c>
      <c r="H19" s="25">
        <f>'Rate Class Energy Model'!J36</f>
        <v>68085065.344599992</v>
      </c>
      <c r="I19" s="25">
        <f>'Rate Class Energy Model'!J37</f>
        <v>62964841.97848893</v>
      </c>
      <c r="J19" s="25">
        <f>J18/Summary!J24*Summary!J25</f>
        <v>66562932.286932051</v>
      </c>
      <c r="K19" s="25">
        <f>K18/Summary!K24*Summary!K25</f>
        <v>66348615.932819098</v>
      </c>
    </row>
    <row r="20" spans="1:11" x14ac:dyDescent="0.2">
      <c r="A20" t="s">
        <v>53</v>
      </c>
      <c r="B20" s="25">
        <v>241128.67600000001</v>
      </c>
      <c r="C20" s="6">
        <v>227626.94</v>
      </c>
      <c r="D20" s="25">
        <v>227978.95999999996</v>
      </c>
      <c r="E20" s="25">
        <v>232197.73000000004</v>
      </c>
      <c r="F20" s="25">
        <v>241040.01</v>
      </c>
      <c r="G20" s="25">
        <v>223089.79</v>
      </c>
      <c r="H20" s="25">
        <f>'Rate Class Load Model'!B30</f>
        <v>237320.32999999996</v>
      </c>
      <c r="I20" s="25">
        <f>'Rate Class Load Model'!B31</f>
        <v>223543.93999999997</v>
      </c>
      <c r="J20" s="25">
        <f>J18/Summary!J24*Summary!J26</f>
        <v>210069.98705143353</v>
      </c>
      <c r="K20" s="25">
        <f>K18/Summary!K24*Summary!K26</f>
        <v>209393.61309694272</v>
      </c>
    </row>
    <row r="21" spans="1:11" x14ac:dyDescent="0.2">
      <c r="B21" s="30"/>
      <c r="C21" s="161"/>
    </row>
    <row r="22" spans="1:11" x14ac:dyDescent="0.2">
      <c r="A22" s="41" t="s">
        <v>140</v>
      </c>
      <c r="B22" s="25"/>
      <c r="C22" s="161"/>
      <c r="E22" s="21"/>
      <c r="F22" s="21"/>
    </row>
    <row r="23" spans="1:11" x14ac:dyDescent="0.2">
      <c r="A23" t="s">
        <v>51</v>
      </c>
      <c r="B23" s="25">
        <v>5</v>
      </c>
      <c r="C23" s="6">
        <v>5</v>
      </c>
      <c r="D23" s="25">
        <v>5</v>
      </c>
      <c r="E23" s="25">
        <v>5</v>
      </c>
      <c r="F23" s="25">
        <v>5</v>
      </c>
      <c r="G23" s="25">
        <v>5.5</v>
      </c>
      <c r="H23" s="25">
        <v>6</v>
      </c>
      <c r="I23" s="25">
        <f>AVERAGE('Rate Class Customer Model'!E79:E80)</f>
        <v>6</v>
      </c>
      <c r="J23" s="25">
        <f>I23/Summary!I29*Summary!J29</f>
        <v>5.8914584089191955</v>
      </c>
      <c r="K23" s="25">
        <f>I23/Summary!I29*Summary!K29</f>
        <v>5.7848803640041169</v>
      </c>
    </row>
    <row r="24" spans="1:11" x14ac:dyDescent="0.2">
      <c r="A24" t="s">
        <v>52</v>
      </c>
      <c r="B24" s="25">
        <v>29541671.599999994</v>
      </c>
      <c r="C24" s="6">
        <v>29084757.309999999</v>
      </c>
      <c r="D24" s="25">
        <v>29778279.600000001</v>
      </c>
      <c r="E24" s="25">
        <v>30941352.619999997</v>
      </c>
      <c r="F24" s="25">
        <v>30595621.239999998</v>
      </c>
      <c r="G24" s="25">
        <v>35805421.270000003</v>
      </c>
      <c r="H24" s="25">
        <f>'Rate Class Energy Model'!K36</f>
        <v>38677613.350000001</v>
      </c>
      <c r="I24" s="25">
        <f>'Rate Class Energy Model'!K37</f>
        <v>34140289.052486897</v>
      </c>
      <c r="J24" s="25">
        <f>J23/Summary!J29*Summary!J30</f>
        <v>50473537.30109331</v>
      </c>
      <c r="K24" s="25">
        <f>K23/Summary!K29*Summary!K30</f>
        <v>49152640.764657229</v>
      </c>
    </row>
    <row r="25" spans="1:11" x14ac:dyDescent="0.2">
      <c r="A25" t="s">
        <v>53</v>
      </c>
      <c r="B25" s="25">
        <v>76443.81</v>
      </c>
      <c r="C25" s="6">
        <v>76748.86</v>
      </c>
      <c r="D25" s="25">
        <v>78355.210000000006</v>
      </c>
      <c r="E25" s="25">
        <v>83762.219999999987</v>
      </c>
      <c r="F25" s="25">
        <v>82926.66</v>
      </c>
      <c r="G25" s="25">
        <v>95927.03</v>
      </c>
      <c r="H25" s="25">
        <f>'Rate Class Load Model'!C30</f>
        <v>102692.34997964223</v>
      </c>
      <c r="I25" s="25">
        <f>'Rate Class Load Model'!C31</f>
        <v>107785.29259129196</v>
      </c>
      <c r="J25" s="25">
        <f>J23/Summary!J29*Summary!J31</f>
        <v>118457.25579113505</v>
      </c>
      <c r="K25" s="25">
        <f>K23/Summary!K29*Summary!K31</f>
        <v>115357.21986623378</v>
      </c>
    </row>
    <row r="26" spans="1:11" x14ac:dyDescent="0.2">
      <c r="B26" s="30"/>
      <c r="C26" s="161"/>
    </row>
    <row r="27" spans="1:11" x14ac:dyDescent="0.2">
      <c r="A27" s="41" t="s">
        <v>66</v>
      </c>
      <c r="B27" s="30"/>
      <c r="C27" s="161"/>
      <c r="D27" s="21"/>
      <c r="E27" s="21"/>
      <c r="F27" s="21"/>
    </row>
    <row r="28" spans="1:11" x14ac:dyDescent="0.2">
      <c r="A28" t="s">
        <v>54</v>
      </c>
      <c r="B28" s="25">
        <v>2640</v>
      </c>
      <c r="C28" s="6">
        <v>2640</v>
      </c>
      <c r="D28" s="25">
        <v>2640</v>
      </c>
      <c r="E28" s="25">
        <v>2640</v>
      </c>
      <c r="F28" s="25">
        <v>2640</v>
      </c>
      <c r="G28" s="25">
        <v>2640</v>
      </c>
      <c r="H28" s="25">
        <v>2783.5</v>
      </c>
      <c r="I28" s="25">
        <f>AVERAGE('Rate Class Customer Model'!G79:G80)</f>
        <v>2929.5</v>
      </c>
      <c r="J28" s="25">
        <f>I28/Summary!I43*Summary!J43</f>
        <v>2950.9540218690759</v>
      </c>
      <c r="K28" s="25">
        <f>I28/Summary!I43*Summary!K43</f>
        <v>2972.5651610122118</v>
      </c>
    </row>
    <row r="29" spans="1:11" x14ac:dyDescent="0.2">
      <c r="A29" t="s">
        <v>52</v>
      </c>
      <c r="B29" s="25">
        <v>1709480.57</v>
      </c>
      <c r="C29" s="6">
        <v>1709907.0000000002</v>
      </c>
      <c r="D29" s="25">
        <v>1714787.7500000002</v>
      </c>
      <c r="E29" s="25">
        <v>1696593.3900000004</v>
      </c>
      <c r="F29" s="25">
        <v>1709481.1900000002</v>
      </c>
      <c r="G29" s="25">
        <v>1697632.3787499999</v>
      </c>
      <c r="H29" s="25">
        <f>'Rate Class Energy Model'!M36</f>
        <v>1461959.2800000047</v>
      </c>
      <c r="I29" s="25">
        <f>'Rate Class Energy Model'!M37</f>
        <v>750581.73999999987</v>
      </c>
      <c r="J29" s="25">
        <f>I29/Summary!I44*Summary!J44</f>
        <v>461467.7689706118</v>
      </c>
      <c r="K29" s="25">
        <f>I29/Summary!I44*Summary!K44</f>
        <v>340268.85668132966</v>
      </c>
    </row>
    <row r="30" spans="1:11" x14ac:dyDescent="0.2">
      <c r="A30" t="s">
        <v>53</v>
      </c>
      <c r="B30" s="25">
        <v>4801.0200000000004</v>
      </c>
      <c r="C30" s="25">
        <v>4798.75</v>
      </c>
      <c r="D30" s="25">
        <v>4800.46</v>
      </c>
      <c r="E30" s="25">
        <v>4801.3200000000006</v>
      </c>
      <c r="F30" s="25">
        <v>4801.3200000000006</v>
      </c>
      <c r="G30" s="25">
        <v>4775.62</v>
      </c>
      <c r="H30" s="25">
        <f>'Rate Class Load Model'!E30</f>
        <v>4411.3</v>
      </c>
      <c r="I30" s="25">
        <f>'Rate Class Load Model'!E31</f>
        <v>2314.3699999999994</v>
      </c>
      <c r="J30" s="25">
        <f>I30/Summary!I45*Summary!J45</f>
        <v>1422.9058656189995</v>
      </c>
      <c r="K30" s="25">
        <f>I30/Summary!I45*Summary!K45</f>
        <v>1049.1968987116165</v>
      </c>
    </row>
    <row r="31" spans="1:11" x14ac:dyDescent="0.2">
      <c r="B31"/>
      <c r="D31"/>
      <c r="E31"/>
      <c r="F31"/>
    </row>
    <row r="32" spans="1:11" x14ac:dyDescent="0.2">
      <c r="A32" s="41" t="s">
        <v>195</v>
      </c>
      <c r="B32" s="30"/>
      <c r="C32" s="161"/>
      <c r="D32" s="21"/>
      <c r="E32" s="21"/>
      <c r="F32" s="21"/>
    </row>
    <row r="33" spans="1:11" x14ac:dyDescent="0.2">
      <c r="A33" t="s">
        <v>54</v>
      </c>
      <c r="B33" s="25">
        <f>Summary!B48</f>
        <v>219.19</v>
      </c>
      <c r="C33" s="25">
        <f>Summary!C48</f>
        <v>189.12055555555554</v>
      </c>
      <c r="D33" s="25">
        <f>Summary!D48</f>
        <v>176.89706230751005</v>
      </c>
      <c r="E33" s="25">
        <f>Summary!E48</f>
        <v>190.6022269604359</v>
      </c>
      <c r="F33" s="25">
        <f>Summary!F48</f>
        <v>188.52144041696278</v>
      </c>
      <c r="G33" s="25">
        <f>Summary!G48</f>
        <v>188.78204217010187</v>
      </c>
      <c r="H33" s="25">
        <f>Summary!H48</f>
        <v>181.02132196162046</v>
      </c>
      <c r="I33" s="25">
        <f>Summary!I48</f>
        <v>168</v>
      </c>
      <c r="J33" s="25">
        <f>Summary!J48</f>
        <v>168</v>
      </c>
      <c r="K33" s="25">
        <f>Summary!K48</f>
        <v>168</v>
      </c>
    </row>
    <row r="34" spans="1:11" x14ac:dyDescent="0.2">
      <c r="A34" t="s">
        <v>52</v>
      </c>
      <c r="B34" s="25">
        <f>Summary!B49</f>
        <v>175284.4</v>
      </c>
      <c r="C34" s="25">
        <f>Summary!C49</f>
        <v>164006.01</v>
      </c>
      <c r="D34" s="25">
        <f>Summary!D49</f>
        <v>178406.38999999998</v>
      </c>
      <c r="E34" s="25">
        <f>Summary!E49</f>
        <v>152803.15</v>
      </c>
      <c r="F34" s="25">
        <f>Summary!F49</f>
        <v>146515.24000000002</v>
      </c>
      <c r="G34" s="25">
        <f>Summary!G49</f>
        <v>142708.41887585534</v>
      </c>
      <c r="H34" s="25">
        <f>Summary!H49</f>
        <v>136701.00000000009</v>
      </c>
      <c r="I34" s="25">
        <f>Summary!I49</f>
        <v>126989</v>
      </c>
      <c r="J34" s="25">
        <f>Summary!J49</f>
        <v>126989.00000000001</v>
      </c>
      <c r="K34" s="25">
        <f>Summary!K49</f>
        <v>126989.00000000001</v>
      </c>
    </row>
    <row r="35" spans="1:11" x14ac:dyDescent="0.2">
      <c r="A35" t="s">
        <v>53</v>
      </c>
      <c r="B35" s="25">
        <f>Summary!B50</f>
        <v>486.90111111111116</v>
      </c>
      <c r="C35" s="25">
        <f>Summary!C50</f>
        <v>228.22855967333334</v>
      </c>
      <c r="D35" s="25">
        <f>Summary!D50</f>
        <v>311.12235571111108</v>
      </c>
      <c r="E35" s="25">
        <f>Summary!E50</f>
        <v>306.93329242222217</v>
      </c>
      <c r="F35" s="25">
        <f>Summary!F50</f>
        <v>292.76845053333329</v>
      </c>
      <c r="G35" s="25">
        <f>Summary!G50</f>
        <v>288.48305517777777</v>
      </c>
      <c r="H35" s="25">
        <f>Summary!H50</f>
        <v>416.63902725875835</v>
      </c>
      <c r="I35" s="25">
        <f>Summary!I50</f>
        <v>342.92000000000007</v>
      </c>
      <c r="J35" s="25">
        <f>Summary!J50</f>
        <v>342.92000000000007</v>
      </c>
      <c r="K35" s="25">
        <f>Summary!K50</f>
        <v>342.92000000000007</v>
      </c>
    </row>
    <row r="36" spans="1:11" x14ac:dyDescent="0.2">
      <c r="B36"/>
      <c r="D36"/>
      <c r="E36"/>
      <c r="F36"/>
    </row>
    <row r="37" spans="1:11" x14ac:dyDescent="0.2">
      <c r="A37" s="41" t="s">
        <v>2</v>
      </c>
      <c r="B37" s="30"/>
      <c r="C37" s="161"/>
      <c r="D37" s="21"/>
      <c r="E37" s="21"/>
      <c r="F37" s="21"/>
    </row>
    <row r="38" spans="1:11" x14ac:dyDescent="0.2">
      <c r="A38" t="s">
        <v>54</v>
      </c>
      <c r="B38" s="25">
        <v>51.375</v>
      </c>
      <c r="C38" s="6">
        <v>50.45</v>
      </c>
      <c r="D38" s="25">
        <v>47.95</v>
      </c>
      <c r="E38" s="25">
        <v>47.5</v>
      </c>
      <c r="F38" s="25">
        <v>49</v>
      </c>
      <c r="G38" s="25">
        <v>49</v>
      </c>
      <c r="H38" s="25">
        <v>48</v>
      </c>
      <c r="I38" s="25">
        <f>AVERAGE('Rate Class Customer Model'!I79:I80)</f>
        <v>47</v>
      </c>
      <c r="J38" s="25">
        <f>I38/Summary!I53*Summary!J53</f>
        <v>47</v>
      </c>
      <c r="K38" s="25">
        <f>I38/Summary!I53*Summary!K53</f>
        <v>47</v>
      </c>
    </row>
    <row r="39" spans="1:11" x14ac:dyDescent="0.2">
      <c r="A39" t="s">
        <v>52</v>
      </c>
      <c r="B39" s="25">
        <v>479703</v>
      </c>
      <c r="C39" s="6">
        <v>445308</v>
      </c>
      <c r="D39" s="25">
        <v>442068</v>
      </c>
      <c r="E39" s="25">
        <v>442068</v>
      </c>
      <c r="F39" s="25">
        <v>442068</v>
      </c>
      <c r="G39" s="25">
        <v>440075</v>
      </c>
      <c r="H39" s="25">
        <f>'Rate Class Energy Model'!O36</f>
        <v>420657.60000000033</v>
      </c>
      <c r="I39" s="25">
        <f>'Rate Class Energy Model'!O37</f>
        <v>418152</v>
      </c>
      <c r="J39" s="25">
        <f>J38/Summary!J53*Summary!J54</f>
        <v>214183.23820354787</v>
      </c>
      <c r="K39" s="25">
        <f>K38/Summary!K53*Summary!K54</f>
        <v>214183.23820354787</v>
      </c>
    </row>
    <row r="40" spans="1:11" x14ac:dyDescent="0.2">
      <c r="B40" s="25"/>
      <c r="C40" s="161"/>
      <c r="I40" s="25"/>
      <c r="J40" s="25"/>
      <c r="K40" s="25"/>
    </row>
    <row r="41" spans="1:11" x14ac:dyDescent="0.2">
      <c r="A41" s="41" t="str">
        <f>Summary!A66</f>
        <v>Embedded Distributor - Brantford Power, BCP</v>
      </c>
      <c r="B41" s="30"/>
      <c r="C41" s="161"/>
      <c r="D41" s="21"/>
      <c r="E41" s="21"/>
      <c r="F41" s="21"/>
      <c r="G41" s="25"/>
      <c r="H41" s="25"/>
    </row>
    <row r="42" spans="1:11" x14ac:dyDescent="0.2">
      <c r="A42" t="str">
        <f>Summary!A67</f>
        <v xml:space="preserve">  Customers </v>
      </c>
      <c r="B42" s="25">
        <f>Summary!B67</f>
        <v>1</v>
      </c>
      <c r="C42" s="25">
        <f>Summary!C67</f>
        <v>1</v>
      </c>
      <c r="D42" s="25">
        <f>Summary!D67</f>
        <v>1</v>
      </c>
      <c r="E42" s="25">
        <f>Summary!E67</f>
        <v>1</v>
      </c>
      <c r="F42" s="25">
        <f>Summary!F67</f>
        <v>1</v>
      </c>
      <c r="G42" s="25">
        <f>Summary!G67</f>
        <v>1</v>
      </c>
      <c r="H42" s="25">
        <f>Summary!H67</f>
        <v>1</v>
      </c>
      <c r="I42" s="25">
        <f>Summary!I67</f>
        <v>1</v>
      </c>
      <c r="J42" s="25">
        <f>Summary!J67</f>
        <v>1</v>
      </c>
      <c r="K42" s="25">
        <f>Summary!K67</f>
        <v>1</v>
      </c>
    </row>
    <row r="43" spans="1:11" x14ac:dyDescent="0.2">
      <c r="A43" t="str">
        <f>Summary!A68</f>
        <v xml:space="preserve">  kWh</v>
      </c>
      <c r="B43" s="25">
        <f>Summary!B68</f>
        <v>373339</v>
      </c>
      <c r="C43" s="25">
        <f>Summary!C68</f>
        <v>373339</v>
      </c>
      <c r="D43" s="25">
        <f>Summary!D68</f>
        <v>374823</v>
      </c>
      <c r="E43" s="25">
        <f>Summary!E68</f>
        <v>356273</v>
      </c>
      <c r="F43" s="25">
        <f>Summary!F68</f>
        <v>338022</v>
      </c>
      <c r="G43" s="25">
        <f>Summary!G68</f>
        <v>352067.78</v>
      </c>
      <c r="H43" s="25">
        <f>Summary!H68</f>
        <v>380114.44</v>
      </c>
      <c r="I43" s="25">
        <f>Summary!I68</f>
        <v>347756.59287776717</v>
      </c>
      <c r="J43" s="25">
        <f>Summary!J68</f>
        <v>347756.59287776717</v>
      </c>
      <c r="K43" s="25">
        <f>Summary!K68</f>
        <v>347756.59287776717</v>
      </c>
    </row>
    <row r="44" spans="1:11" x14ac:dyDescent="0.2">
      <c r="A44" t="str">
        <f>Summary!A69</f>
        <v xml:space="preserve">  kW</v>
      </c>
      <c r="B44" s="25">
        <f>Summary!B69</f>
        <v>10.28</v>
      </c>
      <c r="C44" s="25">
        <f>Summary!C69</f>
        <v>44.33</v>
      </c>
      <c r="D44" s="25">
        <f>Summary!D69</f>
        <v>87.52000000000001</v>
      </c>
      <c r="E44" s="25">
        <f>Summary!E69</f>
        <v>31.049999999999997</v>
      </c>
      <c r="F44" s="25">
        <f>Summary!F69</f>
        <v>94.67</v>
      </c>
      <c r="G44" s="25">
        <f>Summary!G69</f>
        <v>95.46</v>
      </c>
      <c r="H44" s="25">
        <f>Summary!H69</f>
        <v>1313.24</v>
      </c>
      <c r="I44" s="25">
        <f>Summary!I69</f>
        <v>1074.96</v>
      </c>
      <c r="J44" s="25">
        <f>Summary!J69</f>
        <v>1074.96</v>
      </c>
      <c r="K44" s="25">
        <f>Summary!K69</f>
        <v>1074.96</v>
      </c>
    </row>
    <row r="45" spans="1:11" x14ac:dyDescent="0.2">
      <c r="B45" s="30"/>
      <c r="C45" s="21"/>
    </row>
    <row r="46" spans="1:11" x14ac:dyDescent="0.2">
      <c r="A46" s="41" t="str">
        <f>Summary!A71</f>
        <v>Embedded Distributor - Hydro One #1, BCP</v>
      </c>
      <c r="B46" s="30"/>
      <c r="C46" s="21"/>
      <c r="H46" s="25"/>
    </row>
    <row r="47" spans="1:11" x14ac:dyDescent="0.2">
      <c r="A47" t="str">
        <f>Summary!A72</f>
        <v xml:space="preserve">  Customers </v>
      </c>
      <c r="B47" s="25">
        <f>Summary!B72</f>
        <v>1</v>
      </c>
      <c r="C47" s="25">
        <f>Summary!C72</f>
        <v>1</v>
      </c>
      <c r="D47" s="25">
        <f>Summary!D72</f>
        <v>1</v>
      </c>
      <c r="E47" s="25">
        <f>Summary!E72</f>
        <v>1</v>
      </c>
      <c r="F47" s="25">
        <f>Summary!F72</f>
        <v>1</v>
      </c>
      <c r="G47" s="25">
        <f>Summary!G72</f>
        <v>1</v>
      </c>
      <c r="H47" s="25">
        <f>Summary!H72</f>
        <v>1</v>
      </c>
      <c r="I47" s="25">
        <f>Summary!I72</f>
        <v>1</v>
      </c>
      <c r="J47" s="25">
        <f>Summary!J72</f>
        <v>1</v>
      </c>
      <c r="K47" s="25">
        <f>Summary!K72</f>
        <v>1</v>
      </c>
    </row>
    <row r="48" spans="1:11" x14ac:dyDescent="0.2">
      <c r="A48" t="str">
        <f>Summary!A73</f>
        <v xml:space="preserve">  kWh</v>
      </c>
      <c r="B48" s="25">
        <f>Summary!B73</f>
        <v>13348829.459999999</v>
      </c>
      <c r="C48" s="25">
        <f>Summary!C73</f>
        <v>13695349.587000001</v>
      </c>
      <c r="D48" s="25">
        <f>Summary!D73</f>
        <v>9863706.6199999992</v>
      </c>
      <c r="E48" s="25">
        <f>Summary!E73</f>
        <v>13883197</v>
      </c>
      <c r="F48" s="25">
        <f>Summary!F73</f>
        <v>12996387</v>
      </c>
      <c r="G48" s="25">
        <f>Summary!G73</f>
        <v>13819341.6</v>
      </c>
      <c r="H48" s="25">
        <f>Summary!H73</f>
        <v>13560291.5</v>
      </c>
      <c r="I48" s="25">
        <f>Summary!I73</f>
        <v>12191720.381133871</v>
      </c>
      <c r="J48" s="25">
        <f>Summary!J73</f>
        <v>12191720.381133871</v>
      </c>
      <c r="K48" s="25">
        <f>Summary!K73</f>
        <v>12191720.381133871</v>
      </c>
    </row>
    <row r="49" spans="1:11" x14ac:dyDescent="0.2">
      <c r="A49" t="str">
        <f>Summary!A74</f>
        <v xml:space="preserve">  kW</v>
      </c>
      <c r="B49" s="25">
        <f>Summary!B74</f>
        <v>29199.89</v>
      </c>
      <c r="C49" s="25">
        <f>Summary!C74</f>
        <v>31127.55</v>
      </c>
      <c r="D49" s="25">
        <f>Summary!D74</f>
        <v>24429.269999999997</v>
      </c>
      <c r="E49" s="25">
        <f>Summary!E74</f>
        <v>31865.139999999996</v>
      </c>
      <c r="F49" s="25">
        <f>Summary!F74</f>
        <v>31822.170000000002</v>
      </c>
      <c r="G49" s="25">
        <f>Summary!G74</f>
        <v>30826.699999999997</v>
      </c>
      <c r="H49" s="25">
        <f>Summary!H74</f>
        <v>29427.999999999996</v>
      </c>
      <c r="I49" s="25">
        <f>Summary!I74</f>
        <v>29010.799999999999</v>
      </c>
      <c r="J49" s="25">
        <f>Summary!J74</f>
        <v>29994.605248481424</v>
      </c>
      <c r="K49" s="25">
        <f>Summary!K74</f>
        <v>29994.605248481424</v>
      </c>
    </row>
    <row r="50" spans="1:11" x14ac:dyDescent="0.2">
      <c r="B50" s="30"/>
      <c r="C50" s="21"/>
      <c r="H50" s="25"/>
    </row>
    <row r="51" spans="1:11" x14ac:dyDescent="0.2">
      <c r="A51" s="41" t="str">
        <f>Summary!A76</f>
        <v>Embedded Distributor - Hydro One #2, BCP</v>
      </c>
      <c r="B51" s="30"/>
      <c r="C51" s="21"/>
      <c r="H51" s="25"/>
    </row>
    <row r="52" spans="1:11" x14ac:dyDescent="0.2">
      <c r="A52" t="str">
        <f>Summary!A77</f>
        <v xml:space="preserve">  Customers</v>
      </c>
      <c r="B52" s="25">
        <f>Summary!B77</f>
        <v>4</v>
      </c>
      <c r="C52" s="25">
        <f>Summary!C77</f>
        <v>4</v>
      </c>
      <c r="D52" s="25">
        <f>Summary!D77</f>
        <v>4</v>
      </c>
      <c r="E52" s="25">
        <f>Summary!E77</f>
        <v>4</v>
      </c>
      <c r="F52" s="25">
        <f>Summary!F77</f>
        <v>4</v>
      </c>
      <c r="G52" s="25">
        <f>Summary!G77</f>
        <v>4</v>
      </c>
      <c r="H52" s="25">
        <f>Summary!H77</f>
        <v>4</v>
      </c>
      <c r="I52" s="25">
        <f>Summary!I77</f>
        <v>4</v>
      </c>
      <c r="J52" s="25">
        <f>Summary!J77</f>
        <v>4</v>
      </c>
      <c r="K52" s="25">
        <f>Summary!K77</f>
        <v>4</v>
      </c>
    </row>
    <row r="53" spans="1:11" x14ac:dyDescent="0.2">
      <c r="A53" t="str">
        <f>Summary!A78</f>
        <v xml:space="preserve">  kWh</v>
      </c>
      <c r="B53" s="25">
        <f>Summary!B78</f>
        <v>50253229.850000001</v>
      </c>
      <c r="C53" s="25">
        <f>Summary!C78</f>
        <v>51547773.450000003</v>
      </c>
      <c r="D53" s="25">
        <f>Summary!D78</f>
        <v>52318961.540000007</v>
      </c>
      <c r="E53" s="25">
        <f>Summary!E78</f>
        <v>52117101.93</v>
      </c>
      <c r="F53" s="25">
        <f>Summary!F78</f>
        <v>51485741.349999994</v>
      </c>
      <c r="G53" s="25">
        <f>Summary!G78</f>
        <v>62339455.030000001</v>
      </c>
      <c r="H53" s="25">
        <f>Summary!H78</f>
        <v>46050289.200000003</v>
      </c>
      <c r="I53" s="25">
        <f>Summary!I78</f>
        <v>43274121.534063838</v>
      </c>
      <c r="J53" s="25">
        <f>Summary!J78</f>
        <v>43274121.534063838</v>
      </c>
      <c r="K53" s="25">
        <f>Summary!K78</f>
        <v>43274121.534063838</v>
      </c>
    </row>
    <row r="54" spans="1:11" x14ac:dyDescent="0.2">
      <c r="A54" t="str">
        <f>Summary!A79</f>
        <v xml:space="preserve">  kW - Estimated</v>
      </c>
      <c r="B54" s="25">
        <f>Summary!B79</f>
        <v>109926.40127449173</v>
      </c>
      <c r="C54" s="25">
        <f>Summary!C79</f>
        <v>117160.63801515776</v>
      </c>
      <c r="D54" s="25">
        <f>Summary!D79</f>
        <v>129577.45874038131</v>
      </c>
      <c r="E54" s="25">
        <f>Summary!E79</f>
        <v>119620.77246283546</v>
      </c>
      <c r="F54" s="25">
        <f>Summary!F79</f>
        <v>126064.88355692466</v>
      </c>
      <c r="G54" s="25">
        <f>Summary!G79</f>
        <v>139060.14729191593</v>
      </c>
      <c r="H54" s="25">
        <f>Summary!H79</f>
        <v>99936.488133577368</v>
      </c>
      <c r="I54" s="25">
        <f>Summary!I79</f>
        <v>102972.90667387019</v>
      </c>
      <c r="J54" s="25">
        <f>Summary!J79</f>
        <v>102972.90667387019</v>
      </c>
      <c r="K54" s="25">
        <f>Summary!K79</f>
        <v>102972.90667387019</v>
      </c>
    </row>
    <row r="55" spans="1:11" x14ac:dyDescent="0.2">
      <c r="B55"/>
    </row>
    <row r="56" spans="1:11" x14ac:dyDescent="0.2">
      <c r="A56" s="41" t="s">
        <v>12</v>
      </c>
      <c r="B56" s="30"/>
      <c r="C56" s="21"/>
      <c r="D56" s="21"/>
      <c r="E56" s="21"/>
      <c r="F56" s="21"/>
      <c r="H56" s="115"/>
    </row>
    <row r="57" spans="1:11" x14ac:dyDescent="0.2">
      <c r="A57" t="s">
        <v>56</v>
      </c>
      <c r="B57" s="25">
        <f>B10+B14+B18+B23+B28+B33+B38+B42+B47+B52</f>
        <v>12438.846650000001</v>
      </c>
      <c r="C57" s="25">
        <f t="shared" ref="C57:G58" si="0">C10+C14+C18+C23+C28+C33+C38+C42+C47+C52</f>
        <v>12530.896421671951</v>
      </c>
      <c r="D57" s="25">
        <f t="shared" si="0"/>
        <v>12647.516278423904</v>
      </c>
      <c r="E57" s="25">
        <f t="shared" si="0"/>
        <v>12733.252672024506</v>
      </c>
      <c r="F57" s="25">
        <f t="shared" si="0"/>
        <v>12811.822330545101</v>
      </c>
      <c r="G57" s="25">
        <f t="shared" si="0"/>
        <v>12898.720141882282</v>
      </c>
      <c r="H57" s="25">
        <f t="shared" ref="H57:K57" si="1">H10+H14+H18+H23+H28+H33+H38+H42+H47+H52</f>
        <v>13188.308976609733</v>
      </c>
      <c r="I57" s="25">
        <f t="shared" si="1"/>
        <v>13498.5</v>
      </c>
      <c r="J57" s="25">
        <f t="shared" si="1"/>
        <v>13644.850011255932</v>
      </c>
      <c r="K57" s="25">
        <f t="shared" si="1"/>
        <v>13792.879504920953</v>
      </c>
    </row>
    <row r="58" spans="1:11" x14ac:dyDescent="0.2">
      <c r="A58" t="s">
        <v>52</v>
      </c>
      <c r="B58" s="25">
        <f>B11+B15+B19+B24+B29+B34+B39+B43+B48+B53</f>
        <v>271869208.26999998</v>
      </c>
      <c r="C58" s="25">
        <f t="shared" si="0"/>
        <v>278419409.91700006</v>
      </c>
      <c r="D58" s="25">
        <f t="shared" si="0"/>
        <v>273767432.33925796</v>
      </c>
      <c r="E58" s="25">
        <f t="shared" si="0"/>
        <v>282638929.30000001</v>
      </c>
      <c r="F58" s="25">
        <f t="shared" si="0"/>
        <v>284646658.80200005</v>
      </c>
      <c r="G58" s="25">
        <f t="shared" si="0"/>
        <v>285243240.10868824</v>
      </c>
      <c r="H58" s="25">
        <f t="shared" ref="H58:K58" si="2">H11+H15+H19+H24+H29+H34+H39+H43+H48+H53</f>
        <v>294827466.07639998</v>
      </c>
      <c r="I58" s="25">
        <f t="shared" si="2"/>
        <v>270576406.03905129</v>
      </c>
      <c r="J58" s="25">
        <f t="shared" si="2"/>
        <v>285828515.7452001</v>
      </c>
      <c r="K58" s="25">
        <f t="shared" si="2"/>
        <v>284912070.50400066</v>
      </c>
    </row>
    <row r="59" spans="1:11" x14ac:dyDescent="0.2">
      <c r="A59" t="s">
        <v>55</v>
      </c>
      <c r="B59" s="25">
        <f>B20+B25+B30+B35+B44+B49+B54</f>
        <v>461996.97838560294</v>
      </c>
      <c r="C59" s="25">
        <f t="shared" ref="C59:G59" si="3">C20+C25+C30+C35+C44+C49+C54</f>
        <v>457735.29657483113</v>
      </c>
      <c r="D59" s="25">
        <f t="shared" si="3"/>
        <v>465540.00109609246</v>
      </c>
      <c r="E59" s="25">
        <f t="shared" si="3"/>
        <v>472585.16575525771</v>
      </c>
      <c r="F59" s="25">
        <f t="shared" si="3"/>
        <v>487042.48200745799</v>
      </c>
      <c r="G59" s="25">
        <f t="shared" si="3"/>
        <v>494063.23034709378</v>
      </c>
      <c r="H59" s="25">
        <f t="shared" ref="H59:K59" si="4">H20+H25+H30+H35+H44+H49+H54</f>
        <v>475518.3471404782</v>
      </c>
      <c r="I59" s="25">
        <f t="shared" si="4"/>
        <v>467045.1892651621</v>
      </c>
      <c r="J59" s="25">
        <f t="shared" si="4"/>
        <v>464335.54063053918</v>
      </c>
      <c r="K59" s="25">
        <f t="shared" si="4"/>
        <v>460185.4217842397</v>
      </c>
    </row>
    <row r="60" spans="1:11" x14ac:dyDescent="0.2">
      <c r="B60" s="30"/>
      <c r="C60" s="115"/>
      <c r="D60" s="21"/>
      <c r="E60" s="21"/>
      <c r="F60" s="21"/>
    </row>
    <row r="61" spans="1:11" x14ac:dyDescent="0.2">
      <c r="B61"/>
      <c r="H61" s="55"/>
    </row>
    <row r="62" spans="1:11" x14ac:dyDescent="0.2">
      <c r="B62"/>
      <c r="K62" s="55"/>
    </row>
    <row r="63" spans="1:11" x14ac:dyDescent="0.2">
      <c r="B63"/>
      <c r="K63" s="55"/>
    </row>
    <row r="64" spans="1:11" x14ac:dyDescent="0.2">
      <c r="B64"/>
      <c r="K64" s="55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</sheetData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opLeftCell="A28" workbookViewId="0">
      <selection activeCell="H46" sqref="H46"/>
    </sheetView>
  </sheetViews>
  <sheetFormatPr defaultRowHeight="12.75" x14ac:dyDescent="0.2"/>
  <cols>
    <col min="1" max="1" width="41.7109375" customWidth="1"/>
    <col min="2" max="2" width="14" style="71" bestFit="1" customWidth="1"/>
    <col min="3" max="3" width="14" bestFit="1" customWidth="1"/>
    <col min="4" max="6" width="12.7109375" style="30" bestFit="1" customWidth="1"/>
    <col min="7" max="8" width="12.7109375" bestFit="1" customWidth="1"/>
    <col min="9" max="9" width="13.42578125" bestFit="1" customWidth="1"/>
    <col min="10" max="11" width="12.7109375" bestFit="1" customWidth="1"/>
    <col min="13" max="13" width="11.42578125" bestFit="1" customWidth="1"/>
  </cols>
  <sheetData>
    <row r="1" spans="1:11" ht="15.75" x14ac:dyDescent="0.25">
      <c r="A1" s="42" t="s">
        <v>253</v>
      </c>
      <c r="B1" s="30"/>
    </row>
    <row r="2" spans="1:11" x14ac:dyDescent="0.2">
      <c r="B2" s="30"/>
    </row>
    <row r="3" spans="1:11" x14ac:dyDescent="0.2">
      <c r="B3" s="114" t="s">
        <v>73</v>
      </c>
      <c r="C3" s="44" t="s">
        <v>72</v>
      </c>
      <c r="D3" s="114" t="s">
        <v>71</v>
      </c>
      <c r="E3" s="44" t="s">
        <v>173</v>
      </c>
      <c r="F3" s="44" t="s">
        <v>174</v>
      </c>
      <c r="G3" s="114" t="s">
        <v>175</v>
      </c>
      <c r="H3" s="114" t="s">
        <v>176</v>
      </c>
      <c r="I3" s="114" t="s">
        <v>266</v>
      </c>
      <c r="J3" s="44" t="s">
        <v>177</v>
      </c>
      <c r="K3" s="44" t="s">
        <v>178</v>
      </c>
    </row>
    <row r="4" spans="1:11" x14ac:dyDescent="0.2">
      <c r="A4" s="17" t="s">
        <v>57</v>
      </c>
      <c r="B4" s="27">
        <v>1470488791.4400001</v>
      </c>
      <c r="C4" s="27">
        <v>1473294837.73</v>
      </c>
      <c r="D4" s="27">
        <v>1481727956.7770286</v>
      </c>
      <c r="E4" s="27">
        <v>1479631641</v>
      </c>
      <c r="F4" s="27">
        <v>1478604265.9999998</v>
      </c>
      <c r="G4" s="27">
        <v>1483863362.230386</v>
      </c>
      <c r="H4" s="27">
        <v>1424060763</v>
      </c>
      <c r="I4" s="55">
        <f>'Purchased Power Model'!D161</f>
        <v>1357075175</v>
      </c>
    </row>
    <row r="5" spans="1:11" x14ac:dyDescent="0.2">
      <c r="B5" s="114"/>
      <c r="C5" s="44"/>
      <c r="D5" s="114"/>
      <c r="E5" s="44"/>
      <c r="F5" s="44"/>
      <c r="G5" s="114"/>
      <c r="H5" s="114"/>
    </row>
    <row r="6" spans="1:11" x14ac:dyDescent="0.2">
      <c r="A6" s="17" t="s">
        <v>118</v>
      </c>
      <c r="B6" s="6">
        <v>1428999865.8108106</v>
      </c>
      <c r="C6" s="6">
        <v>1427066490.6084332</v>
      </c>
      <c r="D6" s="25">
        <v>1447672426.0250552</v>
      </c>
      <c r="E6" s="25">
        <v>1462841921.3928554</v>
      </c>
      <c r="F6" s="25">
        <v>1445783496.5731981</v>
      </c>
      <c r="G6" s="25">
        <v>1464942122.4562209</v>
      </c>
      <c r="H6" s="25">
        <v>1381250255.783798</v>
      </c>
      <c r="I6" s="55">
        <f>SUM('Rate Class Energy Model'!H27:S27)</f>
        <v>1326098503.6575634</v>
      </c>
    </row>
    <row r="7" spans="1:11" x14ac:dyDescent="0.2">
      <c r="A7" s="17" t="s">
        <v>119</v>
      </c>
      <c r="B7" s="222">
        <v>36195843.353415452</v>
      </c>
      <c r="C7" s="222">
        <v>37787891.162206024</v>
      </c>
      <c r="D7" s="222">
        <v>31782231.496466897</v>
      </c>
      <c r="E7" s="222">
        <v>43655943.699268639</v>
      </c>
      <c r="F7" s="222">
        <v>51508549.776632063</v>
      </c>
      <c r="G7" s="222">
        <v>51165899.819783472</v>
      </c>
      <c r="H7" s="222">
        <v>56963024.321739241</v>
      </c>
      <c r="I7" s="222">
        <f>'Rate Class Energy Model'!U27</f>
        <v>58104381.490000002</v>
      </c>
    </row>
    <row r="8" spans="1:11" x14ac:dyDescent="0.2">
      <c r="A8" s="17" t="s">
        <v>117</v>
      </c>
      <c r="B8" s="27">
        <f>SUM(B6:B7)</f>
        <v>1465195709.1642261</v>
      </c>
      <c r="C8" s="27">
        <f>SUM(C6:C7)</f>
        <v>1464854381.7706392</v>
      </c>
      <c r="D8" s="27">
        <f t="shared" ref="D8:I8" si="0">SUM(D6:D7)</f>
        <v>1479454657.521522</v>
      </c>
      <c r="E8" s="27">
        <f t="shared" si="0"/>
        <v>1506497865.092124</v>
      </c>
      <c r="F8" s="27">
        <f t="shared" si="0"/>
        <v>1497292046.3498302</v>
      </c>
      <c r="G8" s="27">
        <f t="shared" si="0"/>
        <v>1516108022.2760043</v>
      </c>
      <c r="H8" s="27">
        <f t="shared" si="0"/>
        <v>1438213280.1055372</v>
      </c>
      <c r="I8" s="27">
        <f t="shared" si="0"/>
        <v>1384202885.1475635</v>
      </c>
    </row>
    <row r="9" spans="1:11" x14ac:dyDescent="0.2">
      <c r="A9" s="17"/>
      <c r="B9" s="30"/>
      <c r="C9" s="161"/>
    </row>
    <row r="10" spans="1:11" ht="15.75" x14ac:dyDescent="0.25">
      <c r="A10" s="42" t="s">
        <v>59</v>
      </c>
      <c r="B10" s="30"/>
      <c r="C10" s="161"/>
      <c r="D10" s="21"/>
      <c r="E10" s="21"/>
      <c r="F10" s="21"/>
    </row>
    <row r="11" spans="1:11" x14ac:dyDescent="0.2">
      <c r="A11" s="41" t="s">
        <v>1</v>
      </c>
      <c r="B11" s="30"/>
      <c r="C11" s="161"/>
      <c r="D11" s="21"/>
      <c r="E11" s="21"/>
      <c r="F11" s="21"/>
    </row>
    <row r="12" spans="1:11" x14ac:dyDescent="0.2">
      <c r="A12" t="s">
        <v>51</v>
      </c>
      <c r="B12" s="25">
        <v>44920.5</v>
      </c>
      <c r="C12" s="6">
        <v>45780.5</v>
      </c>
      <c r="D12" s="25">
        <v>46283.5</v>
      </c>
      <c r="E12" s="25">
        <v>46638</v>
      </c>
      <c r="F12" s="25">
        <v>46943.5</v>
      </c>
      <c r="G12" s="25">
        <v>47322</v>
      </c>
      <c r="H12" s="25">
        <v>47829.5</v>
      </c>
      <c r="I12" s="25">
        <f>AVERAGE('Rate Class Customer Model'!B66:B67)</f>
        <v>48376</v>
      </c>
      <c r="J12" s="25">
        <f>I12/Summary!I16*Summary!J16</f>
        <v>48966.095193839305</v>
      </c>
      <c r="K12" s="25">
        <f>I12/Summary!I16*Summary!K16</f>
        <v>49563.38842674328</v>
      </c>
    </row>
    <row r="13" spans="1:11" x14ac:dyDescent="0.2">
      <c r="A13" t="s">
        <v>52</v>
      </c>
      <c r="B13" s="25">
        <v>396266835.39498103</v>
      </c>
      <c r="C13" s="53">
        <v>396556720.36740702</v>
      </c>
      <c r="D13" s="25">
        <v>399587578.131836</v>
      </c>
      <c r="E13" s="25">
        <v>384916687.52999997</v>
      </c>
      <c r="F13" s="25">
        <v>395480270.08000004</v>
      </c>
      <c r="G13" s="25">
        <v>401332021.95999998</v>
      </c>
      <c r="H13" s="25">
        <f>'Rate Class Energy Model'!H26</f>
        <v>396571029.72890007</v>
      </c>
      <c r="I13" s="25">
        <f>'Rate Class Energy Model'!H27</f>
        <v>374247658.30999994</v>
      </c>
      <c r="J13" s="25">
        <f>J12/Summary!J16*Summary!J17</f>
        <v>390317677.70689148</v>
      </c>
      <c r="K13" s="25">
        <f>K12/Summary!K16*Summary!K17</f>
        <v>389779994.58054686</v>
      </c>
    </row>
    <row r="14" spans="1:11" x14ac:dyDescent="0.2">
      <c r="B14" s="30"/>
      <c r="C14" s="53"/>
    </row>
    <row r="15" spans="1:11" x14ac:dyDescent="0.2">
      <c r="A15" s="41" t="s">
        <v>138</v>
      </c>
      <c r="B15" s="30"/>
      <c r="C15" s="224"/>
      <c r="D15" s="21"/>
      <c r="E15" s="21"/>
      <c r="F15" s="21"/>
      <c r="G15" s="25"/>
    </row>
    <row r="16" spans="1:11" ht="13.5" customHeight="1" x14ac:dyDescent="0.2">
      <c r="A16" t="s">
        <v>51</v>
      </c>
      <c r="B16" s="25">
        <v>4604</v>
      </c>
      <c r="C16" s="6">
        <v>4629.5</v>
      </c>
      <c r="D16" s="25">
        <v>4661</v>
      </c>
      <c r="E16" s="25">
        <v>4696</v>
      </c>
      <c r="F16" s="25">
        <v>4759</v>
      </c>
      <c r="G16" s="25">
        <v>4851.5</v>
      </c>
      <c r="H16" s="25">
        <v>4921</v>
      </c>
      <c r="I16" s="25">
        <f>AVERAGE('Rate Class Customer Model'!C66:C67)</f>
        <v>4958.5</v>
      </c>
      <c r="J16" s="25">
        <f>I16/Summary!I20*Summary!J20</f>
        <v>5018.4896590829912</v>
      </c>
      <c r="K16" s="25">
        <f>I16/Summary!I20*Summary!K20</f>
        <v>5079.2050939443216</v>
      </c>
    </row>
    <row r="17" spans="1:13" x14ac:dyDescent="0.2">
      <c r="A17" t="s">
        <v>52</v>
      </c>
      <c r="B17" s="25">
        <v>163479892.81864899</v>
      </c>
      <c r="C17" s="6">
        <v>158322069.24360299</v>
      </c>
      <c r="D17" s="25">
        <v>158595034.37600499</v>
      </c>
      <c r="E17" s="25">
        <v>156590626.41999999</v>
      </c>
      <c r="F17" s="25">
        <v>160543970.72</v>
      </c>
      <c r="G17" s="25">
        <v>167151503.62</v>
      </c>
      <c r="H17" s="25">
        <f>'Rate Class Energy Model'!I26</f>
        <v>170125866.85190004</v>
      </c>
      <c r="I17" s="25">
        <f>'Rate Class Energy Model'!I27</f>
        <v>152251310.46000001</v>
      </c>
      <c r="J17" s="25">
        <f>J16/Summary!J20*Summary!J21</f>
        <v>149618630.04995441</v>
      </c>
      <c r="K17" s="25">
        <f>K16/Summary!K20*Summary!K21</f>
        <v>152724958.40449628</v>
      </c>
    </row>
    <row r="18" spans="1:13" x14ac:dyDescent="0.2">
      <c r="B18" s="25"/>
      <c r="C18" s="161"/>
    </row>
    <row r="19" spans="1:13" x14ac:dyDescent="0.2">
      <c r="A19" s="41" t="s">
        <v>139</v>
      </c>
      <c r="B19" s="25"/>
      <c r="C19" s="161"/>
      <c r="D19" s="21"/>
      <c r="E19" s="21"/>
      <c r="F19" s="21"/>
    </row>
    <row r="20" spans="1:13" x14ac:dyDescent="0.2">
      <c r="A20" t="s">
        <v>51</v>
      </c>
      <c r="B20" s="25">
        <v>708</v>
      </c>
      <c r="C20" s="6">
        <v>723.5</v>
      </c>
      <c r="D20" s="25">
        <v>736.5</v>
      </c>
      <c r="E20" s="25">
        <v>736</v>
      </c>
      <c r="F20" s="25">
        <v>719</v>
      </c>
      <c r="G20" s="25">
        <v>695.93676085582752</v>
      </c>
      <c r="H20" s="25">
        <v>692.93676085582752</v>
      </c>
      <c r="I20" s="25">
        <f>AVERAGE('Rate Class Customer Model'!D66:D67)</f>
        <v>688.5</v>
      </c>
      <c r="J20" s="25">
        <f>I20/Summary!I24*Summary!J24</f>
        <v>690.40001141853054</v>
      </c>
      <c r="K20" s="25">
        <f>I20/Summary!I24*Summary!K24</f>
        <v>692.30526618258102</v>
      </c>
    </row>
    <row r="21" spans="1:13" x14ac:dyDescent="0.2">
      <c r="A21" t="s">
        <v>52</v>
      </c>
      <c r="B21" s="25">
        <v>426513755.56307799</v>
      </c>
      <c r="C21" s="6">
        <v>437159036.082142</v>
      </c>
      <c r="D21" s="25">
        <v>437401279.48903602</v>
      </c>
      <c r="E21" s="25">
        <v>452357522.44387102</v>
      </c>
      <c r="F21" s="25">
        <v>426495390.96838707</v>
      </c>
      <c r="G21" s="25">
        <v>436415952.41462064</v>
      </c>
      <c r="H21" s="25">
        <f>'Rate Class Energy Model'!J26</f>
        <v>416114898.05560005</v>
      </c>
      <c r="I21" s="25">
        <f>'Rate Class Energy Model'!J27</f>
        <v>424072679.95784116</v>
      </c>
      <c r="J21" s="25">
        <f>J20/Summary!J24*Summary!J25</f>
        <v>426312361.67025787</v>
      </c>
      <c r="K21" s="25">
        <f>K20/Summary!K24*Summary!K25</f>
        <v>424939740.18368328</v>
      </c>
    </row>
    <row r="22" spans="1:13" x14ac:dyDescent="0.2">
      <c r="A22" t="s">
        <v>53</v>
      </c>
      <c r="B22" s="25">
        <v>1294863.05220355</v>
      </c>
      <c r="C22" s="6">
        <v>1331831.0365679199</v>
      </c>
      <c r="D22" s="25">
        <v>1350651.40979942</v>
      </c>
      <c r="E22" s="25">
        <v>1335995.0860256497</v>
      </c>
      <c r="F22" s="25">
        <v>1364263.1754654762</v>
      </c>
      <c r="G22" s="25">
        <v>1332729.5398522706</v>
      </c>
      <c r="H22" s="25">
        <v>1327240.33</v>
      </c>
      <c r="I22" s="25">
        <f>'Rate Class Load Model'!B21</f>
        <v>1295209.3899999999</v>
      </c>
      <c r="J22" s="25">
        <f>J20/Summary!J24*Summary!J26</f>
        <v>1345424.9868363908</v>
      </c>
      <c r="K22" s="69">
        <f>K20/Summary!K24*Summary!K26</f>
        <v>1341093.0476022796</v>
      </c>
      <c r="M22" s="55"/>
    </row>
    <row r="23" spans="1:13" x14ac:dyDescent="0.2">
      <c r="B23" s="30"/>
      <c r="C23" s="161"/>
    </row>
    <row r="24" spans="1:13" x14ac:dyDescent="0.2">
      <c r="A24" s="41" t="s">
        <v>140</v>
      </c>
      <c r="B24" s="25"/>
      <c r="C24" s="161"/>
      <c r="E24" s="21"/>
      <c r="F24" s="21"/>
    </row>
    <row r="25" spans="1:13" x14ac:dyDescent="0.2">
      <c r="A25" t="s">
        <v>51</v>
      </c>
      <c r="B25" s="25">
        <v>26</v>
      </c>
      <c r="C25" s="6">
        <v>28</v>
      </c>
      <c r="D25" s="25">
        <v>27</v>
      </c>
      <c r="E25" s="25">
        <v>24.5</v>
      </c>
      <c r="F25" s="25">
        <v>24</v>
      </c>
      <c r="G25" s="25">
        <v>23.5</v>
      </c>
      <c r="H25" s="25">
        <v>22.5</v>
      </c>
      <c r="I25" s="25">
        <f>AVERAGE('Rate Class Customer Model'!E66:E67)</f>
        <v>22</v>
      </c>
      <c r="J25" s="25">
        <f>I25/Summary!I29*Summary!J29</f>
        <v>21.602014166037051</v>
      </c>
      <c r="K25" s="25">
        <f>I25/Summary!I29*Summary!K29</f>
        <v>21.211228001348431</v>
      </c>
    </row>
    <row r="26" spans="1:13" x14ac:dyDescent="0.2">
      <c r="A26" t="s">
        <v>52</v>
      </c>
      <c r="B26" s="25">
        <v>220917668.45862401</v>
      </c>
      <c r="C26" s="6">
        <v>240767174.87713</v>
      </c>
      <c r="D26" s="25">
        <v>226229939.170288</v>
      </c>
      <c r="E26" s="25">
        <v>239339190.17000002</v>
      </c>
      <c r="F26" s="25">
        <v>232446554.61000001</v>
      </c>
      <c r="G26" s="25">
        <v>227449908.25904667</v>
      </c>
      <c r="H26" s="25">
        <f>'Rate Class Energy Model'!K26</f>
        <v>223127015.06999996</v>
      </c>
      <c r="I26" s="25">
        <f>'Rate Class Energy Model'!K27</f>
        <v>207211616.07262492</v>
      </c>
      <c r="J26" s="25">
        <f>J25/Summary!J29*Summary!J30</f>
        <v>185069636.77067548</v>
      </c>
      <c r="K26" s="25">
        <f>K25/Summary!K29*Summary!K30</f>
        <v>180226349.47040987</v>
      </c>
    </row>
    <row r="27" spans="1:13" x14ac:dyDescent="0.2">
      <c r="A27" t="s">
        <v>53</v>
      </c>
      <c r="B27" s="25">
        <v>570059.72519999999</v>
      </c>
      <c r="C27" s="6">
        <v>582382.60674197297</v>
      </c>
      <c r="D27" s="25">
        <v>527946.71947526897</v>
      </c>
      <c r="E27" s="25">
        <v>502672.54999999993</v>
      </c>
      <c r="F27" s="25">
        <v>498922.62</v>
      </c>
      <c r="G27" s="25">
        <v>485225.93999999994</v>
      </c>
      <c r="H27" s="25">
        <v>529211.76</v>
      </c>
      <c r="I27" s="25">
        <f>'Rate Class Load Model'!C21</f>
        <v>466699.17000000004</v>
      </c>
      <c r="J27" s="25">
        <f>J25/Summary!J29*Summary!J31</f>
        <v>434343.27123416186</v>
      </c>
      <c r="K27" s="25">
        <f>K25/Summary!K29*Summary!K31</f>
        <v>422976.47284285718</v>
      </c>
      <c r="M27" s="432"/>
    </row>
    <row r="28" spans="1:13" x14ac:dyDescent="0.2">
      <c r="B28" s="30"/>
      <c r="C28" s="161"/>
    </row>
    <row r="29" spans="1:13" x14ac:dyDescent="0.2">
      <c r="A29" s="41" t="s">
        <v>113</v>
      </c>
      <c r="B29" s="30"/>
      <c r="C29" s="161"/>
      <c r="D29" s="21"/>
      <c r="E29" s="21"/>
      <c r="F29" s="21"/>
      <c r="G29" s="25"/>
    </row>
    <row r="30" spans="1:13" x14ac:dyDescent="0.2">
      <c r="A30" t="s">
        <v>51</v>
      </c>
      <c r="B30" s="25">
        <f>Summary!B34</f>
        <v>2</v>
      </c>
      <c r="C30" s="25">
        <f>Summary!C34</f>
        <v>2</v>
      </c>
      <c r="D30" s="25">
        <f>Summary!D34</f>
        <v>2</v>
      </c>
      <c r="E30" s="25">
        <f>Summary!E34</f>
        <v>2.5</v>
      </c>
      <c r="F30" s="25">
        <f>Summary!F34</f>
        <v>2.5</v>
      </c>
      <c r="G30" s="25">
        <f>Summary!G34</f>
        <v>2</v>
      </c>
      <c r="H30" s="25">
        <f>Summary!H34</f>
        <v>2</v>
      </c>
      <c r="I30" s="25">
        <f>Summary!I34</f>
        <v>2</v>
      </c>
      <c r="J30" s="25">
        <f>Summary!J34</f>
        <v>2</v>
      </c>
      <c r="K30" s="25">
        <f>Summary!K34</f>
        <v>2</v>
      </c>
    </row>
    <row r="31" spans="1:13" x14ac:dyDescent="0.2">
      <c r="A31" t="s">
        <v>52</v>
      </c>
      <c r="B31" s="25">
        <f>Summary!B35</f>
        <v>196557280.622706</v>
      </c>
      <c r="C31" s="25">
        <f>Summary!C35</f>
        <v>169195800.19187</v>
      </c>
      <c r="D31" s="25">
        <f>Summary!D35</f>
        <v>201189505.21250001</v>
      </c>
      <c r="E31" s="25">
        <f>Summary!E35</f>
        <v>204906256.95999998</v>
      </c>
      <c r="F31" s="25">
        <f>Summary!F35</f>
        <v>205265394.56999999</v>
      </c>
      <c r="G31" s="25">
        <f>Summary!G35</f>
        <v>207374361.59</v>
      </c>
      <c r="H31" s="25">
        <f>Summary!H35</f>
        <v>151250311.81999996</v>
      </c>
      <c r="I31" s="25">
        <f>Summary!I35</f>
        <v>146226388.16</v>
      </c>
      <c r="J31" s="25">
        <f>Summary!J35</f>
        <v>145628457.4468382</v>
      </c>
      <c r="K31" s="25">
        <f>Summary!K35</f>
        <v>145141006.46077192</v>
      </c>
    </row>
    <row r="32" spans="1:13" x14ac:dyDescent="0.2">
      <c r="A32" t="s">
        <v>53</v>
      </c>
      <c r="B32" s="25">
        <f>Summary!B36</f>
        <v>421436.3223</v>
      </c>
      <c r="C32" s="25">
        <f>Summary!C36</f>
        <v>431698.8584427</v>
      </c>
      <c r="D32" s="25">
        <f>Summary!D36</f>
        <v>483777.43670654303</v>
      </c>
      <c r="E32" s="25">
        <f>Summary!E36</f>
        <v>425911.83</v>
      </c>
      <c r="F32" s="25">
        <f>Summary!F36</f>
        <v>457866.89653992082</v>
      </c>
      <c r="G32" s="25">
        <f>Summary!G36</f>
        <v>430086.51000000007</v>
      </c>
      <c r="H32" s="25">
        <f>Summary!H36</f>
        <v>358566.19</v>
      </c>
      <c r="I32" s="25">
        <f>Summary!I36</f>
        <v>348189.01999999996</v>
      </c>
      <c r="J32" s="25">
        <f>Summary!J36</f>
        <v>331944.32251332153</v>
      </c>
      <c r="K32" s="25">
        <f>Summary!K36</f>
        <v>361276.31069675618</v>
      </c>
    </row>
    <row r="33" spans="1:12" x14ac:dyDescent="0.2">
      <c r="B33" s="25"/>
      <c r="C33" s="161"/>
    </row>
    <row r="34" spans="1:12" x14ac:dyDescent="0.2">
      <c r="A34" s="41" t="s">
        <v>112</v>
      </c>
      <c r="B34" s="25"/>
      <c r="C34" s="161"/>
      <c r="D34" s="21"/>
      <c r="E34" s="21"/>
      <c r="F34" s="21"/>
    </row>
    <row r="35" spans="1:12" x14ac:dyDescent="0.2">
      <c r="A35" t="s">
        <v>51</v>
      </c>
      <c r="B35" s="25">
        <f>Summary!B39</f>
        <v>4</v>
      </c>
      <c r="C35" s="25">
        <f>Summary!C39</f>
        <v>4</v>
      </c>
      <c r="D35" s="25">
        <f>Summary!D39</f>
        <v>4</v>
      </c>
      <c r="E35" s="25">
        <f>Summary!E39</f>
        <v>4</v>
      </c>
      <c r="F35" s="25">
        <f>Summary!F39</f>
        <v>4</v>
      </c>
      <c r="G35" s="25">
        <f>Summary!G39</f>
        <v>4</v>
      </c>
      <c r="H35" s="25">
        <f>Summary!H39</f>
        <v>4</v>
      </c>
      <c r="I35" s="25">
        <f>Summary!I39</f>
        <v>4</v>
      </c>
      <c r="J35" s="25">
        <f>Summary!J39</f>
        <v>4</v>
      </c>
      <c r="K35" s="25">
        <f>Summary!K39</f>
        <v>4</v>
      </c>
    </row>
    <row r="36" spans="1:12" x14ac:dyDescent="0.2">
      <c r="A36" t="s">
        <v>53</v>
      </c>
      <c r="B36" s="25">
        <f>Summary!B40</f>
        <v>75928.2</v>
      </c>
      <c r="C36" s="25">
        <f>Summary!C40</f>
        <v>81847.960000000006</v>
      </c>
      <c r="D36" s="25">
        <f>Summary!D40</f>
        <v>81650.759999999995</v>
      </c>
      <c r="E36" s="25">
        <f>Summary!E40</f>
        <v>73573.420000000013</v>
      </c>
      <c r="F36" s="25">
        <f>Summary!F40</f>
        <v>69660.58</v>
      </c>
      <c r="G36" s="25">
        <f>Summary!G40</f>
        <v>69115.460000000006</v>
      </c>
      <c r="H36" s="25">
        <f>Summary!H40</f>
        <v>70836.33</v>
      </c>
      <c r="I36" s="25">
        <f>Summary!I40</f>
        <v>67941.700000000012</v>
      </c>
      <c r="J36" s="25">
        <f>Summary!J40</f>
        <v>67941.700000000012</v>
      </c>
      <c r="K36" s="69">
        <f>Summary!K40</f>
        <v>67941.700000000012</v>
      </c>
    </row>
    <row r="37" spans="1:12" x14ac:dyDescent="0.2">
      <c r="B37" s="25"/>
      <c r="C37" s="161"/>
      <c r="D37" s="25"/>
    </row>
    <row r="38" spans="1:12" x14ac:dyDescent="0.2">
      <c r="A38" s="41" t="s">
        <v>66</v>
      </c>
      <c r="B38" s="30"/>
      <c r="C38" s="161"/>
      <c r="D38" s="21"/>
      <c r="E38" s="21"/>
      <c r="F38" s="21"/>
    </row>
    <row r="39" spans="1:12" x14ac:dyDescent="0.2">
      <c r="A39" t="s">
        <v>54</v>
      </c>
      <c r="B39" s="25">
        <v>12558.5</v>
      </c>
      <c r="C39" s="6">
        <v>12623.5</v>
      </c>
      <c r="D39" s="25">
        <v>12722</v>
      </c>
      <c r="E39" s="25">
        <v>12813.073785272187</v>
      </c>
      <c r="F39" s="25">
        <v>12872.073785272187</v>
      </c>
      <c r="G39" s="25">
        <v>12898.5</v>
      </c>
      <c r="H39" s="25">
        <v>12942.5</v>
      </c>
      <c r="I39" s="25">
        <f>AVERAGE('Rate Class Customer Model'!G66:G67)</f>
        <v>13094.5</v>
      </c>
      <c r="J39" s="25">
        <f>I39/Summary!I43*Summary!J43</f>
        <v>13190.396804698621</v>
      </c>
      <c r="K39" s="25">
        <f>I39/Summary!I43*Summary!K43</f>
        <v>13286.995904036321</v>
      </c>
    </row>
    <row r="40" spans="1:12" x14ac:dyDescent="0.2">
      <c r="A40" t="s">
        <v>52</v>
      </c>
      <c r="B40" s="25">
        <v>9519205.9225450996</v>
      </c>
      <c r="C40" s="6">
        <v>9519485.5138937496</v>
      </c>
      <c r="D40" s="25">
        <v>9645171.1912231408</v>
      </c>
      <c r="E40" s="25">
        <v>9566349.8299999982</v>
      </c>
      <c r="F40" s="25">
        <v>9696634.4700000007</v>
      </c>
      <c r="G40" s="25">
        <v>9696633.3400000017</v>
      </c>
      <c r="H40" s="25">
        <f>'Rate Class Energy Model'!M26</f>
        <v>9646646.8700000253</v>
      </c>
      <c r="I40" s="25">
        <f>'Rate Class Energy Model'!M27</f>
        <v>7627852.4800000004</v>
      </c>
      <c r="J40" s="25">
        <f>I40/Summary!I44*Summary!J44</f>
        <v>4689706.501496491</v>
      </c>
      <c r="K40" s="25">
        <f>I40/Summary!I44*Summary!K44</f>
        <v>3458011.9712257395</v>
      </c>
    </row>
    <row r="41" spans="1:12" x14ac:dyDescent="0.2">
      <c r="A41" t="s">
        <v>53</v>
      </c>
      <c r="B41" s="25">
        <v>26613.74</v>
      </c>
      <c r="C41" s="6">
        <v>26604.0272498757</v>
      </c>
      <c r="D41" s="25">
        <v>26876.1599016972</v>
      </c>
      <c r="E41" s="25">
        <v>26970.441757714674</v>
      </c>
      <c r="F41" s="25">
        <v>27084.816091179095</v>
      </c>
      <c r="G41" s="25">
        <v>27097.358670269314</v>
      </c>
      <c r="H41" s="25">
        <v>26888.84</v>
      </c>
      <c r="I41" s="25">
        <f>'Rate Class Load Model'!E21</f>
        <v>21829.670000000002</v>
      </c>
      <c r="J41" s="25">
        <f>I41/Summary!I45*Summary!J45</f>
        <v>13421.175303658065</v>
      </c>
      <c r="K41" s="25">
        <f>I41/Summary!I45*Summary!K45</f>
        <v>9896.2663981550158</v>
      </c>
    </row>
    <row r="42" spans="1:12" x14ac:dyDescent="0.2">
      <c r="B42" s="25"/>
      <c r="C42" s="6"/>
      <c r="D42" s="25"/>
      <c r="E42" s="25"/>
      <c r="F42" s="25"/>
      <c r="G42" s="25"/>
      <c r="I42" s="25"/>
      <c r="J42" s="25"/>
      <c r="K42" s="25"/>
    </row>
    <row r="43" spans="1:12" x14ac:dyDescent="0.2">
      <c r="A43" s="41" t="s">
        <v>2</v>
      </c>
      <c r="B43" s="30"/>
      <c r="C43" s="161"/>
      <c r="D43" s="21"/>
      <c r="E43" s="21"/>
      <c r="F43" s="21"/>
    </row>
    <row r="44" spans="1:12" x14ac:dyDescent="0.2">
      <c r="A44" t="s">
        <v>54</v>
      </c>
      <c r="B44" s="25">
        <v>537.5</v>
      </c>
      <c r="C44" s="6">
        <v>514.5</v>
      </c>
      <c r="D44" s="25">
        <v>490.5</v>
      </c>
      <c r="E44" s="25">
        <v>486.5</v>
      </c>
      <c r="F44" s="25">
        <v>482</v>
      </c>
      <c r="G44" s="25">
        <v>485</v>
      </c>
      <c r="H44" s="25">
        <v>475</v>
      </c>
      <c r="I44" s="25">
        <f>AVERAGE('Rate Class Customer Model'!I66:I67)</f>
        <v>452</v>
      </c>
      <c r="J44" s="25">
        <f>I44/Summary!I53*Summary!J53</f>
        <v>452</v>
      </c>
      <c r="K44" s="25">
        <f>I44/Summary!I53*Summary!K53</f>
        <v>452</v>
      </c>
    </row>
    <row r="45" spans="1:12" x14ac:dyDescent="0.2">
      <c r="A45" t="s">
        <v>52</v>
      </c>
      <c r="B45" s="25">
        <v>2130241.9105078499</v>
      </c>
      <c r="C45" s="6">
        <v>2067610.5874618399</v>
      </c>
      <c r="D45" s="25">
        <v>2015389.59674505</v>
      </c>
      <c r="E45" s="25">
        <v>1988576.8189845479</v>
      </c>
      <c r="F45" s="25">
        <v>2009373.9548110634</v>
      </c>
      <c r="G45" s="25">
        <v>1973538.7725536495</v>
      </c>
      <c r="H45" s="25">
        <f>'Rate Class Energy Model'!O26</f>
        <v>1926179.9999999995</v>
      </c>
      <c r="I45" s="25">
        <f>'Rate Class Energy Model'!O27</f>
        <v>1855835.9970972422</v>
      </c>
      <c r="J45" s="25">
        <f>J44/Summary!J53*Summary!J54</f>
        <v>2059804.7588936943</v>
      </c>
      <c r="K45" s="25">
        <f>K44/Summary!K53*Summary!K54</f>
        <v>2059804.7588936943</v>
      </c>
    </row>
    <row r="46" spans="1:12" x14ac:dyDescent="0.2">
      <c r="B46" s="25"/>
      <c r="C46" s="161"/>
    </row>
    <row r="47" spans="1:12" x14ac:dyDescent="0.2">
      <c r="A47" s="41" t="str">
        <f>Summary!A56</f>
        <v>Embedded Distributor - Hydro One, CND</v>
      </c>
      <c r="B47" s="30"/>
      <c r="C47" s="161"/>
      <c r="D47" s="21"/>
      <c r="E47" s="21"/>
      <c r="F47" s="21"/>
      <c r="G47" s="25"/>
      <c r="H47" s="25"/>
    </row>
    <row r="48" spans="1:12" x14ac:dyDescent="0.2">
      <c r="A48" t="str">
        <f>Summary!A57</f>
        <v xml:space="preserve">  Customers </v>
      </c>
      <c r="B48" s="25">
        <f>Summary!B57</f>
        <v>2</v>
      </c>
      <c r="C48" s="25">
        <f>Summary!C57</f>
        <v>2</v>
      </c>
      <c r="D48" s="25">
        <f>Summary!D57</f>
        <v>2</v>
      </c>
      <c r="E48" s="25">
        <f>Summary!E57</f>
        <v>2</v>
      </c>
      <c r="F48" s="25">
        <f>Summary!F57</f>
        <v>2</v>
      </c>
      <c r="G48" s="25">
        <f>Summary!G57</f>
        <v>2</v>
      </c>
      <c r="H48" s="25">
        <f>Summary!H57</f>
        <v>2</v>
      </c>
      <c r="I48" s="25">
        <f>Summary!I57</f>
        <v>2</v>
      </c>
      <c r="J48" s="25">
        <f>Summary!J57</f>
        <v>2</v>
      </c>
      <c r="K48" s="25">
        <f>Summary!K57</f>
        <v>2</v>
      </c>
      <c r="L48" s="25"/>
    </row>
    <row r="49" spans="1:12" x14ac:dyDescent="0.2">
      <c r="A49" t="str">
        <f>Summary!A58</f>
        <v xml:space="preserve">  kWh</v>
      </c>
      <c r="B49" s="25">
        <f>Summary!B58</f>
        <v>13614985.1197195</v>
      </c>
      <c r="C49" s="25">
        <f>Summary!C58</f>
        <v>13478593.7449254</v>
      </c>
      <c r="D49" s="25">
        <f>Summary!D58</f>
        <v>13008528.857421899</v>
      </c>
      <c r="E49" s="25">
        <f>Summary!E58</f>
        <v>13176711.219999999</v>
      </c>
      <c r="F49" s="25">
        <f>Summary!F58</f>
        <v>13845907.199999999</v>
      </c>
      <c r="G49" s="25">
        <f>Summary!G58</f>
        <v>13548202.5</v>
      </c>
      <c r="H49" s="25">
        <f>Summary!H58</f>
        <v>13027612.079999994</v>
      </c>
      <c r="I49" s="25">
        <f>Summary!I58</f>
        <v>12605162.219999999</v>
      </c>
      <c r="J49" s="25">
        <f>Summary!J58</f>
        <v>12605162.219999999</v>
      </c>
      <c r="K49" s="25">
        <f>Summary!K58</f>
        <v>12605162.219999999</v>
      </c>
      <c r="L49" s="25"/>
    </row>
    <row r="50" spans="1:12" x14ac:dyDescent="0.2">
      <c r="A50" t="str">
        <f>Summary!A59</f>
        <v xml:space="preserve">  kW</v>
      </c>
      <c r="B50" s="25">
        <f>Summary!B59</f>
        <v>27708.199199999988</v>
      </c>
      <c r="C50" s="25">
        <f>Summary!C59</f>
        <v>28171.380953131098</v>
      </c>
      <c r="D50" s="25">
        <f>Summary!D59</f>
        <v>29053.063102722197</v>
      </c>
      <c r="E50" s="25">
        <f>Summary!E59</f>
        <v>27808.589999999997</v>
      </c>
      <c r="F50" s="25">
        <f>Summary!F59</f>
        <v>28706.47</v>
      </c>
      <c r="G50" s="25">
        <f>Summary!G59</f>
        <v>28843.22000000003</v>
      </c>
      <c r="H50" s="25">
        <f>Summary!H59</f>
        <v>27465.539999999994</v>
      </c>
      <c r="I50" s="25">
        <f>Summary!I59</f>
        <v>24387.435638304029</v>
      </c>
      <c r="J50" s="25">
        <f>Summary!J59</f>
        <v>24387.435638304029</v>
      </c>
      <c r="K50" s="25">
        <f>Summary!K59</f>
        <v>24387.435638304029</v>
      </c>
      <c r="L50" s="25"/>
    </row>
    <row r="51" spans="1:12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2" x14ac:dyDescent="0.2">
      <c r="A52" s="41" t="str">
        <f>Summary!A61</f>
        <v>Embedded Distributor - Waterloo North, CND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2" x14ac:dyDescent="0.2">
      <c r="A53" t="str">
        <f>Summary!A62</f>
        <v xml:space="preserve">  Customers </v>
      </c>
      <c r="B53" s="25">
        <f>Summary!B62</f>
        <v>1</v>
      </c>
      <c r="C53" s="25">
        <f>Summary!C62</f>
        <v>1</v>
      </c>
      <c r="D53" s="25">
        <f>Summary!D62</f>
        <v>1</v>
      </c>
      <c r="E53" s="25">
        <f>Summary!E62</f>
        <v>1</v>
      </c>
      <c r="F53" s="25">
        <f>Summary!F62</f>
        <v>1</v>
      </c>
      <c r="G53" s="25">
        <f>Summary!G62</f>
        <v>1</v>
      </c>
      <c r="H53" s="25">
        <f>Summary!H62</f>
        <v>1</v>
      </c>
      <c r="I53" s="25">
        <f>Summary!I62</f>
        <v>1</v>
      </c>
      <c r="J53" s="25">
        <f>Summary!J62</f>
        <v>1</v>
      </c>
      <c r="K53" s="25">
        <f>Summary!K62</f>
        <v>1</v>
      </c>
    </row>
    <row r="54" spans="1:12" x14ac:dyDescent="0.2">
      <c r="A54" t="str">
        <f>Summary!A63</f>
        <v xml:space="preserve">  kWh</v>
      </c>
      <c r="B54" s="25">
        <f>Summary!B63</f>
        <v>0</v>
      </c>
      <c r="C54" s="25">
        <f>Summary!C63</f>
        <v>0</v>
      </c>
      <c r="D54" s="25">
        <f>Summary!D63</f>
        <v>0</v>
      </c>
      <c r="E54" s="25">
        <f>Summary!E63</f>
        <v>45983609.929999992</v>
      </c>
      <c r="F54" s="25">
        <f>Summary!F63</f>
        <v>58781039.110000007</v>
      </c>
      <c r="G54" s="25">
        <f>Summary!G63</f>
        <v>60363735.780000001</v>
      </c>
      <c r="H54" s="25">
        <f>Summary!H63</f>
        <v>61404043.760000005</v>
      </c>
      <c r="I54" s="25">
        <f>Summary!I63</f>
        <v>58104381.490000002</v>
      </c>
      <c r="J54" s="25">
        <f>Summary!J63</f>
        <v>58104381.490000002</v>
      </c>
      <c r="K54" s="25">
        <f>Summary!K63</f>
        <v>58104381.490000002</v>
      </c>
    </row>
    <row r="55" spans="1:12" x14ac:dyDescent="0.2">
      <c r="A55" t="str">
        <f>Summary!A64</f>
        <v xml:space="preserve">  kW</v>
      </c>
      <c r="B55" s="25">
        <f>Summary!B64</f>
        <v>73663.072638679005</v>
      </c>
      <c r="C55" s="25">
        <f>Summary!C64</f>
        <v>78979.832576877903</v>
      </c>
      <c r="D55" s="25">
        <f>Summary!D64</f>
        <v>70981.983230590806</v>
      </c>
      <c r="E55" s="25">
        <f>Summary!E64</f>
        <v>92129.709999999992</v>
      </c>
      <c r="F55" s="25">
        <f>Summary!F64</f>
        <v>106790</v>
      </c>
      <c r="G55" s="25">
        <f>Summary!G64</f>
        <v>108928.78999999998</v>
      </c>
      <c r="H55" s="25">
        <f>Summary!H64</f>
        <v>121168.08</v>
      </c>
      <c r="I55" s="25">
        <f>Summary!I64</f>
        <v>114656.88436169598</v>
      </c>
      <c r="J55" s="25">
        <f>Summary!J64</f>
        <v>114656.88436169598</v>
      </c>
      <c r="K55" s="25">
        <f>Summary!K64</f>
        <v>114656.88436169598</v>
      </c>
    </row>
    <row r="56" spans="1:12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 x14ac:dyDescent="0.2">
      <c r="A57" s="41" t="s">
        <v>12</v>
      </c>
      <c r="B57" s="30"/>
      <c r="C57" s="21"/>
      <c r="D57" s="21"/>
      <c r="E57" s="21"/>
      <c r="F57" s="21"/>
      <c r="H57" s="115"/>
    </row>
    <row r="58" spans="1:12" x14ac:dyDescent="0.2">
      <c r="A58" t="s">
        <v>56</v>
      </c>
      <c r="B58" s="25">
        <f>B12+B16+B20+B25+B30+B39+B44+B48+B35+B53</f>
        <v>63363.5</v>
      </c>
      <c r="C58" s="25">
        <f t="shared" ref="C58:K58" si="1">C12+C16+C20+C25+C30+C39+C44+C48+C35+C53</f>
        <v>64308.5</v>
      </c>
      <c r="D58" s="25">
        <f t="shared" si="1"/>
        <v>64929.5</v>
      </c>
      <c r="E58" s="25">
        <f t="shared" si="1"/>
        <v>65403.573785272187</v>
      </c>
      <c r="F58" s="25">
        <f t="shared" si="1"/>
        <v>65809.073785272194</v>
      </c>
      <c r="G58" s="25">
        <f t="shared" si="1"/>
        <v>66285.436760855824</v>
      </c>
      <c r="H58" s="25">
        <f>H12+H16+H20+H25+H30+H39+H44+H48+H35+H53</f>
        <v>66892.436760855824</v>
      </c>
      <c r="I58" s="25">
        <f t="shared" si="1"/>
        <v>67600.5</v>
      </c>
      <c r="J58" s="25">
        <f t="shared" si="1"/>
        <v>68347.983683205486</v>
      </c>
      <c r="K58" s="25">
        <f t="shared" si="1"/>
        <v>69104.105918907851</v>
      </c>
    </row>
    <row r="59" spans="1:12" x14ac:dyDescent="0.2">
      <c r="A59" t="s">
        <v>52</v>
      </c>
      <c r="B59" s="25">
        <f>B13+B17+B21+B26+B31+B40+B45+B49+B54</f>
        <v>1428999865.8108106</v>
      </c>
      <c r="C59" s="25">
        <f t="shared" ref="C59:K59" si="2">C13+C17+C21+C26+C31+C40+C45+C49+C54</f>
        <v>1427066490.6084332</v>
      </c>
      <c r="D59" s="25">
        <f t="shared" si="2"/>
        <v>1447672426.0250552</v>
      </c>
      <c r="E59" s="25">
        <f t="shared" si="2"/>
        <v>1508825531.3228555</v>
      </c>
      <c r="F59" s="25">
        <f t="shared" si="2"/>
        <v>1504564535.683198</v>
      </c>
      <c r="G59" s="25">
        <f t="shared" si="2"/>
        <v>1525305858.2362208</v>
      </c>
      <c r="H59" s="25">
        <f>H13+H17+H21+H26+H31+H40+H45+H49+H54</f>
        <v>1443193604.2364001</v>
      </c>
      <c r="I59" s="25">
        <f>I13+I17+I21+I26+I31+I40+I45+I49+I54</f>
        <v>1384202885.1475635</v>
      </c>
      <c r="J59" s="25">
        <f t="shared" si="2"/>
        <v>1374405818.6150076</v>
      </c>
      <c r="K59" s="25">
        <f t="shared" si="2"/>
        <v>1369039409.5400279</v>
      </c>
    </row>
    <row r="60" spans="1:12" x14ac:dyDescent="0.2">
      <c r="A60" t="s">
        <v>55</v>
      </c>
      <c r="B60" s="25">
        <f>B22+B27+B32+B41+B50+B36+B55</f>
        <v>2490272.3115422293</v>
      </c>
      <c r="C60" s="25">
        <f t="shared" ref="C60:K60" si="3">C22+C27+C32+C41+C50+C36+C55</f>
        <v>2561515.7025324772</v>
      </c>
      <c r="D60" s="25">
        <f t="shared" si="3"/>
        <v>2570937.532216242</v>
      </c>
      <c r="E60" s="25">
        <f t="shared" si="3"/>
        <v>2485061.6277833642</v>
      </c>
      <c r="F60" s="25">
        <f t="shared" si="3"/>
        <v>2553294.5580965765</v>
      </c>
      <c r="G60" s="25">
        <f t="shared" si="3"/>
        <v>2482026.8185225399</v>
      </c>
      <c r="H60" s="25">
        <f>H22+H27+H32+H41+H50+H36+H55</f>
        <v>2461377.0700000003</v>
      </c>
      <c r="I60" s="25">
        <f t="shared" si="3"/>
        <v>2338913.27</v>
      </c>
      <c r="J60" s="25">
        <f t="shared" si="3"/>
        <v>2332119.7758875322</v>
      </c>
      <c r="K60" s="25">
        <f t="shared" si="3"/>
        <v>2342228.117540048</v>
      </c>
    </row>
    <row r="61" spans="1:12" x14ac:dyDescent="0.2">
      <c r="B61" s="30"/>
      <c r="C61" s="115"/>
      <c r="D61" s="21"/>
      <c r="E61" s="21"/>
      <c r="F61" s="21"/>
    </row>
    <row r="62" spans="1:12" x14ac:dyDescent="0.2">
      <c r="B62"/>
      <c r="I62" s="55"/>
    </row>
    <row r="63" spans="1:12" x14ac:dyDescent="0.2">
      <c r="B63"/>
    </row>
    <row r="64" spans="1:1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</sheetData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E210"/>
  <sheetViews>
    <sheetView topLeftCell="H135" workbookViewId="0">
      <selection activeCell="X157" sqref="X157"/>
    </sheetView>
  </sheetViews>
  <sheetFormatPr defaultRowHeight="12.75" x14ac:dyDescent="0.2"/>
  <cols>
    <col min="1" max="1" width="11.85546875" style="40" customWidth="1"/>
    <col min="2" max="2" width="18" style="6" customWidth="1"/>
    <col min="3" max="3" width="11.85546875" style="40" customWidth="1"/>
    <col min="4" max="5" width="18" style="6" customWidth="1"/>
    <col min="6" max="6" width="16.85546875" style="6" customWidth="1"/>
    <col min="7" max="7" width="11.7109375" style="161" customWidth="1"/>
    <col min="8" max="8" width="13.42578125" style="161" customWidth="1"/>
    <col min="9" max="9" width="10.140625" style="161" customWidth="1"/>
    <col min="10" max="10" width="12.42578125" style="161" customWidth="1"/>
    <col min="11" max="11" width="13" style="21" customWidth="1"/>
    <col min="12" max="12" width="12.42578125" style="161" customWidth="1"/>
    <col min="13" max="13" width="14.85546875" style="21" customWidth="1"/>
    <col min="14" max="14" width="12.7109375" style="21" customWidth="1"/>
    <col min="15" max="16" width="14.85546875" style="21" hidden="1" customWidth="1"/>
    <col min="17" max="17" width="12.140625" style="31" hidden="1" customWidth="1"/>
    <col min="18" max="18" width="11" style="21" hidden="1" customWidth="1"/>
    <col min="19" max="19" width="15.5703125" style="161" bestFit="1" customWidth="1"/>
    <col min="20" max="20" width="16" style="161" customWidth="1"/>
    <col min="21" max="22" width="8.42578125" style="161" customWidth="1"/>
    <col min="23" max="23" width="14.5703125" style="161" customWidth="1"/>
    <col min="24" max="24" width="8.42578125" style="161" customWidth="1"/>
    <col min="25" max="25" width="44.42578125" customWidth="1"/>
    <col min="26" max="26" width="15.5703125" bestFit="1" customWidth="1"/>
    <col min="27" max="27" width="13.7109375" bestFit="1" customWidth="1"/>
    <col min="28" max="28" width="12.5703125" bestFit="1" customWidth="1"/>
    <col min="29" max="29" width="17.140625" customWidth="1"/>
    <col min="30" max="30" width="15.42578125" customWidth="1"/>
    <col min="31" max="31" width="14.85546875" customWidth="1"/>
    <col min="32" max="32" width="14.140625" customWidth="1"/>
    <col min="33" max="34" width="42.42578125" bestFit="1" customWidth="1"/>
    <col min="35" max="35" width="15.5703125" bestFit="1" customWidth="1"/>
    <col min="36" max="36" width="26.140625" bestFit="1" customWidth="1"/>
    <col min="37" max="37" width="23" bestFit="1" customWidth="1"/>
    <col min="40" max="40" width="40.7109375" bestFit="1" customWidth="1"/>
    <col min="41" max="41" width="42.85546875" bestFit="1" customWidth="1"/>
  </cols>
  <sheetData>
    <row r="2" spans="1:30" ht="51" x14ac:dyDescent="0.2">
      <c r="A2" s="254"/>
      <c r="B2" s="206" t="s">
        <v>191</v>
      </c>
      <c r="C2" s="255" t="s">
        <v>168</v>
      </c>
      <c r="D2" s="206" t="s">
        <v>192</v>
      </c>
      <c r="E2" s="206" t="s">
        <v>193</v>
      </c>
      <c r="F2" s="206" t="s">
        <v>194</v>
      </c>
      <c r="G2" s="65" t="s">
        <v>4</v>
      </c>
      <c r="H2" s="65" t="s">
        <v>5</v>
      </c>
      <c r="I2" s="65" t="s">
        <v>6</v>
      </c>
      <c r="J2" s="65" t="s">
        <v>22</v>
      </c>
      <c r="K2" s="65" t="s">
        <v>7</v>
      </c>
      <c r="L2" s="65" t="s">
        <v>190</v>
      </c>
      <c r="M2" s="65" t="s">
        <v>109</v>
      </c>
      <c r="N2" s="65" t="s">
        <v>120</v>
      </c>
      <c r="O2" s="65" t="s">
        <v>397</v>
      </c>
      <c r="P2" s="65" t="s">
        <v>108</v>
      </c>
      <c r="Q2" s="67" t="s">
        <v>8</v>
      </c>
      <c r="R2" s="65" t="s">
        <v>110</v>
      </c>
      <c r="S2" s="65" t="s">
        <v>13</v>
      </c>
      <c r="T2" s="66" t="s">
        <v>14</v>
      </c>
      <c r="U2" s="65" t="s">
        <v>15</v>
      </c>
      <c r="V2" s="65" t="s">
        <v>111</v>
      </c>
      <c r="W2"/>
      <c r="X2"/>
      <c r="Y2" t="s">
        <v>23</v>
      </c>
    </row>
    <row r="3" spans="1:30" ht="13.5" thickBot="1" x14ac:dyDescent="0.25">
      <c r="A3" s="256">
        <v>39478</v>
      </c>
      <c r="B3" s="257">
        <v>140041421</v>
      </c>
      <c r="C3" s="257">
        <f>'WMP pivot'!J32</f>
        <v>3319566.61</v>
      </c>
      <c r="D3" s="257">
        <f t="shared" ref="D3:D22" si="0">B3-C3</f>
        <v>136721854.38999999</v>
      </c>
      <c r="E3" s="257">
        <v>27008780</v>
      </c>
      <c r="F3" s="257">
        <f t="shared" ref="F3:F55" si="1">D3+E3</f>
        <v>163730634.38999999</v>
      </c>
      <c r="G3" s="258">
        <v>676.8</v>
      </c>
      <c r="H3" s="258">
        <v>0</v>
      </c>
      <c r="I3" s="259">
        <v>31</v>
      </c>
      <c r="J3" s="259">
        <v>0</v>
      </c>
      <c r="K3" s="257">
        <v>352</v>
      </c>
      <c r="L3" s="259">
        <v>0</v>
      </c>
      <c r="M3" s="260">
        <v>34.6</v>
      </c>
      <c r="N3" s="257">
        <f>'CDM Activity '!H84</f>
        <v>632983.38990570104</v>
      </c>
      <c r="O3" s="431">
        <v>1</v>
      </c>
      <c r="P3" s="257">
        <v>656.3</v>
      </c>
      <c r="Q3" s="261">
        <v>139.96642175819056</v>
      </c>
      <c r="R3" s="257" t="e">
        <f>#REF!+(R8-#REF!)/12</f>
        <v>#REF!</v>
      </c>
      <c r="S3" s="259">
        <f t="shared" ref="S3:S34" si="2">$Z$18+$Z$19*G3+$Z$20*H3+$Z$21*I3+$Z$22*J3+$Z$23*K3+$Z$24*L3+$Z$25*M3</f>
        <v>158611464.80108961</v>
      </c>
      <c r="T3" s="48">
        <f t="shared" ref="T3:T34" si="3">S3-F3</f>
        <v>-5119169.5889103711</v>
      </c>
      <c r="U3" s="109">
        <f t="shared" ref="U3:U34" si="4">T3/D3</f>
        <v>-3.7442218815346859E-2</v>
      </c>
      <c r="V3" s="13">
        <f t="shared" ref="V3:V62" si="5">ABS(U3)</f>
        <v>3.7442218815346859E-2</v>
      </c>
      <c r="W3" s="13"/>
      <c r="X3" s="13"/>
    </row>
    <row r="4" spans="1:30" x14ac:dyDescent="0.2">
      <c r="A4" s="256">
        <v>39507</v>
      </c>
      <c r="B4" s="257">
        <v>132651127</v>
      </c>
      <c r="C4" s="257">
        <f>'WMP pivot'!J33</f>
        <v>3028037.86</v>
      </c>
      <c r="D4" s="257">
        <f t="shared" si="0"/>
        <v>129623089.14</v>
      </c>
      <c r="E4" s="257">
        <v>25623480</v>
      </c>
      <c r="F4" s="257">
        <f t="shared" si="1"/>
        <v>155246569.13999999</v>
      </c>
      <c r="G4" s="258">
        <v>651.20000000000005</v>
      </c>
      <c r="H4" s="258">
        <v>0</v>
      </c>
      <c r="I4" s="259">
        <v>28</v>
      </c>
      <c r="J4" s="259">
        <v>0</v>
      </c>
      <c r="K4" s="257">
        <v>320</v>
      </c>
      <c r="L4" s="259">
        <v>0</v>
      </c>
      <c r="M4" s="260">
        <v>36.200000000000003</v>
      </c>
      <c r="N4" s="257">
        <f>'CDM Activity '!H85</f>
        <v>649951.35454338696</v>
      </c>
      <c r="O4" s="431">
        <v>2</v>
      </c>
      <c r="P4" s="257">
        <v>651.20000000000005</v>
      </c>
      <c r="Q4" s="261">
        <v>139.86101141442734</v>
      </c>
      <c r="R4" s="257" t="e">
        <f>R3+(R8-#REF!)/12</f>
        <v>#REF!</v>
      </c>
      <c r="S4" s="259">
        <f t="shared" si="2"/>
        <v>147611097.07198721</v>
      </c>
      <c r="T4" s="48">
        <f t="shared" si="3"/>
        <v>-7635472.068012774</v>
      </c>
      <c r="U4" s="109">
        <f t="shared" si="4"/>
        <v>-5.89051851693339E-2</v>
      </c>
      <c r="V4" s="13">
        <f t="shared" si="5"/>
        <v>5.89051851693339E-2</v>
      </c>
      <c r="W4" s="13"/>
      <c r="X4" s="13"/>
      <c r="Y4" s="35" t="s">
        <v>24</v>
      </c>
      <c r="Z4" s="35"/>
    </row>
    <row r="5" spans="1:30" x14ac:dyDescent="0.2">
      <c r="A5" s="256">
        <v>39538</v>
      </c>
      <c r="B5" s="257">
        <v>133457374</v>
      </c>
      <c r="C5" s="257">
        <f>'WMP pivot'!J34</f>
        <v>3214303.85</v>
      </c>
      <c r="D5" s="257">
        <f t="shared" si="0"/>
        <v>130243070.15000001</v>
      </c>
      <c r="E5" s="257">
        <v>25871810</v>
      </c>
      <c r="F5" s="257">
        <f t="shared" si="1"/>
        <v>156114880.15000001</v>
      </c>
      <c r="G5" s="258">
        <v>686.1</v>
      </c>
      <c r="H5" s="258">
        <v>0</v>
      </c>
      <c r="I5" s="259">
        <v>31</v>
      </c>
      <c r="J5" s="259">
        <v>1</v>
      </c>
      <c r="K5" s="257">
        <v>304</v>
      </c>
      <c r="L5" s="259">
        <v>0</v>
      </c>
      <c r="M5" s="260">
        <v>37.4</v>
      </c>
      <c r="N5" s="257">
        <f>'CDM Activity '!H86</f>
        <v>666919.31918107287</v>
      </c>
      <c r="O5" s="431">
        <v>3</v>
      </c>
      <c r="P5" s="257">
        <v>642.29999999999995</v>
      </c>
      <c r="Q5" s="261">
        <v>139.75568045642274</v>
      </c>
      <c r="R5" s="257" t="e">
        <f>R4+(R8-#REF!)/12</f>
        <v>#REF!</v>
      </c>
      <c r="S5" s="259">
        <f t="shared" si="2"/>
        <v>150382183.8218309</v>
      </c>
      <c r="T5" s="48">
        <f t="shared" si="3"/>
        <v>-5732696.3281691074</v>
      </c>
      <c r="U5" s="109">
        <f t="shared" si="4"/>
        <v>-4.4015365436078882E-2</v>
      </c>
      <c r="V5" s="13">
        <f t="shared" si="5"/>
        <v>4.4015365436078882E-2</v>
      </c>
      <c r="W5" s="13"/>
      <c r="X5" s="13"/>
      <c r="Y5" s="32" t="s">
        <v>25</v>
      </c>
      <c r="Z5" s="220">
        <v>0.92601562447876817</v>
      </c>
    </row>
    <row r="6" spans="1:30" x14ac:dyDescent="0.2">
      <c r="A6" s="256">
        <v>39568</v>
      </c>
      <c r="B6" s="257">
        <v>122596206</v>
      </c>
      <c r="C6" s="257">
        <f>'WMP pivot'!J35</f>
        <v>3270611.0999999996</v>
      </c>
      <c r="D6" s="257">
        <f t="shared" si="0"/>
        <v>119325594.90000001</v>
      </c>
      <c r="E6" s="257">
        <v>22283980</v>
      </c>
      <c r="F6" s="257">
        <f t="shared" si="1"/>
        <v>141609574.90000001</v>
      </c>
      <c r="G6" s="258">
        <v>297.89999999999998</v>
      </c>
      <c r="H6" s="258">
        <v>0</v>
      </c>
      <c r="I6" s="259">
        <v>30</v>
      </c>
      <c r="J6" s="259">
        <v>1</v>
      </c>
      <c r="K6" s="257">
        <v>352</v>
      </c>
      <c r="L6" s="259">
        <v>0</v>
      </c>
      <c r="M6" s="260">
        <v>35.5</v>
      </c>
      <c r="N6" s="257">
        <f>'CDM Activity '!H87</f>
        <v>683887.28381875879</v>
      </c>
      <c r="O6" s="431">
        <v>4</v>
      </c>
      <c r="P6" s="257">
        <v>642.29999999999995</v>
      </c>
      <c r="Q6" s="261">
        <v>139.65042882439042</v>
      </c>
      <c r="R6" s="257" t="e">
        <f>R5+(R8-#REF!)/12</f>
        <v>#REF!</v>
      </c>
      <c r="S6" s="259">
        <f t="shared" si="2"/>
        <v>143684329.50475222</v>
      </c>
      <c r="T6" s="48">
        <f t="shared" si="3"/>
        <v>2074754.6047522128</v>
      </c>
      <c r="U6" s="109">
        <f t="shared" si="4"/>
        <v>1.738733929205169E-2</v>
      </c>
      <c r="V6" s="13">
        <f t="shared" si="5"/>
        <v>1.738733929205169E-2</v>
      </c>
      <c r="W6" s="13"/>
      <c r="X6" s="13"/>
      <c r="Y6" s="32" t="s">
        <v>26</v>
      </c>
      <c r="Z6" s="220">
        <v>0.85750493677880291</v>
      </c>
    </row>
    <row r="7" spans="1:30" x14ac:dyDescent="0.2">
      <c r="A7" s="256">
        <v>39599</v>
      </c>
      <c r="B7" s="257">
        <v>121120167</v>
      </c>
      <c r="C7" s="257">
        <f>'WMP pivot'!J36</f>
        <v>3465367.6500000004</v>
      </c>
      <c r="D7" s="257">
        <f t="shared" si="0"/>
        <v>117654799.34999999</v>
      </c>
      <c r="E7" s="257">
        <v>22297260</v>
      </c>
      <c r="F7" s="257">
        <f t="shared" si="1"/>
        <v>139952059.34999999</v>
      </c>
      <c r="G7" s="258">
        <v>243.1</v>
      </c>
      <c r="H7" s="258">
        <v>0.7</v>
      </c>
      <c r="I7" s="259">
        <v>31</v>
      </c>
      <c r="J7" s="259">
        <v>1</v>
      </c>
      <c r="K7" s="257">
        <v>336</v>
      </c>
      <c r="L7" s="259">
        <v>0</v>
      </c>
      <c r="M7" s="260">
        <v>38.5</v>
      </c>
      <c r="N7" s="257">
        <f>'CDM Activity '!H88</f>
        <v>700855.24845644471</v>
      </c>
      <c r="O7" s="431">
        <v>5</v>
      </c>
      <c r="P7" s="257">
        <v>642.5</v>
      </c>
      <c r="Q7" s="261">
        <v>139.54525645858905</v>
      </c>
      <c r="R7" s="257" t="e">
        <f>R6+(R8-#REF!)/12</f>
        <v>#REF!</v>
      </c>
      <c r="S7" s="259">
        <f t="shared" si="2"/>
        <v>142846106.29010054</v>
      </c>
      <c r="T7" s="48">
        <f t="shared" si="3"/>
        <v>2894046.9401005507</v>
      </c>
      <c r="U7" s="109">
        <f t="shared" si="4"/>
        <v>2.4597780592794414E-2</v>
      </c>
      <c r="V7" s="13">
        <f t="shared" si="5"/>
        <v>2.4597780592794414E-2</v>
      </c>
      <c r="W7" s="13"/>
      <c r="X7" s="13"/>
      <c r="Y7" s="32" t="s">
        <v>27</v>
      </c>
      <c r="Z7" s="220">
        <v>0.84859899532747807</v>
      </c>
    </row>
    <row r="8" spans="1:30" x14ac:dyDescent="0.2">
      <c r="A8" s="256">
        <v>39629</v>
      </c>
      <c r="B8" s="257">
        <v>130438115</v>
      </c>
      <c r="C8" s="257">
        <f>'WMP pivot'!J37</f>
        <v>3708874.88</v>
      </c>
      <c r="D8" s="257">
        <f t="shared" si="0"/>
        <v>126729240.12</v>
      </c>
      <c r="E8" s="257">
        <v>23777670</v>
      </c>
      <c r="F8" s="257">
        <f t="shared" si="1"/>
        <v>150506910.12</v>
      </c>
      <c r="G8" s="258">
        <v>40.6</v>
      </c>
      <c r="H8" s="258">
        <v>53</v>
      </c>
      <c r="I8" s="259">
        <v>30</v>
      </c>
      <c r="J8" s="259">
        <v>0</v>
      </c>
      <c r="K8" s="257">
        <v>336</v>
      </c>
      <c r="L8" s="259">
        <v>0</v>
      </c>
      <c r="M8" s="260">
        <v>39.200000000000003</v>
      </c>
      <c r="N8" s="257">
        <f>'CDM Activity '!H89</f>
        <v>717823.21309413062</v>
      </c>
      <c r="O8" s="431">
        <v>6</v>
      </c>
      <c r="P8" s="257">
        <v>648.20000000000005</v>
      </c>
      <c r="Q8" s="261">
        <v>139.44016329932234</v>
      </c>
      <c r="R8" s="257">
        <f>'Rate Class Customer Model'!S11</f>
        <v>72824.5</v>
      </c>
      <c r="S8" s="259">
        <f t="shared" si="2"/>
        <v>154847194.93581051</v>
      </c>
      <c r="T8" s="48">
        <f t="shared" si="3"/>
        <v>4340284.8158105016</v>
      </c>
      <c r="U8" s="109">
        <f t="shared" si="4"/>
        <v>3.4248487655261589E-2</v>
      </c>
      <c r="V8" s="13">
        <f t="shared" si="5"/>
        <v>3.4248487655261589E-2</v>
      </c>
      <c r="W8" s="13"/>
      <c r="X8" s="13"/>
      <c r="Y8" s="32" t="s">
        <v>28</v>
      </c>
      <c r="Z8" s="107">
        <v>3759555.752611238</v>
      </c>
    </row>
    <row r="9" spans="1:30" ht="13.5" thickBot="1" x14ac:dyDescent="0.25">
      <c r="A9" s="256">
        <v>39660</v>
      </c>
      <c r="B9" s="257">
        <v>139693948</v>
      </c>
      <c r="C9" s="257">
        <f>'WMP pivot'!J38</f>
        <v>3934057.6300000004</v>
      </c>
      <c r="D9" s="257">
        <f t="shared" si="0"/>
        <v>135759890.37</v>
      </c>
      <c r="E9" s="257">
        <v>26324020</v>
      </c>
      <c r="F9" s="257">
        <f t="shared" si="1"/>
        <v>162083910.37</v>
      </c>
      <c r="G9" s="258">
        <v>7.6</v>
      </c>
      <c r="H9" s="258">
        <v>75.8</v>
      </c>
      <c r="I9" s="259">
        <v>31</v>
      </c>
      <c r="J9" s="259">
        <v>0</v>
      </c>
      <c r="K9" s="257">
        <v>352</v>
      </c>
      <c r="L9" s="259">
        <v>0</v>
      </c>
      <c r="M9" s="260">
        <v>42.5</v>
      </c>
      <c r="N9" s="257">
        <f>'CDM Activity '!H90</f>
        <v>734791.17773181654</v>
      </c>
      <c r="O9" s="431">
        <v>7</v>
      </c>
      <c r="P9" s="257">
        <v>653.5</v>
      </c>
      <c r="Q9" s="261">
        <v>139.3351492869389</v>
      </c>
      <c r="R9" s="257">
        <f>R8+(R20-R8)/12</f>
        <v>72895.96875</v>
      </c>
      <c r="S9" s="259">
        <f t="shared" si="2"/>
        <v>164010257.00147921</v>
      </c>
      <c r="T9" s="48">
        <f t="shared" si="3"/>
        <v>1926346.6314792037</v>
      </c>
      <c r="U9" s="109">
        <f t="shared" si="4"/>
        <v>1.418936496066061E-2</v>
      </c>
      <c r="V9" s="13">
        <f t="shared" si="5"/>
        <v>1.418936496066061E-2</v>
      </c>
      <c r="W9" s="13"/>
      <c r="X9" s="13"/>
      <c r="Y9" s="33" t="s">
        <v>29</v>
      </c>
      <c r="Z9" s="33">
        <v>120</v>
      </c>
    </row>
    <row r="10" spans="1:30" x14ac:dyDescent="0.2">
      <c r="A10" s="256">
        <v>39691</v>
      </c>
      <c r="B10" s="257">
        <v>131943162</v>
      </c>
      <c r="C10" s="257">
        <f>'WMP pivot'!J39</f>
        <v>3850471.59</v>
      </c>
      <c r="D10" s="257">
        <f t="shared" si="0"/>
        <v>128092690.41</v>
      </c>
      <c r="E10" s="257">
        <v>25478520</v>
      </c>
      <c r="F10" s="257">
        <f t="shared" si="1"/>
        <v>153571210.41</v>
      </c>
      <c r="G10" s="258">
        <v>36.200000000000003</v>
      </c>
      <c r="H10" s="258">
        <v>29.5</v>
      </c>
      <c r="I10" s="259">
        <v>31</v>
      </c>
      <c r="J10" s="259">
        <v>0</v>
      </c>
      <c r="K10" s="257">
        <v>320</v>
      </c>
      <c r="L10" s="259">
        <v>0</v>
      </c>
      <c r="M10" s="260">
        <v>40.9</v>
      </c>
      <c r="N10" s="257">
        <f>'CDM Activity '!H91</f>
        <v>751759.14236950246</v>
      </c>
      <c r="O10" s="431">
        <v>8</v>
      </c>
      <c r="P10" s="257">
        <v>656.2</v>
      </c>
      <c r="Q10" s="261">
        <v>139.23021436183228</v>
      </c>
      <c r="R10" s="257">
        <f>R9+(R20-R8)/12</f>
        <v>72967.4375</v>
      </c>
      <c r="S10" s="259">
        <f t="shared" si="2"/>
        <v>148176300.50171983</v>
      </c>
      <c r="T10" s="48">
        <f t="shared" si="3"/>
        <v>-5394909.908280164</v>
      </c>
      <c r="U10" s="109">
        <f t="shared" si="4"/>
        <v>-4.2117234722856535E-2</v>
      </c>
      <c r="V10" s="13">
        <f t="shared" si="5"/>
        <v>4.2117234722856535E-2</v>
      </c>
      <c r="W10" s="13"/>
      <c r="X10" s="13"/>
    </row>
    <row r="11" spans="1:30" ht="13.5" thickBot="1" x14ac:dyDescent="0.25">
      <c r="A11" s="256">
        <v>39721</v>
      </c>
      <c r="B11" s="257">
        <v>126425825</v>
      </c>
      <c r="C11" s="257">
        <f>'WMP pivot'!J40</f>
        <v>3625170.46</v>
      </c>
      <c r="D11" s="257">
        <f t="shared" si="0"/>
        <v>122800654.54000001</v>
      </c>
      <c r="E11" s="257">
        <v>24166620</v>
      </c>
      <c r="F11" s="257">
        <f t="shared" si="1"/>
        <v>146967274.54000002</v>
      </c>
      <c r="G11" s="258">
        <v>93.2</v>
      </c>
      <c r="H11" s="258">
        <v>12</v>
      </c>
      <c r="I11" s="259">
        <v>30</v>
      </c>
      <c r="J11" s="259">
        <v>1</v>
      </c>
      <c r="K11" s="257">
        <v>336</v>
      </c>
      <c r="L11" s="259">
        <v>0</v>
      </c>
      <c r="M11" s="260">
        <v>40.299999999999997</v>
      </c>
      <c r="N11" s="257">
        <f>'CDM Activity '!H92</f>
        <v>768727.10700718837</v>
      </c>
      <c r="O11" s="431">
        <v>9</v>
      </c>
      <c r="P11" s="257">
        <v>658.8</v>
      </c>
      <c r="Q11" s="261">
        <v>139.12535846444095</v>
      </c>
      <c r="R11" s="257">
        <f>R10+(R20-R8)/12</f>
        <v>73038.90625</v>
      </c>
      <c r="S11" s="259">
        <f t="shared" si="2"/>
        <v>139948874.15095922</v>
      </c>
      <c r="T11" s="48">
        <f t="shared" si="3"/>
        <v>-7018400.3890407979</v>
      </c>
      <c r="U11" s="109">
        <f t="shared" si="4"/>
        <v>-5.7152792998792085E-2</v>
      </c>
      <c r="V11" s="13">
        <f t="shared" si="5"/>
        <v>5.7152792998792085E-2</v>
      </c>
      <c r="W11" s="13"/>
      <c r="X11" s="13"/>
      <c r="Y11" t="s">
        <v>30</v>
      </c>
    </row>
    <row r="12" spans="1:30" x14ac:dyDescent="0.2">
      <c r="A12" s="256">
        <v>39752</v>
      </c>
      <c r="B12" s="257">
        <v>125628543</v>
      </c>
      <c r="C12" s="257">
        <f>'WMP pivot'!J41</f>
        <v>3481712.75</v>
      </c>
      <c r="D12" s="257">
        <f t="shared" si="0"/>
        <v>122146830.25</v>
      </c>
      <c r="E12" s="257">
        <v>23670350</v>
      </c>
      <c r="F12" s="257">
        <f t="shared" si="1"/>
        <v>145817180.25</v>
      </c>
      <c r="G12" s="258">
        <v>325.7</v>
      </c>
      <c r="H12" s="258">
        <v>0</v>
      </c>
      <c r="I12" s="259">
        <v>31</v>
      </c>
      <c r="J12" s="259">
        <v>1</v>
      </c>
      <c r="K12" s="257">
        <v>352</v>
      </c>
      <c r="L12" s="259">
        <v>0</v>
      </c>
      <c r="M12" s="260">
        <v>38.1</v>
      </c>
      <c r="N12" s="257">
        <f>'CDM Activity '!H93</f>
        <v>785695.07164487429</v>
      </c>
      <c r="O12" s="431">
        <v>10</v>
      </c>
      <c r="P12" s="257">
        <v>661.5</v>
      </c>
      <c r="Q12" s="261">
        <v>139.02058153524823</v>
      </c>
      <c r="R12" s="257">
        <f>R11+(R20-R8)/12</f>
        <v>73110.375</v>
      </c>
      <c r="S12" s="259">
        <f t="shared" si="2"/>
        <v>146100563.02124906</v>
      </c>
      <c r="T12" s="48">
        <f t="shared" si="3"/>
        <v>283382.77124905586</v>
      </c>
      <c r="U12" s="109">
        <f t="shared" si="4"/>
        <v>2.3200173976602708E-3</v>
      </c>
      <c r="V12" s="13">
        <f t="shared" si="5"/>
        <v>2.3200173976602708E-3</v>
      </c>
      <c r="W12" s="13"/>
      <c r="X12" s="13"/>
      <c r="Y12" s="34"/>
      <c r="Z12" s="34" t="s">
        <v>34</v>
      </c>
      <c r="AA12" s="34" t="s">
        <v>35</v>
      </c>
      <c r="AB12" s="34" t="s">
        <v>36</v>
      </c>
      <c r="AC12" s="34" t="s">
        <v>37</v>
      </c>
      <c r="AD12" s="34" t="s">
        <v>38</v>
      </c>
    </row>
    <row r="13" spans="1:30" x14ac:dyDescent="0.2">
      <c r="A13" s="256">
        <v>39782</v>
      </c>
      <c r="B13" s="257">
        <v>125038661</v>
      </c>
      <c r="C13" s="257">
        <f>'WMP pivot'!J42</f>
        <v>3298956.09</v>
      </c>
      <c r="D13" s="257">
        <f t="shared" si="0"/>
        <v>121739704.91</v>
      </c>
      <c r="E13" s="257">
        <v>24281150</v>
      </c>
      <c r="F13" s="257">
        <f t="shared" si="1"/>
        <v>146020854.91</v>
      </c>
      <c r="G13" s="258">
        <v>499.7</v>
      </c>
      <c r="H13" s="258">
        <v>0</v>
      </c>
      <c r="I13" s="259">
        <v>30</v>
      </c>
      <c r="J13" s="259">
        <v>1</v>
      </c>
      <c r="K13" s="257">
        <v>304</v>
      </c>
      <c r="L13" s="259">
        <v>0</v>
      </c>
      <c r="M13" s="260">
        <v>39.1</v>
      </c>
      <c r="N13" s="257">
        <f>'CDM Activity '!H94</f>
        <v>802663.03628256021</v>
      </c>
      <c r="O13" s="431">
        <v>11</v>
      </c>
      <c r="P13" s="257">
        <v>664.7</v>
      </c>
      <c r="Q13" s="261">
        <v>138.91588351478222</v>
      </c>
      <c r="R13" s="257">
        <f>R12+(R20-R8)/12</f>
        <v>73181.84375</v>
      </c>
      <c r="S13" s="259">
        <f t="shared" si="2"/>
        <v>143236720.81118605</v>
      </c>
      <c r="T13" s="48">
        <f t="shared" si="3"/>
        <v>-2784134.098813951</v>
      </c>
      <c r="U13" s="109">
        <f t="shared" si="4"/>
        <v>-2.2869565035271048E-2</v>
      </c>
      <c r="V13" s="13">
        <f t="shared" si="5"/>
        <v>2.2869565035271048E-2</v>
      </c>
      <c r="W13" s="13"/>
      <c r="X13" s="13"/>
      <c r="Y13" s="32" t="s">
        <v>31</v>
      </c>
      <c r="Z13" s="32">
        <v>7</v>
      </c>
      <c r="AA13" s="32">
        <v>9526379810408770</v>
      </c>
      <c r="AB13" s="32">
        <v>1360911401486967.2</v>
      </c>
      <c r="AC13" s="32">
        <v>96.28459174871881</v>
      </c>
      <c r="AD13" s="32">
        <v>2.1442788950125583E-44</v>
      </c>
    </row>
    <row r="14" spans="1:30" x14ac:dyDescent="0.2">
      <c r="A14" s="256">
        <v>39813</v>
      </c>
      <c r="B14" s="257">
        <v>128488680</v>
      </c>
      <c r="C14" s="257">
        <f>'WMP pivot'!J43</f>
        <v>3408623.5999999996</v>
      </c>
      <c r="D14" s="257">
        <f t="shared" si="0"/>
        <v>125080056.40000001</v>
      </c>
      <c r="E14" s="257">
        <v>26709210</v>
      </c>
      <c r="F14" s="257">
        <f t="shared" si="1"/>
        <v>151789266.40000001</v>
      </c>
      <c r="G14" s="258">
        <v>694</v>
      </c>
      <c r="H14" s="258">
        <v>0</v>
      </c>
      <c r="I14" s="259">
        <v>31</v>
      </c>
      <c r="J14" s="259">
        <v>0</v>
      </c>
      <c r="K14" s="257">
        <v>336</v>
      </c>
      <c r="L14" s="259">
        <v>0</v>
      </c>
      <c r="M14" s="260">
        <v>42.3</v>
      </c>
      <c r="N14" s="257">
        <f>'CDM Activity '!H95</f>
        <v>819631.00092024612</v>
      </c>
      <c r="O14" s="431">
        <v>12</v>
      </c>
      <c r="P14" s="257">
        <v>662.1</v>
      </c>
      <c r="Q14" s="261">
        <v>138.8112643436159</v>
      </c>
      <c r="R14" s="257">
        <f>R13+(R20-R8)/12</f>
        <v>73253.3125</v>
      </c>
      <c r="S14" s="259">
        <f t="shared" si="2"/>
        <v>155751348.31067872</v>
      </c>
      <c r="T14" s="48">
        <f t="shared" si="3"/>
        <v>3962081.9106787145</v>
      </c>
      <c r="U14" s="109">
        <f t="shared" si="4"/>
        <v>3.1676368117457249E-2</v>
      </c>
      <c r="V14" s="13">
        <f t="shared" si="5"/>
        <v>3.1676368117457249E-2</v>
      </c>
      <c r="W14" s="13"/>
      <c r="X14" s="13"/>
      <c r="Y14" s="32" t="s">
        <v>32</v>
      </c>
      <c r="Z14" s="32">
        <v>112</v>
      </c>
      <c r="AA14" s="32">
        <v>1583037059183132.5</v>
      </c>
      <c r="AB14" s="32">
        <v>14134259456992.254</v>
      </c>
      <c r="AC14" s="32"/>
      <c r="AD14" s="32"/>
    </row>
    <row r="15" spans="1:30" ht="13.5" thickBot="1" x14ac:dyDescent="0.25">
      <c r="A15" s="256">
        <v>39844</v>
      </c>
      <c r="B15" s="262">
        <v>132884999</v>
      </c>
      <c r="C15" s="257">
        <f>'WMP pivot'!J45</f>
        <v>3299592.35</v>
      </c>
      <c r="D15" s="257">
        <f t="shared" si="0"/>
        <v>129585406.65000001</v>
      </c>
      <c r="E15" s="257">
        <v>27929332</v>
      </c>
      <c r="F15" s="257">
        <f t="shared" si="1"/>
        <v>157514738.65000001</v>
      </c>
      <c r="G15" s="263">
        <v>891.8</v>
      </c>
      <c r="H15" s="263">
        <v>0</v>
      </c>
      <c r="I15" s="259">
        <v>31</v>
      </c>
      <c r="J15" s="259">
        <v>0</v>
      </c>
      <c r="K15" s="257">
        <v>336</v>
      </c>
      <c r="L15" s="259">
        <v>0</v>
      </c>
      <c r="M15" s="260">
        <v>48.1</v>
      </c>
      <c r="N15" s="257">
        <f>'CDM Activity '!H96</f>
        <v>873816.71082089655</v>
      </c>
      <c r="O15" s="431">
        <v>13</v>
      </c>
      <c r="P15" s="257">
        <v>651.4</v>
      </c>
      <c r="Q15" s="261">
        <v>138.43555825854429</v>
      </c>
      <c r="R15" s="257">
        <f>R14+(R20-R8)/12</f>
        <v>73324.78125</v>
      </c>
      <c r="S15" s="259">
        <f t="shared" si="2"/>
        <v>159005610.83720452</v>
      </c>
      <c r="T15" s="48">
        <f t="shared" si="3"/>
        <v>1490872.18720451</v>
      </c>
      <c r="U15" s="109">
        <f t="shared" si="4"/>
        <v>1.1504938910530555E-2</v>
      </c>
      <c r="V15" s="13">
        <f t="shared" si="5"/>
        <v>1.1504938910530555E-2</v>
      </c>
      <c r="W15" s="13"/>
      <c r="X15" s="13"/>
      <c r="Y15" s="33" t="s">
        <v>12</v>
      </c>
      <c r="Z15" s="33">
        <v>119</v>
      </c>
      <c r="AA15" s="33">
        <v>1.1109416869591902E+16</v>
      </c>
      <c r="AB15" s="33"/>
      <c r="AC15" s="33"/>
      <c r="AD15" s="33"/>
    </row>
    <row r="16" spans="1:30" ht="13.5" thickBot="1" x14ac:dyDescent="0.25">
      <c r="A16" s="256">
        <v>39872</v>
      </c>
      <c r="B16" s="262">
        <v>117645114</v>
      </c>
      <c r="C16" s="257">
        <f>'WMP pivot'!J46</f>
        <v>3032789.34</v>
      </c>
      <c r="D16" s="257">
        <f t="shared" si="0"/>
        <v>114612324.66</v>
      </c>
      <c r="E16" s="257">
        <v>23550989</v>
      </c>
      <c r="F16" s="257">
        <f t="shared" si="1"/>
        <v>138163313.66</v>
      </c>
      <c r="G16" s="263">
        <v>649.6</v>
      </c>
      <c r="H16" s="263">
        <v>0</v>
      </c>
      <c r="I16" s="259">
        <v>29</v>
      </c>
      <c r="J16" s="259">
        <v>0</v>
      </c>
      <c r="K16" s="257">
        <v>304</v>
      </c>
      <c r="L16" s="259">
        <v>0</v>
      </c>
      <c r="M16" s="260">
        <v>56.2</v>
      </c>
      <c r="N16" s="257">
        <f>'CDM Activity '!H97</f>
        <v>928002.42072154698</v>
      </c>
      <c r="O16" s="431">
        <v>14</v>
      </c>
      <c r="P16" s="257">
        <v>639.4</v>
      </c>
      <c r="Q16" s="261">
        <v>138.06086905825526</v>
      </c>
      <c r="R16" s="257">
        <f>R15+(R20-R8)/12</f>
        <v>73396.25</v>
      </c>
      <c r="S16" s="259">
        <f t="shared" si="2"/>
        <v>143779505.99608162</v>
      </c>
      <c r="T16" s="48">
        <f t="shared" si="3"/>
        <v>5616192.336081624</v>
      </c>
      <c r="U16" s="109">
        <f t="shared" si="4"/>
        <v>4.9001644044322314E-2</v>
      </c>
      <c r="V16" s="13">
        <f t="shared" si="5"/>
        <v>4.9001644044322314E-2</v>
      </c>
      <c r="W16" s="13"/>
      <c r="X16" s="13"/>
    </row>
    <row r="17" spans="1:31" x14ac:dyDescent="0.2">
      <c r="A17" s="256">
        <v>39903</v>
      </c>
      <c r="B17" s="262">
        <v>124919264</v>
      </c>
      <c r="C17" s="257">
        <f>'WMP pivot'!J47</f>
        <v>3437259.72</v>
      </c>
      <c r="D17" s="257">
        <f t="shared" si="0"/>
        <v>121482004.28</v>
      </c>
      <c r="E17" s="257">
        <v>24570961</v>
      </c>
      <c r="F17" s="257">
        <f t="shared" si="1"/>
        <v>146052965.28</v>
      </c>
      <c r="G17" s="263">
        <v>562.6</v>
      </c>
      <c r="H17" s="263">
        <v>0</v>
      </c>
      <c r="I17" s="259">
        <v>31</v>
      </c>
      <c r="J17" s="259">
        <v>1</v>
      </c>
      <c r="K17" s="257">
        <v>352</v>
      </c>
      <c r="L17" s="259">
        <v>0</v>
      </c>
      <c r="M17" s="260">
        <v>64.900000000000006</v>
      </c>
      <c r="N17" s="257">
        <f>'CDM Activity '!H98</f>
        <v>982188.13062219741</v>
      </c>
      <c r="O17" s="431">
        <v>15</v>
      </c>
      <c r="P17" s="257">
        <v>627.6</v>
      </c>
      <c r="Q17" s="261">
        <v>137.68719399045199</v>
      </c>
      <c r="R17" s="257">
        <f>R16+(R20-R8)/12</f>
        <v>73467.71875</v>
      </c>
      <c r="S17" s="259">
        <f t="shared" si="2"/>
        <v>145295905.69899449</v>
      </c>
      <c r="T17" s="48">
        <f t="shared" si="3"/>
        <v>-757059.58100551367</v>
      </c>
      <c r="U17" s="109">
        <f t="shared" si="4"/>
        <v>-6.2318660734357921E-3</v>
      </c>
      <c r="V17" s="13">
        <f t="shared" si="5"/>
        <v>6.2318660734357921E-3</v>
      </c>
      <c r="W17" s="13"/>
      <c r="X17" s="13"/>
      <c r="Y17" s="34"/>
      <c r="Z17" s="34" t="s">
        <v>39</v>
      </c>
      <c r="AA17" s="34" t="s">
        <v>28</v>
      </c>
      <c r="AB17" s="34" t="s">
        <v>40</v>
      </c>
      <c r="AC17" s="34" t="s">
        <v>41</v>
      </c>
      <c r="AD17" s="34" t="s">
        <v>42</v>
      </c>
      <c r="AE17" s="34" t="s">
        <v>43</v>
      </c>
    </row>
    <row r="18" spans="1:31" x14ac:dyDescent="0.2">
      <c r="A18" s="256">
        <v>39933</v>
      </c>
      <c r="B18" s="262">
        <v>113413654</v>
      </c>
      <c r="C18" s="257">
        <f>'WMP pivot'!J48</f>
        <v>3339172.76</v>
      </c>
      <c r="D18" s="257">
        <f t="shared" si="0"/>
        <v>110074481.23999999</v>
      </c>
      <c r="E18" s="257">
        <v>21637635</v>
      </c>
      <c r="F18" s="257">
        <f t="shared" si="1"/>
        <v>131712116.23999999</v>
      </c>
      <c r="G18" s="263">
        <v>341.5</v>
      </c>
      <c r="H18" s="263">
        <v>3.2</v>
      </c>
      <c r="I18" s="259">
        <v>30</v>
      </c>
      <c r="J18" s="259">
        <v>1</v>
      </c>
      <c r="K18" s="257">
        <v>320</v>
      </c>
      <c r="L18" s="259">
        <v>0</v>
      </c>
      <c r="M18" s="260">
        <v>70.3</v>
      </c>
      <c r="N18" s="257">
        <f>'CDM Activity '!H99</f>
        <v>1036373.8405228478</v>
      </c>
      <c r="O18" s="431">
        <v>16</v>
      </c>
      <c r="P18" s="257">
        <v>623.9</v>
      </c>
      <c r="Q18" s="261">
        <v>137.31453031028698</v>
      </c>
      <c r="R18" s="257">
        <f>R17+(R20-R8)/12</f>
        <v>73539.1875</v>
      </c>
      <c r="S18" s="259">
        <f t="shared" si="2"/>
        <v>134552458.90132621</v>
      </c>
      <c r="T18" s="48">
        <f t="shared" si="3"/>
        <v>2840342.6613262147</v>
      </c>
      <c r="U18" s="109">
        <f t="shared" si="4"/>
        <v>2.5803825094876411E-2</v>
      </c>
      <c r="V18" s="13">
        <f t="shared" si="5"/>
        <v>2.5803825094876411E-2</v>
      </c>
      <c r="W18" s="13"/>
      <c r="X18" s="13"/>
      <c r="Y18" s="32" t="s">
        <v>33</v>
      </c>
      <c r="Z18" s="107">
        <v>45487348.844898514</v>
      </c>
      <c r="AA18" s="107">
        <v>13720103.017323812</v>
      </c>
      <c r="AB18" s="106">
        <v>3.3153795410620095</v>
      </c>
      <c r="AC18" s="32">
        <v>1.2338773505066584E-3</v>
      </c>
      <c r="AD18" s="107">
        <v>18302723.42917379</v>
      </c>
      <c r="AE18" s="107">
        <v>72671974.260623246</v>
      </c>
    </row>
    <row r="19" spans="1:31" x14ac:dyDescent="0.2">
      <c r="A19" s="256">
        <v>39964</v>
      </c>
      <c r="B19" s="262">
        <v>110681364</v>
      </c>
      <c r="C19" s="257">
        <f>'WMP pivot'!J49</f>
        <v>3596571.1</v>
      </c>
      <c r="D19" s="257">
        <f t="shared" si="0"/>
        <v>107084792.90000001</v>
      </c>
      <c r="E19" s="257">
        <v>20988913</v>
      </c>
      <c r="F19" s="257">
        <f t="shared" si="1"/>
        <v>128073705.90000001</v>
      </c>
      <c r="G19" s="263">
        <v>192.8</v>
      </c>
      <c r="H19" s="263">
        <v>2.2999999999999998</v>
      </c>
      <c r="I19" s="259">
        <v>31</v>
      </c>
      <c r="J19" s="259">
        <v>1</v>
      </c>
      <c r="K19" s="257">
        <v>320</v>
      </c>
      <c r="L19" s="259">
        <v>0</v>
      </c>
      <c r="M19" s="260">
        <v>71.099999999999994</v>
      </c>
      <c r="N19" s="257">
        <f>'CDM Activity '!H100</f>
        <v>1090559.5504234983</v>
      </c>
      <c r="O19" s="431">
        <v>17</v>
      </c>
      <c r="P19" s="257">
        <v>622.70000000000005</v>
      </c>
      <c r="Q19" s="261">
        <v>136.94287528034204</v>
      </c>
      <c r="R19" s="257">
        <f>R18+(R20-R8)/12</f>
        <v>73610.65625</v>
      </c>
      <c r="S19" s="259">
        <f t="shared" si="2"/>
        <v>132993185.60020781</v>
      </c>
      <c r="T19" s="48">
        <f t="shared" si="3"/>
        <v>4919479.7002077997</v>
      </c>
      <c r="U19" s="109">
        <f t="shared" si="4"/>
        <v>4.5940040289397611E-2</v>
      </c>
      <c r="V19" s="13">
        <f t="shared" si="5"/>
        <v>4.5940040289397611E-2</v>
      </c>
      <c r="W19" s="13"/>
      <c r="X19" s="13"/>
      <c r="Y19" s="32" t="s">
        <v>4</v>
      </c>
      <c r="Z19" s="107">
        <v>23397.19384672548</v>
      </c>
      <c r="AA19" s="107">
        <v>2037.728622629978</v>
      </c>
      <c r="AB19" s="106">
        <v>11.481996958225027</v>
      </c>
      <c r="AC19" s="32">
        <v>1.2173619465091443E-20</v>
      </c>
      <c r="AD19" s="107">
        <v>19359.69578747973</v>
      </c>
      <c r="AE19" s="107">
        <v>27434.691905971231</v>
      </c>
    </row>
    <row r="20" spans="1:31" x14ac:dyDescent="0.2">
      <c r="A20" s="256">
        <v>39994</v>
      </c>
      <c r="B20" s="262">
        <v>118125725</v>
      </c>
      <c r="C20" s="257">
        <f>'WMP pivot'!J50</f>
        <v>3622214.02</v>
      </c>
      <c r="D20" s="257">
        <f t="shared" si="0"/>
        <v>114503510.98</v>
      </c>
      <c r="E20" s="257">
        <v>22361049</v>
      </c>
      <c r="F20" s="257">
        <f t="shared" si="1"/>
        <v>136864559.98000002</v>
      </c>
      <c r="G20" s="263">
        <v>75.7</v>
      </c>
      <c r="H20" s="263">
        <v>26.2</v>
      </c>
      <c r="I20" s="259">
        <v>30</v>
      </c>
      <c r="J20" s="259">
        <v>0</v>
      </c>
      <c r="K20" s="257">
        <v>352</v>
      </c>
      <c r="L20" s="259">
        <v>0</v>
      </c>
      <c r="M20" s="260">
        <v>67.400000000000006</v>
      </c>
      <c r="N20" s="257">
        <f>'CDM Activity '!H101</f>
        <v>1144745.2603241487</v>
      </c>
      <c r="O20" s="431">
        <v>18</v>
      </c>
      <c r="P20" s="257">
        <v>632.1</v>
      </c>
      <c r="Q20" s="261">
        <v>136.57222617060793</v>
      </c>
      <c r="R20" s="257">
        <f>'Rate Class Customer Model'!S12</f>
        <v>73682.125</v>
      </c>
      <c r="S20" s="259">
        <f t="shared" si="2"/>
        <v>142322028.22155091</v>
      </c>
      <c r="T20" s="48">
        <f t="shared" si="3"/>
        <v>5457468.2415508926</v>
      </c>
      <c r="U20" s="109">
        <f t="shared" si="4"/>
        <v>4.766201660405097E-2</v>
      </c>
      <c r="V20" s="13">
        <f t="shared" si="5"/>
        <v>4.766201660405097E-2</v>
      </c>
      <c r="W20" s="13"/>
      <c r="X20" s="13"/>
      <c r="Y20" s="32" t="s">
        <v>5</v>
      </c>
      <c r="Z20" s="107">
        <v>302470.60358566686</v>
      </c>
      <c r="AA20" s="107">
        <v>20878.203703269708</v>
      </c>
      <c r="AB20" s="106">
        <v>14.48738636161009</v>
      </c>
      <c r="AC20" s="32">
        <v>1.9598707119443907E-27</v>
      </c>
      <c r="AD20" s="107">
        <v>261103.11922276221</v>
      </c>
      <c r="AE20" s="107">
        <v>343838.08794857154</v>
      </c>
    </row>
    <row r="21" spans="1:31" x14ac:dyDescent="0.2">
      <c r="A21" s="256">
        <v>40025</v>
      </c>
      <c r="B21" s="262">
        <v>117925787</v>
      </c>
      <c r="C21" s="257">
        <f>'WMP pivot'!J51</f>
        <v>3752601.88</v>
      </c>
      <c r="D21" s="257">
        <f t="shared" si="0"/>
        <v>114173185.12</v>
      </c>
      <c r="E21" s="257">
        <v>23002366</v>
      </c>
      <c r="F21" s="257">
        <f t="shared" si="1"/>
        <v>137175551.12</v>
      </c>
      <c r="G21" s="263">
        <v>37.6</v>
      </c>
      <c r="H21" s="263">
        <v>14.5</v>
      </c>
      <c r="I21" s="259">
        <v>31</v>
      </c>
      <c r="J21" s="259">
        <v>0</v>
      </c>
      <c r="K21" s="257">
        <v>352</v>
      </c>
      <c r="L21" s="259">
        <v>0</v>
      </c>
      <c r="M21" s="260">
        <v>67.599999999999994</v>
      </c>
      <c r="N21" s="257">
        <f>'CDM Activity '!H102</f>
        <v>1198930.9702247991</v>
      </c>
      <c r="O21" s="431">
        <v>19</v>
      </c>
      <c r="P21" s="257">
        <v>637.9</v>
      </c>
      <c r="Q21" s="261">
        <v>136.20258025846454</v>
      </c>
      <c r="R21" s="257">
        <f>R20+(R32-R20)/12</f>
        <v>73790.80472083333</v>
      </c>
      <c r="S21" s="259">
        <f t="shared" si="2"/>
        <v>140225909.18767479</v>
      </c>
      <c r="T21" s="48">
        <f t="shared" si="3"/>
        <v>3050358.0676747859</v>
      </c>
      <c r="U21" s="109">
        <f t="shared" si="4"/>
        <v>2.6716939397536759E-2</v>
      </c>
      <c r="V21" s="13">
        <f t="shared" si="5"/>
        <v>2.6716939397536759E-2</v>
      </c>
      <c r="W21" s="13"/>
      <c r="X21" s="13"/>
      <c r="Y21" s="32" t="s">
        <v>6</v>
      </c>
      <c r="Z21" s="107">
        <v>2381589.1624762681</v>
      </c>
      <c r="AA21" s="107">
        <v>492293.55703333713</v>
      </c>
      <c r="AB21" s="106">
        <v>4.837741888860414</v>
      </c>
      <c r="AC21" s="32">
        <v>4.2244834228083872E-6</v>
      </c>
      <c r="AD21" s="107">
        <v>1406172.5839252141</v>
      </c>
      <c r="AE21" s="107">
        <v>3357005.7410273221</v>
      </c>
    </row>
    <row r="22" spans="1:31" x14ac:dyDescent="0.2">
      <c r="A22" s="256">
        <v>40056</v>
      </c>
      <c r="B22" s="262">
        <v>129756657</v>
      </c>
      <c r="C22" s="257">
        <f>'WMP pivot'!J52</f>
        <v>3840622.17</v>
      </c>
      <c r="D22" s="257">
        <f t="shared" si="0"/>
        <v>125916034.83</v>
      </c>
      <c r="E22" s="257">
        <v>25799177</v>
      </c>
      <c r="F22" s="257">
        <f t="shared" si="1"/>
        <v>151715211.82999998</v>
      </c>
      <c r="G22" s="263">
        <v>34.4</v>
      </c>
      <c r="H22" s="263">
        <v>57.3</v>
      </c>
      <c r="I22" s="259">
        <v>31</v>
      </c>
      <c r="J22" s="259">
        <v>0</v>
      </c>
      <c r="K22" s="257">
        <v>320</v>
      </c>
      <c r="L22" s="259">
        <v>0</v>
      </c>
      <c r="M22" s="260">
        <v>69.2</v>
      </c>
      <c r="N22" s="257">
        <f>'CDM Activity '!H103</f>
        <v>1253116.6801254496</v>
      </c>
      <c r="O22" s="431">
        <v>20</v>
      </c>
      <c r="P22" s="257">
        <v>643</v>
      </c>
      <c r="Q22" s="261">
        <v>135.83393482866074</v>
      </c>
      <c r="R22" s="257">
        <f>R21+(R32-R20)/12</f>
        <v>73899.48444166666</v>
      </c>
      <c r="S22" s="259">
        <f t="shared" si="2"/>
        <v>149840147.92163438</v>
      </c>
      <c r="T22" s="48">
        <f t="shared" si="3"/>
        <v>-1875063.9083656073</v>
      </c>
      <c r="U22" s="109">
        <f t="shared" si="4"/>
        <v>-1.4891383062507825E-2</v>
      </c>
      <c r="V22" s="13">
        <f t="shared" si="5"/>
        <v>1.4891383062507825E-2</v>
      </c>
      <c r="W22" s="13"/>
      <c r="X22" s="13"/>
      <c r="Y22" s="32" t="s">
        <v>22</v>
      </c>
      <c r="Z22" s="107">
        <v>-3467188.6655573477</v>
      </c>
      <c r="AA22" s="107">
        <v>867916.5176322551</v>
      </c>
      <c r="AB22" s="106">
        <v>-3.99484120317944</v>
      </c>
      <c r="AC22" s="32">
        <v>1.1617958150179062E-4</v>
      </c>
      <c r="AD22" s="107">
        <v>-5186853.9912594901</v>
      </c>
      <c r="AE22" s="107">
        <v>-1747523.3398552055</v>
      </c>
    </row>
    <row r="23" spans="1:31" x14ac:dyDescent="0.2">
      <c r="A23" s="256">
        <v>40086</v>
      </c>
      <c r="B23" s="262">
        <v>117720372</v>
      </c>
      <c r="C23" s="257">
        <f>'WMP pivot'!J53</f>
        <v>3570926.62</v>
      </c>
      <c r="D23" s="257">
        <f t="shared" ref="D23:D54" si="6">B23-C23</f>
        <v>114149445.38</v>
      </c>
      <c r="E23" s="257">
        <v>23063555</v>
      </c>
      <c r="F23" s="257">
        <f t="shared" si="1"/>
        <v>137213000.38</v>
      </c>
      <c r="G23" s="263">
        <v>88.8</v>
      </c>
      <c r="H23" s="263">
        <v>5.5</v>
      </c>
      <c r="I23" s="259">
        <v>30</v>
      </c>
      <c r="J23" s="259">
        <v>1</v>
      </c>
      <c r="K23" s="257">
        <v>336</v>
      </c>
      <c r="L23" s="259">
        <v>0</v>
      </c>
      <c r="M23" s="260">
        <v>66.3</v>
      </c>
      <c r="N23" s="257">
        <f>'CDM Activity '!H104</f>
        <v>1307302.3900261</v>
      </c>
      <c r="O23" s="431">
        <v>21</v>
      </c>
      <c r="P23" s="257">
        <v>643.29999999999995</v>
      </c>
      <c r="Q23" s="261">
        <v>135.46628717329455</v>
      </c>
      <c r="R23" s="257">
        <f>R22+(R32-R20)/12</f>
        <v>74008.16416249999</v>
      </c>
      <c r="S23" s="259">
        <f t="shared" si="2"/>
        <v>131721891.22554253</v>
      </c>
      <c r="T23" s="48">
        <f t="shared" si="3"/>
        <v>-5491109.1544574648</v>
      </c>
      <c r="U23" s="109">
        <f t="shared" si="4"/>
        <v>-4.8104562717564955E-2</v>
      </c>
      <c r="V23" s="13">
        <f t="shared" si="5"/>
        <v>4.8104562717564955E-2</v>
      </c>
      <c r="W23" s="13"/>
      <c r="X23" s="13"/>
      <c r="Y23" s="32" t="s">
        <v>7</v>
      </c>
      <c r="Z23" s="107">
        <v>89927.490264949054</v>
      </c>
      <c r="AA23" s="107">
        <v>22836.34766668882</v>
      </c>
      <c r="AB23" s="106">
        <v>3.9379103689214494</v>
      </c>
      <c r="AC23" s="32">
        <v>1.4321039904137425E-4</v>
      </c>
      <c r="AD23" s="107">
        <v>44680.194643455594</v>
      </c>
      <c r="AE23" s="107">
        <v>135174.78588644252</v>
      </c>
    </row>
    <row r="24" spans="1:31" x14ac:dyDescent="0.2">
      <c r="A24" s="256">
        <v>40117</v>
      </c>
      <c r="B24" s="262">
        <v>119665804</v>
      </c>
      <c r="C24" s="257">
        <f>'WMP pivot'!J54</f>
        <v>3490030.3499999996</v>
      </c>
      <c r="D24" s="257">
        <f t="shared" si="6"/>
        <v>116175773.65000001</v>
      </c>
      <c r="E24" s="257">
        <v>23127451</v>
      </c>
      <c r="F24" s="257">
        <f t="shared" si="1"/>
        <v>139303224.65000001</v>
      </c>
      <c r="G24" s="263">
        <v>329.1</v>
      </c>
      <c r="H24" s="263">
        <v>0</v>
      </c>
      <c r="I24" s="259">
        <v>31</v>
      </c>
      <c r="J24" s="259">
        <v>1</v>
      </c>
      <c r="K24" s="257">
        <v>336</v>
      </c>
      <c r="L24" s="259">
        <v>0</v>
      </c>
      <c r="M24" s="260">
        <v>61</v>
      </c>
      <c r="N24" s="257">
        <f>'CDM Activity '!H105</f>
        <v>1361488.0999267504</v>
      </c>
      <c r="O24" s="431">
        <v>22</v>
      </c>
      <c r="P24" s="257">
        <v>644.9</v>
      </c>
      <c r="Q24" s="261">
        <v>135.09963459179312</v>
      </c>
      <c r="R24" s="257">
        <f>R23+(R32-R20)/12</f>
        <v>74116.84388333332</v>
      </c>
      <c r="S24" s="259">
        <f t="shared" si="2"/>
        <v>139317517.54392254</v>
      </c>
      <c r="T24" s="48">
        <f t="shared" si="3"/>
        <v>14292.893922537565</v>
      </c>
      <c r="U24" s="109">
        <f t="shared" si="4"/>
        <v>1.2302817939992746E-4</v>
      </c>
      <c r="V24" s="13">
        <f t="shared" si="5"/>
        <v>1.2302817939992746E-4</v>
      </c>
      <c r="W24" s="13"/>
      <c r="X24" s="13"/>
      <c r="Y24" s="32" t="s">
        <v>190</v>
      </c>
      <c r="Z24" s="107">
        <v>-9938327.1758653913</v>
      </c>
      <c r="AA24" s="229">
        <v>941688.81560665939</v>
      </c>
      <c r="AB24" s="106">
        <v>-10.553727527774527</v>
      </c>
      <c r="AC24" s="32">
        <v>1.7113157657986034E-18</v>
      </c>
      <c r="AD24" s="229">
        <v>-11804162.853492673</v>
      </c>
      <c r="AE24" s="229">
        <v>-8072491.4982381081</v>
      </c>
    </row>
    <row r="25" spans="1:31" ht="13.5" thickBot="1" x14ac:dyDescent="0.25">
      <c r="A25" s="256">
        <v>40147</v>
      </c>
      <c r="B25" s="262">
        <v>119039063</v>
      </c>
      <c r="C25" s="257">
        <f>'WMP pivot'!J55</f>
        <v>3367917.95</v>
      </c>
      <c r="D25" s="257">
        <f t="shared" si="6"/>
        <v>115671145.05</v>
      </c>
      <c r="E25" s="257">
        <v>23082942</v>
      </c>
      <c r="F25" s="257">
        <f t="shared" si="1"/>
        <v>138754087.05000001</v>
      </c>
      <c r="G25" s="263">
        <v>396.5</v>
      </c>
      <c r="H25" s="263">
        <v>0</v>
      </c>
      <c r="I25" s="259">
        <v>30</v>
      </c>
      <c r="J25" s="259">
        <v>1</v>
      </c>
      <c r="K25" s="257">
        <v>320</v>
      </c>
      <c r="L25" s="259">
        <v>0</v>
      </c>
      <c r="M25" s="260">
        <v>55.2</v>
      </c>
      <c r="N25" s="257">
        <f>'CDM Activity '!H106</f>
        <v>1415673.8098274008</v>
      </c>
      <c r="O25" s="431">
        <v>23</v>
      </c>
      <c r="P25" s="257">
        <v>642.20000000000005</v>
      </c>
      <c r="Q25" s="261">
        <v>134.733974390893</v>
      </c>
      <c r="R25" s="257">
        <f>R24+(R32-R20)/12</f>
        <v>74225.52360416665</v>
      </c>
      <c r="S25" s="259">
        <f t="shared" si="2"/>
        <v>138447761.81883287</v>
      </c>
      <c r="T25" s="48">
        <f t="shared" si="3"/>
        <v>-306325.23116713762</v>
      </c>
      <c r="U25" s="109">
        <f t="shared" si="4"/>
        <v>-2.648242403364517E-3</v>
      </c>
      <c r="V25" s="13">
        <f t="shared" si="5"/>
        <v>2.648242403364517E-3</v>
      </c>
      <c r="W25" s="13"/>
      <c r="X25" s="13"/>
      <c r="Y25" s="33" t="s">
        <v>109</v>
      </c>
      <c r="Z25" s="156">
        <v>-236845.24419939605</v>
      </c>
      <c r="AA25" s="156">
        <v>41730.539492950833</v>
      </c>
      <c r="AB25" s="108">
        <v>-5.6755854843286704</v>
      </c>
      <c r="AC25" s="33">
        <v>1.1004265454078023E-7</v>
      </c>
      <c r="AD25" s="156">
        <v>-319528.95897031127</v>
      </c>
      <c r="AE25" s="156">
        <v>-154161.52942848083</v>
      </c>
    </row>
    <row r="26" spans="1:31" x14ac:dyDescent="0.2">
      <c r="A26" s="256">
        <v>40178</v>
      </c>
      <c r="B26" s="262">
        <v>128577043</v>
      </c>
      <c r="C26" s="257">
        <f>'WMP pivot'!J56</f>
        <v>3361528.42</v>
      </c>
      <c r="D26" s="257">
        <f t="shared" si="6"/>
        <v>125215514.58</v>
      </c>
      <c r="E26" s="257">
        <v>25929754</v>
      </c>
      <c r="F26" s="257">
        <f t="shared" si="1"/>
        <v>151145268.57999998</v>
      </c>
      <c r="G26" s="263">
        <v>669.5</v>
      </c>
      <c r="H26" s="263">
        <v>0</v>
      </c>
      <c r="I26" s="259">
        <v>31</v>
      </c>
      <c r="J26" s="259">
        <v>0</v>
      </c>
      <c r="K26" s="257">
        <v>352</v>
      </c>
      <c r="L26" s="259">
        <v>0</v>
      </c>
      <c r="M26" s="260">
        <v>56</v>
      </c>
      <c r="N26" s="257">
        <f>'CDM Activity '!H107</f>
        <v>1469859.5197280513</v>
      </c>
      <c r="O26" s="431">
        <v>24</v>
      </c>
      <c r="P26" s="257">
        <v>639.1</v>
      </c>
      <c r="Q26" s="261">
        <v>134.36930388462019</v>
      </c>
      <c r="R26" s="257">
        <f>R25+(R32-R20)/12</f>
        <v>74334.20332499998</v>
      </c>
      <c r="S26" s="259">
        <f t="shared" si="2"/>
        <v>153372177.06014141</v>
      </c>
      <c r="T26" s="48">
        <f t="shared" si="3"/>
        <v>2226908.4801414311</v>
      </c>
      <c r="U26" s="109">
        <f t="shared" si="4"/>
        <v>1.7784605107529727E-2</v>
      </c>
      <c r="V26" s="13">
        <f t="shared" si="5"/>
        <v>1.7784605107529727E-2</v>
      </c>
      <c r="W26" s="13"/>
      <c r="X26" s="13"/>
    </row>
    <row r="27" spans="1:31" x14ac:dyDescent="0.2">
      <c r="A27" s="256">
        <v>40209</v>
      </c>
      <c r="B27" s="262">
        <v>134104887</v>
      </c>
      <c r="C27" s="257">
        <f>'WMP pivot'!J58</f>
        <v>3347485.61</v>
      </c>
      <c r="D27" s="257">
        <f t="shared" si="6"/>
        <v>130757401.39</v>
      </c>
      <c r="E27" s="257">
        <v>26725070.669912308</v>
      </c>
      <c r="F27" s="257">
        <f t="shared" si="1"/>
        <v>157482472.05991232</v>
      </c>
      <c r="G27" s="263">
        <v>727.1</v>
      </c>
      <c r="H27" s="263">
        <v>0</v>
      </c>
      <c r="I27" s="259">
        <v>31</v>
      </c>
      <c r="J27" s="259">
        <v>0</v>
      </c>
      <c r="K27" s="257">
        <v>320</v>
      </c>
      <c r="L27" s="259">
        <v>0</v>
      </c>
      <c r="M27" s="260">
        <v>59.6</v>
      </c>
      <c r="N27" s="257">
        <f>'CDM Activity '!H108</f>
        <v>1495424.7349871038</v>
      </c>
      <c r="O27" s="431">
        <v>25</v>
      </c>
      <c r="P27" s="257">
        <v>633.6</v>
      </c>
      <c r="Q27" s="261">
        <v>134.73334561620703</v>
      </c>
      <c r="R27" s="257">
        <f>R26+($R$32-$R$20)/12</f>
        <v>74442.88304583331</v>
      </c>
      <c r="S27" s="259">
        <f t="shared" si="2"/>
        <v>150989532.8581166</v>
      </c>
      <c r="T27" s="48">
        <f t="shared" si="3"/>
        <v>-6492939.201795727</v>
      </c>
      <c r="U27" s="109">
        <f t="shared" si="4"/>
        <v>-4.9656379927815623E-2</v>
      </c>
      <c r="V27" s="13">
        <f t="shared" si="5"/>
        <v>4.9656379927815623E-2</v>
      </c>
    </row>
    <row r="28" spans="1:31" x14ac:dyDescent="0.2">
      <c r="A28" s="256">
        <v>40237</v>
      </c>
      <c r="B28" s="262">
        <v>119717521</v>
      </c>
      <c r="C28" s="257">
        <f>'WMP pivot'!J59</f>
        <v>2989142.54</v>
      </c>
      <c r="D28" s="257">
        <f t="shared" si="6"/>
        <v>116728378.45999999</v>
      </c>
      <c r="E28" s="257">
        <v>23541639.521420304</v>
      </c>
      <c r="F28" s="257">
        <f t="shared" si="1"/>
        <v>140270017.98142031</v>
      </c>
      <c r="G28" s="263">
        <v>644.70000000000005</v>
      </c>
      <c r="H28" s="263">
        <v>0</v>
      </c>
      <c r="I28" s="259">
        <v>28</v>
      </c>
      <c r="J28" s="259">
        <v>0</v>
      </c>
      <c r="K28" s="257">
        <v>304</v>
      </c>
      <c r="L28" s="259">
        <v>0</v>
      </c>
      <c r="M28" s="260">
        <v>64.7</v>
      </c>
      <c r="N28" s="257">
        <f>'CDM Activity '!H109</f>
        <v>1520989.9502461564</v>
      </c>
      <c r="O28" s="431">
        <v>26</v>
      </c>
      <c r="P28" s="257">
        <v>630.5</v>
      </c>
      <c r="Q28" s="261">
        <v>135.09837363244745</v>
      </c>
      <c r="R28" s="257">
        <f>R27+($R$32-$R$20)/12</f>
        <v>74551.562766666641</v>
      </c>
      <c r="S28" s="259">
        <f t="shared" si="2"/>
        <v>139270086.00806153</v>
      </c>
      <c r="T28" s="48">
        <f t="shared" si="3"/>
        <v>-999931.97335878015</v>
      </c>
      <c r="U28" s="109">
        <f t="shared" si="4"/>
        <v>-8.5663142635141864E-3</v>
      </c>
      <c r="V28" s="13">
        <f t="shared" si="5"/>
        <v>8.5663142635141864E-3</v>
      </c>
      <c r="Y28" t="s">
        <v>23</v>
      </c>
    </row>
    <row r="29" spans="1:31" ht="13.5" thickBot="1" x14ac:dyDescent="0.25">
      <c r="A29" s="256">
        <v>40268</v>
      </c>
      <c r="B29" s="262">
        <v>125455107</v>
      </c>
      <c r="C29" s="257">
        <f>'WMP pivot'!J60</f>
        <v>3370604.0700000003</v>
      </c>
      <c r="D29" s="257">
        <f t="shared" si="6"/>
        <v>122084502.93000001</v>
      </c>
      <c r="E29" s="257">
        <v>23601051.190171484</v>
      </c>
      <c r="F29" s="257">
        <f t="shared" si="1"/>
        <v>145685554.12017149</v>
      </c>
      <c r="G29" s="263">
        <v>470.9</v>
      </c>
      <c r="H29" s="263">
        <v>0</v>
      </c>
      <c r="I29" s="259">
        <v>31</v>
      </c>
      <c r="J29" s="259">
        <v>1</v>
      </c>
      <c r="K29" s="257">
        <v>368</v>
      </c>
      <c r="L29" s="259">
        <v>0</v>
      </c>
      <c r="M29" s="260">
        <v>68.2</v>
      </c>
      <c r="N29" s="257">
        <f>'CDM Activity '!H110</f>
        <v>1546555.165505209</v>
      </c>
      <c r="O29" s="431">
        <v>27</v>
      </c>
      <c r="P29" s="257">
        <v>627.5</v>
      </c>
      <c r="Q29" s="261">
        <v>135.46439060544563</v>
      </c>
      <c r="R29" s="257">
        <f>R28+($R$32-$R$20)/12</f>
        <v>74660.242487499971</v>
      </c>
      <c r="S29" s="259">
        <f t="shared" si="2"/>
        <v>143807633.56163093</v>
      </c>
      <c r="T29" s="48">
        <f t="shared" si="3"/>
        <v>-1877920.5585405529</v>
      </c>
      <c r="U29" s="109">
        <f t="shared" si="4"/>
        <v>-1.5382137072854385E-2</v>
      </c>
      <c r="V29" s="13">
        <f t="shared" si="5"/>
        <v>1.5382137072854385E-2</v>
      </c>
    </row>
    <row r="30" spans="1:31" x14ac:dyDescent="0.2">
      <c r="A30" s="256">
        <v>40298</v>
      </c>
      <c r="B30" s="262">
        <v>112822227</v>
      </c>
      <c r="C30" s="257">
        <f>'WMP pivot'!J61</f>
        <v>3395070.4299999997</v>
      </c>
      <c r="D30" s="257">
        <f t="shared" si="6"/>
        <v>109427156.56999999</v>
      </c>
      <c r="E30" s="257">
        <v>20493532.865168542</v>
      </c>
      <c r="F30" s="257">
        <f t="shared" si="1"/>
        <v>129920689.43516853</v>
      </c>
      <c r="G30" s="263">
        <v>255.7</v>
      </c>
      <c r="H30" s="263">
        <v>0</v>
      </c>
      <c r="I30" s="259">
        <v>30</v>
      </c>
      <c r="J30" s="259">
        <v>1</v>
      </c>
      <c r="K30" s="257">
        <v>320</v>
      </c>
      <c r="L30" s="259">
        <v>0</v>
      </c>
      <c r="M30" s="260">
        <v>66.8</v>
      </c>
      <c r="N30" s="257">
        <f>'CDM Activity '!H111</f>
        <v>1572120.3807642616</v>
      </c>
      <c r="O30" s="431">
        <v>28</v>
      </c>
      <c r="P30" s="257">
        <v>631.6</v>
      </c>
      <c r="Q30" s="261">
        <v>135.83139921454512</v>
      </c>
      <c r="R30" s="257">
        <f>R29+($R$32-$R$20)/12</f>
        <v>74768.922208333301</v>
      </c>
      <c r="S30" s="259">
        <f t="shared" si="2"/>
        <v>132406032.09250094</v>
      </c>
      <c r="T30" s="48">
        <f t="shared" si="3"/>
        <v>2485342.6573324054</v>
      </c>
      <c r="U30" s="109">
        <f t="shared" si="4"/>
        <v>2.2712302277017902E-2</v>
      </c>
      <c r="V30" s="13">
        <f t="shared" si="5"/>
        <v>2.2712302277017902E-2</v>
      </c>
      <c r="Y30" s="35" t="s">
        <v>24</v>
      </c>
      <c r="Z30" s="35"/>
    </row>
    <row r="31" spans="1:31" x14ac:dyDescent="0.2">
      <c r="A31" s="256">
        <v>40329</v>
      </c>
      <c r="B31" s="262">
        <v>122392253</v>
      </c>
      <c r="C31" s="257">
        <f>'WMP pivot'!J62</f>
        <v>3628575.07</v>
      </c>
      <c r="D31" s="257">
        <f t="shared" si="6"/>
        <v>118763677.93000001</v>
      </c>
      <c r="E31" s="257">
        <v>22580250.205423173</v>
      </c>
      <c r="F31" s="257">
        <f t="shared" si="1"/>
        <v>141343928.13542318</v>
      </c>
      <c r="G31" s="263">
        <v>144.69999999999999</v>
      </c>
      <c r="H31" s="263">
        <v>21</v>
      </c>
      <c r="I31" s="259">
        <v>31</v>
      </c>
      <c r="J31" s="259">
        <v>1</v>
      </c>
      <c r="K31" s="257">
        <v>320</v>
      </c>
      <c r="L31" s="259">
        <v>0</v>
      </c>
      <c r="M31" s="260">
        <v>64.3</v>
      </c>
      <c r="N31" s="257">
        <f>'CDM Activity '!H112</f>
        <v>1597685.5960233142</v>
      </c>
      <c r="O31" s="431">
        <v>29</v>
      </c>
      <c r="P31" s="257">
        <v>641.5</v>
      </c>
      <c r="Q31" s="261">
        <v>136.19940214634852</v>
      </c>
      <c r="R31" s="257">
        <f>R30+($R$32-$R$20)/12</f>
        <v>74877.601929166631</v>
      </c>
      <c r="S31" s="259">
        <f t="shared" si="2"/>
        <v>139134528.52378818</v>
      </c>
      <c r="T31" s="48">
        <f t="shared" si="3"/>
        <v>-2209399.6116349995</v>
      </c>
      <c r="U31" s="109">
        <f t="shared" si="4"/>
        <v>-1.8603327634710273E-2</v>
      </c>
      <c r="V31" s="13">
        <f t="shared" si="5"/>
        <v>1.8603327634710273E-2</v>
      </c>
      <c r="Y31" s="32" t="s">
        <v>25</v>
      </c>
      <c r="Z31" s="220">
        <v>0.92812657732772486</v>
      </c>
    </row>
    <row r="32" spans="1:31" x14ac:dyDescent="0.2">
      <c r="A32" s="256">
        <v>40359</v>
      </c>
      <c r="B32" s="262">
        <v>127582818</v>
      </c>
      <c r="C32" s="257">
        <f>'WMP pivot'!J63</f>
        <v>3761081.22</v>
      </c>
      <c r="D32" s="257">
        <f t="shared" si="6"/>
        <v>123821736.78</v>
      </c>
      <c r="E32" s="257">
        <v>23502731.549067315</v>
      </c>
      <c r="F32" s="257">
        <f t="shared" si="1"/>
        <v>147324468.32906732</v>
      </c>
      <c r="G32" s="263">
        <v>37.700000000000003</v>
      </c>
      <c r="H32" s="263">
        <v>26.8</v>
      </c>
      <c r="I32" s="259">
        <v>30</v>
      </c>
      <c r="J32" s="259">
        <v>0</v>
      </c>
      <c r="K32" s="257">
        <v>352</v>
      </c>
      <c r="L32" s="259">
        <v>0</v>
      </c>
      <c r="M32" s="260">
        <v>58.3</v>
      </c>
      <c r="N32" s="257">
        <f>'CDM Activity '!H113</f>
        <v>1623250.8112823667</v>
      </c>
      <c r="O32" s="431">
        <v>30</v>
      </c>
      <c r="P32" s="257">
        <v>657.2</v>
      </c>
      <c r="Q32" s="261">
        <v>136.56840209473719</v>
      </c>
      <c r="R32" s="257">
        <f>'Rate Class Customer Model'!S13</f>
        <v>74986.28164999999</v>
      </c>
      <c r="S32" s="259">
        <f t="shared" si="2"/>
        <v>143769708.93974125</v>
      </c>
      <c r="T32" s="48">
        <f t="shared" si="3"/>
        <v>-3554759.3893260658</v>
      </c>
      <c r="U32" s="109">
        <f t="shared" si="4"/>
        <v>-2.8708686227216926E-2</v>
      </c>
      <c r="V32" s="13">
        <f t="shared" si="5"/>
        <v>2.8708686227216926E-2</v>
      </c>
      <c r="Y32" s="32" t="s">
        <v>26</v>
      </c>
      <c r="Z32" s="220">
        <v>0.86141894354207715</v>
      </c>
    </row>
    <row r="33" spans="1:31" x14ac:dyDescent="0.2">
      <c r="A33" s="256">
        <v>40390</v>
      </c>
      <c r="B33" s="262">
        <v>140727870</v>
      </c>
      <c r="C33" s="257">
        <f>'WMP pivot'!J64</f>
        <v>4126395.21</v>
      </c>
      <c r="D33" s="257">
        <f t="shared" si="6"/>
        <v>136601474.78999999</v>
      </c>
      <c r="E33" s="257">
        <v>27078109.333333336</v>
      </c>
      <c r="F33" s="257">
        <f t="shared" si="1"/>
        <v>163679584.12333333</v>
      </c>
      <c r="G33" s="263">
        <v>6.7</v>
      </c>
      <c r="H33" s="263">
        <v>100.6</v>
      </c>
      <c r="I33" s="259">
        <v>31</v>
      </c>
      <c r="J33" s="259">
        <v>0</v>
      </c>
      <c r="K33" s="257">
        <v>336</v>
      </c>
      <c r="L33" s="259">
        <v>0</v>
      </c>
      <c r="M33" s="260">
        <v>57.5</v>
      </c>
      <c r="N33" s="257">
        <f>'CDM Activity '!H114</f>
        <v>1648816.0265414193</v>
      </c>
      <c r="O33" s="431">
        <v>31</v>
      </c>
      <c r="P33" s="257">
        <v>669.8</v>
      </c>
      <c r="Q33" s="261">
        <v>136.93840176089088</v>
      </c>
      <c r="R33" s="257">
        <f t="shared" ref="R33:R43" si="7">R32+($R$44-$R$32)/12</f>
        <v>75077.202001343016</v>
      </c>
      <c r="S33" s="259">
        <f t="shared" si="2"/>
        <v>166498951.98871157</v>
      </c>
      <c r="T33" s="48">
        <f t="shared" si="3"/>
        <v>2819367.8653782308</v>
      </c>
      <c r="U33" s="109">
        <f t="shared" si="4"/>
        <v>2.0639366227286331E-2</v>
      </c>
      <c r="V33" s="13">
        <f t="shared" si="5"/>
        <v>2.0639366227286331E-2</v>
      </c>
      <c r="W33"/>
      <c r="X33"/>
      <c r="Y33" s="32" t="s">
        <v>27</v>
      </c>
      <c r="Z33" s="220">
        <v>0.85143111965321783</v>
      </c>
    </row>
    <row r="34" spans="1:31" x14ac:dyDescent="0.2">
      <c r="A34" s="256">
        <v>40421</v>
      </c>
      <c r="B34" s="262">
        <v>139365541</v>
      </c>
      <c r="C34" s="257">
        <f>'WMP pivot'!J65</f>
        <v>4052555.84</v>
      </c>
      <c r="D34" s="257">
        <f t="shared" si="6"/>
        <v>135312985.16</v>
      </c>
      <c r="E34" s="257">
        <v>27739352.653061222</v>
      </c>
      <c r="F34" s="257">
        <f t="shared" si="1"/>
        <v>163052337.81306121</v>
      </c>
      <c r="G34" s="263">
        <v>9.6999999999999993</v>
      </c>
      <c r="H34" s="263">
        <v>79.2</v>
      </c>
      <c r="I34" s="259">
        <v>31</v>
      </c>
      <c r="J34" s="259">
        <v>0</v>
      </c>
      <c r="K34" s="257">
        <v>336</v>
      </c>
      <c r="L34" s="259">
        <v>0</v>
      </c>
      <c r="M34" s="260">
        <v>56.4</v>
      </c>
      <c r="N34" s="257">
        <f>'CDM Activity '!H115</f>
        <v>1674381.2418004719</v>
      </c>
      <c r="O34" s="431">
        <v>32</v>
      </c>
      <c r="P34" s="257">
        <v>672</v>
      </c>
      <c r="Q34" s="261">
        <v>137.30940385330757</v>
      </c>
      <c r="R34" s="257">
        <f t="shared" si="7"/>
        <v>75168.122352686041</v>
      </c>
      <c r="S34" s="259">
        <f t="shared" si="2"/>
        <v>160356802.42213783</v>
      </c>
      <c r="T34" s="48">
        <f t="shared" si="3"/>
        <v>-2695535.3909233809</v>
      </c>
      <c r="U34" s="109">
        <f t="shared" si="4"/>
        <v>-1.9920744396674583E-2</v>
      </c>
      <c r="V34" s="13">
        <f t="shared" si="5"/>
        <v>1.9920744396674583E-2</v>
      </c>
      <c r="W34"/>
      <c r="X34"/>
      <c r="Y34" s="32" t="s">
        <v>28</v>
      </c>
      <c r="Z34" s="107">
        <v>3724226.4163414957</v>
      </c>
    </row>
    <row r="35" spans="1:31" ht="13.5" thickBot="1" x14ac:dyDescent="0.25">
      <c r="A35" s="256">
        <v>40451</v>
      </c>
      <c r="B35" s="262">
        <v>119162847</v>
      </c>
      <c r="C35" s="257">
        <f>'WMP pivot'!J66</f>
        <v>3695864.4400000004</v>
      </c>
      <c r="D35" s="257">
        <f t="shared" si="6"/>
        <v>115466982.56</v>
      </c>
      <c r="E35" s="257">
        <v>24072312.807881773</v>
      </c>
      <c r="F35" s="257">
        <f t="shared" si="1"/>
        <v>139539295.36788177</v>
      </c>
      <c r="G35" s="263">
        <v>122.7</v>
      </c>
      <c r="H35" s="263">
        <v>16.7</v>
      </c>
      <c r="I35" s="259">
        <v>30</v>
      </c>
      <c r="J35" s="259">
        <v>1</v>
      </c>
      <c r="K35" s="257">
        <v>336</v>
      </c>
      <c r="L35" s="259">
        <v>0</v>
      </c>
      <c r="M35" s="260">
        <v>58.1</v>
      </c>
      <c r="N35" s="257">
        <f>'CDM Activity '!H116</f>
        <v>1699946.4570595245</v>
      </c>
      <c r="O35" s="431">
        <v>33</v>
      </c>
      <c r="P35" s="257">
        <v>665.1</v>
      </c>
      <c r="Q35" s="261">
        <v>137.68141108782325</v>
      </c>
      <c r="R35" s="257">
        <f t="shared" si="7"/>
        <v>75259.042704029067</v>
      </c>
      <c r="S35" s="259">
        <f t="shared" ref="S35:S66" si="8">$Z$18+$Z$19*G35+$Z$20*H35+$Z$21*I35+$Z$22*J35+$Z$23*K35+$Z$24*L35+$Z$25*M35</f>
        <v>137844857.85954103</v>
      </c>
      <c r="T35" s="48">
        <f t="shared" ref="T35:T66" si="9">S35-F35</f>
        <v>-1694437.5083407462</v>
      </c>
      <c r="U35" s="109">
        <f t="shared" ref="U35:U66" si="10">T35/D35</f>
        <v>-1.4674649590503217E-2</v>
      </c>
      <c r="V35" s="13">
        <f t="shared" si="5"/>
        <v>1.4674649590503217E-2</v>
      </c>
      <c r="W35"/>
      <c r="X35"/>
      <c r="Y35" s="33" t="s">
        <v>29</v>
      </c>
      <c r="Z35" s="33">
        <v>120</v>
      </c>
    </row>
    <row r="36" spans="1:31" x14ac:dyDescent="0.2">
      <c r="A36" s="256">
        <v>40482</v>
      </c>
      <c r="B36" s="262">
        <v>117558713</v>
      </c>
      <c r="C36" s="257">
        <f>'WMP pivot'!J67</f>
        <v>3584867.3899999997</v>
      </c>
      <c r="D36" s="257">
        <f t="shared" si="6"/>
        <v>113973845.61</v>
      </c>
      <c r="E36" s="257">
        <v>22594688.646504708</v>
      </c>
      <c r="F36" s="257">
        <f t="shared" si="1"/>
        <v>136568534.25650471</v>
      </c>
      <c r="G36" s="263">
        <v>279.60000000000002</v>
      </c>
      <c r="H36" s="263">
        <v>0</v>
      </c>
      <c r="I36" s="259">
        <v>31</v>
      </c>
      <c r="J36" s="259">
        <v>1</v>
      </c>
      <c r="K36" s="257">
        <v>320</v>
      </c>
      <c r="L36" s="259">
        <v>0</v>
      </c>
      <c r="M36" s="260">
        <v>56.2</v>
      </c>
      <c r="N36" s="257">
        <f>'CDM Activity '!H117</f>
        <v>1725511.6723185771</v>
      </c>
      <c r="O36" s="431">
        <v>34</v>
      </c>
      <c r="P36" s="257">
        <v>657.2</v>
      </c>
      <c r="Q36" s="261">
        <v>138.0544261876318</v>
      </c>
      <c r="R36" s="257">
        <f t="shared" si="7"/>
        <v>75349.963055372093</v>
      </c>
      <c r="S36" s="259">
        <f t="shared" si="8"/>
        <v>137857373.77642754</v>
      </c>
      <c r="T36" s="48">
        <f t="shared" si="9"/>
        <v>1288839.5199228227</v>
      </c>
      <c r="U36" s="109">
        <f t="shared" si="10"/>
        <v>1.1308204202681924E-2</v>
      </c>
      <c r="V36" s="13">
        <f t="shared" si="5"/>
        <v>1.1308204202681924E-2</v>
      </c>
      <c r="W36"/>
      <c r="X36"/>
    </row>
    <row r="37" spans="1:31" ht="13.5" thickBot="1" x14ac:dyDescent="0.25">
      <c r="A37" s="256">
        <v>40512</v>
      </c>
      <c r="B37" s="262">
        <v>122844772</v>
      </c>
      <c r="C37" s="257">
        <f>'WMP pivot'!J68</f>
        <v>3350403.71</v>
      </c>
      <c r="D37" s="257">
        <f t="shared" si="6"/>
        <v>119494368.29000001</v>
      </c>
      <c r="E37" s="257">
        <v>23581777.973052137</v>
      </c>
      <c r="F37" s="257">
        <f t="shared" si="1"/>
        <v>143076146.26305214</v>
      </c>
      <c r="G37" s="263">
        <v>337.9</v>
      </c>
      <c r="H37" s="263">
        <v>0</v>
      </c>
      <c r="I37" s="259">
        <v>30</v>
      </c>
      <c r="J37" s="259">
        <v>1</v>
      </c>
      <c r="K37" s="257">
        <v>336</v>
      </c>
      <c r="L37" s="259">
        <v>0</v>
      </c>
      <c r="M37" s="260">
        <v>52.4</v>
      </c>
      <c r="N37" s="257">
        <f>'CDM Activity '!H118</f>
        <v>1751076.8875776296</v>
      </c>
      <c r="O37" s="431">
        <v>35</v>
      </c>
      <c r="P37" s="257">
        <v>655.20000000000005</v>
      </c>
      <c r="Q37" s="261">
        <v>138.42845188330503</v>
      </c>
      <c r="R37" s="257">
        <f t="shared" si="7"/>
        <v>75440.883406715118</v>
      </c>
      <c r="S37" s="259">
        <f t="shared" si="8"/>
        <v>139178692.78741229</v>
      </c>
      <c r="T37" s="48">
        <f t="shared" si="9"/>
        <v>-3897453.4756398499</v>
      </c>
      <c r="U37" s="109">
        <f t="shared" si="10"/>
        <v>-3.2616210549614763E-2</v>
      </c>
      <c r="V37" s="13">
        <f t="shared" si="5"/>
        <v>3.2616210549614763E-2</v>
      </c>
      <c r="W37"/>
      <c r="X37"/>
      <c r="Y37" t="s">
        <v>30</v>
      </c>
    </row>
    <row r="38" spans="1:31" x14ac:dyDescent="0.2">
      <c r="A38" s="256">
        <v>40543</v>
      </c>
      <c r="B38" s="262">
        <v>131431074</v>
      </c>
      <c r="C38" s="257">
        <f>'WMP pivot'!J69</f>
        <v>3374793.03</v>
      </c>
      <c r="D38" s="257">
        <f t="shared" si="6"/>
        <v>128056280.97</v>
      </c>
      <c r="E38" s="257">
        <v>25922542.585003726</v>
      </c>
      <c r="F38" s="257">
        <f t="shared" si="1"/>
        <v>153978823.55500373</v>
      </c>
      <c r="G38" s="263">
        <v>719.4</v>
      </c>
      <c r="H38" s="263">
        <v>0</v>
      </c>
      <c r="I38" s="259">
        <v>31</v>
      </c>
      <c r="J38" s="259">
        <v>0</v>
      </c>
      <c r="K38" s="257">
        <v>368</v>
      </c>
      <c r="L38" s="259">
        <v>0</v>
      </c>
      <c r="M38" s="260">
        <v>50.5</v>
      </c>
      <c r="N38" s="257">
        <f>'CDM Activity '!H119</f>
        <v>1776642.1028366822</v>
      </c>
      <c r="O38" s="431">
        <v>36</v>
      </c>
      <c r="P38" s="257">
        <v>653.29999999999995</v>
      </c>
      <c r="Q38" s="261">
        <v>138.80349091281266</v>
      </c>
      <c r="R38" s="257">
        <f t="shared" si="7"/>
        <v>75531.803758058144</v>
      </c>
      <c r="S38" s="259">
        <f t="shared" si="8"/>
        <v>157281185.72042888</v>
      </c>
      <c r="T38" s="48">
        <f t="shared" si="9"/>
        <v>3302362.1654251516</v>
      </c>
      <c r="U38" s="109">
        <f t="shared" si="10"/>
        <v>2.578836540004471E-2</v>
      </c>
      <c r="V38" s="13">
        <f t="shared" si="5"/>
        <v>2.578836540004471E-2</v>
      </c>
      <c r="W38"/>
      <c r="X38"/>
      <c r="Y38" s="34"/>
      <c r="Z38" s="34" t="s">
        <v>34</v>
      </c>
      <c r="AA38" s="34" t="s">
        <v>35</v>
      </c>
      <c r="AB38" s="34" t="s">
        <v>36</v>
      </c>
      <c r="AC38" s="34" t="s">
        <v>37</v>
      </c>
      <c r="AD38" s="34" t="s">
        <v>38</v>
      </c>
    </row>
    <row r="39" spans="1:31" x14ac:dyDescent="0.2">
      <c r="A39" s="256">
        <v>40574</v>
      </c>
      <c r="B39" s="262">
        <f>135907935+(2912181.71/12)</f>
        <v>136150616.80916667</v>
      </c>
      <c r="C39" s="257">
        <f>'WMP pivot'!J71</f>
        <v>3269338.85</v>
      </c>
      <c r="D39" s="257">
        <f t="shared" si="6"/>
        <v>132881277.95916668</v>
      </c>
      <c r="E39" s="257">
        <v>27651533.369601712</v>
      </c>
      <c r="F39" s="257">
        <f t="shared" si="1"/>
        <v>160532811.32876837</v>
      </c>
      <c r="G39" s="263">
        <v>770</v>
      </c>
      <c r="H39" s="263">
        <v>0</v>
      </c>
      <c r="I39" s="259">
        <v>31</v>
      </c>
      <c r="J39" s="257">
        <v>0</v>
      </c>
      <c r="K39" s="257">
        <v>336</v>
      </c>
      <c r="L39" s="259">
        <v>0</v>
      </c>
      <c r="M39" s="260">
        <v>51.4</v>
      </c>
      <c r="N39" s="257">
        <f>'CDM Activity '!H120</f>
        <v>1894820.7510606851</v>
      </c>
      <c r="O39" s="431">
        <v>37</v>
      </c>
      <c r="P39" s="257">
        <v>649.29999999999995</v>
      </c>
      <c r="Q39" s="261">
        <v>139.10070640604135</v>
      </c>
      <c r="R39" s="257">
        <f t="shared" si="7"/>
        <v>75622.72410940117</v>
      </c>
      <c r="S39" s="259">
        <f t="shared" si="8"/>
        <v>155374243.32081538</v>
      </c>
      <c r="T39" s="48">
        <f t="shared" si="9"/>
        <v>-5158568.0079529881</v>
      </c>
      <c r="U39" s="109">
        <f t="shared" si="10"/>
        <v>-3.8820878961881848E-2</v>
      </c>
      <c r="V39" s="13">
        <f t="shared" si="5"/>
        <v>3.8820878961881848E-2</v>
      </c>
      <c r="W39"/>
      <c r="X39"/>
      <c r="Y39" s="32" t="s">
        <v>31</v>
      </c>
      <c r="Z39" s="32">
        <v>8</v>
      </c>
      <c r="AA39" s="32">
        <v>9569862143172386</v>
      </c>
      <c r="AB39" s="32">
        <v>1196232767896548.2</v>
      </c>
      <c r="AC39" s="32">
        <v>86.246909549829724</v>
      </c>
      <c r="AD39" s="32">
        <v>4.727629962595713E-44</v>
      </c>
    </row>
    <row r="40" spans="1:31" x14ac:dyDescent="0.2">
      <c r="A40" s="256">
        <v>40602</v>
      </c>
      <c r="B40" s="262">
        <f>122520649+(2912181.71/12)</f>
        <v>122763330.80916667</v>
      </c>
      <c r="C40" s="257">
        <f>'WMP pivot'!J72</f>
        <v>3108097.6100000003</v>
      </c>
      <c r="D40" s="257">
        <f t="shared" si="6"/>
        <v>119655233.19916667</v>
      </c>
      <c r="E40" s="257">
        <v>23993442.58101194</v>
      </c>
      <c r="F40" s="257">
        <f t="shared" si="1"/>
        <v>143648675.78017861</v>
      </c>
      <c r="G40" s="263">
        <v>640.79999999999995</v>
      </c>
      <c r="H40" s="263">
        <v>0</v>
      </c>
      <c r="I40" s="259">
        <v>28</v>
      </c>
      <c r="J40" s="257">
        <v>0</v>
      </c>
      <c r="K40" s="257">
        <v>304</v>
      </c>
      <c r="L40" s="259">
        <v>0</v>
      </c>
      <c r="M40" s="260">
        <v>54</v>
      </c>
      <c r="N40" s="257">
        <f>'CDM Activity '!H121</f>
        <v>2012999.3992846881</v>
      </c>
      <c r="O40" s="431">
        <v>38</v>
      </c>
      <c r="P40" s="257">
        <v>651.20000000000005</v>
      </c>
      <c r="Q40" s="261">
        <v>139.39855831733732</v>
      </c>
      <c r="R40" s="257">
        <f t="shared" si="7"/>
        <v>75713.644460744195</v>
      </c>
      <c r="S40" s="259">
        <f t="shared" si="8"/>
        <v>141713081.06499282</v>
      </c>
      <c r="T40" s="48">
        <f t="shared" si="9"/>
        <v>-1935594.7151857913</v>
      </c>
      <c r="U40" s="109">
        <f t="shared" si="10"/>
        <v>-1.6176431765119584E-2</v>
      </c>
      <c r="V40" s="13">
        <f t="shared" si="5"/>
        <v>1.6176431765119584E-2</v>
      </c>
      <c r="W40"/>
      <c r="X40"/>
      <c r="Y40" s="32" t="s">
        <v>32</v>
      </c>
      <c r="Z40" s="32">
        <v>111</v>
      </c>
      <c r="AA40" s="32">
        <v>1539554726419516</v>
      </c>
      <c r="AB40" s="32">
        <v>13869862400175.82</v>
      </c>
      <c r="AC40" s="32"/>
      <c r="AD40" s="32"/>
    </row>
    <row r="41" spans="1:31" ht="13.5" thickBot="1" x14ac:dyDescent="0.25">
      <c r="A41" s="256">
        <v>40633</v>
      </c>
      <c r="B41" s="262">
        <f>131001103+(2912181.71/12)</f>
        <v>131243784.80916667</v>
      </c>
      <c r="C41" s="257">
        <f>'WMP pivot'!J73</f>
        <v>3621503.69</v>
      </c>
      <c r="D41" s="257">
        <f t="shared" si="6"/>
        <v>127622281.11916667</v>
      </c>
      <c r="E41" s="257">
        <v>25227884.876459409</v>
      </c>
      <c r="F41" s="257">
        <f t="shared" si="1"/>
        <v>152850165.99562609</v>
      </c>
      <c r="G41" s="263">
        <v>605.29999999999995</v>
      </c>
      <c r="H41" s="263">
        <v>0</v>
      </c>
      <c r="I41" s="259">
        <v>31</v>
      </c>
      <c r="J41" s="257">
        <v>1</v>
      </c>
      <c r="K41" s="257">
        <v>368</v>
      </c>
      <c r="L41" s="259">
        <v>0</v>
      </c>
      <c r="M41" s="260">
        <v>58.6</v>
      </c>
      <c r="N41" s="257">
        <f>'CDM Activity '!H122</f>
        <v>2131178.047508691</v>
      </c>
      <c r="O41" s="431">
        <v>39</v>
      </c>
      <c r="P41" s="257">
        <v>657.1</v>
      </c>
      <c r="Q41" s="261">
        <v>139.69704800944226</v>
      </c>
      <c r="R41" s="257">
        <f t="shared" si="7"/>
        <v>75804.564812087221</v>
      </c>
      <c r="S41" s="259">
        <f t="shared" si="8"/>
        <v>149225930.75894505</v>
      </c>
      <c r="T41" s="48">
        <f t="shared" si="9"/>
        <v>-3624235.2366810441</v>
      </c>
      <c r="U41" s="109">
        <f t="shared" si="10"/>
        <v>-2.8398138670605116E-2</v>
      </c>
      <c r="V41" s="13">
        <f t="shared" si="5"/>
        <v>2.8398138670605116E-2</v>
      </c>
      <c r="W41"/>
      <c r="X41"/>
      <c r="Y41" s="33" t="s">
        <v>12</v>
      </c>
      <c r="Z41" s="33">
        <v>119</v>
      </c>
      <c r="AA41" s="33">
        <v>1.1109416869591902E+16</v>
      </c>
      <c r="AB41" s="33"/>
      <c r="AC41" s="33"/>
      <c r="AD41" s="33"/>
    </row>
    <row r="42" spans="1:31" ht="13.5" thickBot="1" x14ac:dyDescent="0.25">
      <c r="A42" s="256">
        <v>40663</v>
      </c>
      <c r="B42" s="262">
        <f>114525009+(2912181.71/12)</f>
        <v>114767690.80916667</v>
      </c>
      <c r="C42" s="257">
        <f>'WMP pivot'!J74</f>
        <v>3579072.7199999997</v>
      </c>
      <c r="D42" s="257">
        <f t="shared" si="6"/>
        <v>111188618.08916667</v>
      </c>
      <c r="E42" s="257">
        <v>22075502.164502166</v>
      </c>
      <c r="F42" s="257">
        <f t="shared" si="1"/>
        <v>133264120.25366884</v>
      </c>
      <c r="G42" s="263">
        <v>298.7</v>
      </c>
      <c r="H42" s="263">
        <v>0</v>
      </c>
      <c r="I42" s="259">
        <v>30</v>
      </c>
      <c r="J42" s="257">
        <v>1</v>
      </c>
      <c r="K42" s="257">
        <v>320</v>
      </c>
      <c r="L42" s="259">
        <v>0</v>
      </c>
      <c r="M42" s="260">
        <v>58.1</v>
      </c>
      <c r="N42" s="257">
        <f>'CDM Activity '!H123</f>
        <v>2249356.6957326937</v>
      </c>
      <c r="O42" s="431">
        <v>40</v>
      </c>
      <c r="P42" s="257">
        <v>666.4</v>
      </c>
      <c r="Q42" s="261">
        <v>139.99617684801592</v>
      </c>
      <c r="R42" s="257">
        <f t="shared" si="7"/>
        <v>75895.485163430247</v>
      </c>
      <c r="S42" s="259">
        <f t="shared" si="8"/>
        <v>135472665.05244488</v>
      </c>
      <c r="T42" s="48">
        <f t="shared" si="9"/>
        <v>2208544.7987760305</v>
      </c>
      <c r="U42" s="109">
        <f t="shared" si="10"/>
        <v>1.986304746592775E-2</v>
      </c>
      <c r="V42" s="13">
        <f t="shared" si="5"/>
        <v>1.986304746592775E-2</v>
      </c>
      <c r="W42"/>
      <c r="X42"/>
    </row>
    <row r="43" spans="1:31" x14ac:dyDescent="0.2">
      <c r="A43" s="256">
        <v>40694</v>
      </c>
      <c r="B43" s="262">
        <f>114078847+(2912181.71/12)</f>
        <v>114321528.80916667</v>
      </c>
      <c r="C43" s="257">
        <f>'WMP pivot'!J75</f>
        <v>3980453.5500000003</v>
      </c>
      <c r="D43" s="257">
        <f t="shared" si="6"/>
        <v>110341075.25916667</v>
      </c>
      <c r="E43" s="257">
        <v>22139621.578421582</v>
      </c>
      <c r="F43" s="257">
        <f t="shared" si="1"/>
        <v>132480696.83758825</v>
      </c>
      <c r="G43" s="263">
        <v>148.69999999999999</v>
      </c>
      <c r="H43" s="263">
        <v>13.2</v>
      </c>
      <c r="I43" s="259">
        <v>31</v>
      </c>
      <c r="J43" s="257">
        <v>1</v>
      </c>
      <c r="K43" s="257">
        <v>336</v>
      </c>
      <c r="L43" s="259">
        <v>0</v>
      </c>
      <c r="M43" s="260">
        <v>57.1</v>
      </c>
      <c r="N43" s="257">
        <f>'CDM Activity '!H124</f>
        <v>2367535.3439566963</v>
      </c>
      <c r="O43" s="431">
        <v>41</v>
      </c>
      <c r="P43" s="257">
        <v>671.5</v>
      </c>
      <c r="Q43" s="261">
        <v>140.29594620164227</v>
      </c>
      <c r="R43" s="257">
        <f t="shared" si="7"/>
        <v>75986.405514773272</v>
      </c>
      <c r="S43" s="259">
        <f t="shared" si="8"/>
        <v>140012972.19368172</v>
      </c>
      <c r="T43" s="48">
        <f t="shared" si="9"/>
        <v>7532275.3560934663</v>
      </c>
      <c r="U43" s="109">
        <f t="shared" si="10"/>
        <v>6.8263566748845109E-2</v>
      </c>
      <c r="V43" s="13">
        <f t="shared" si="5"/>
        <v>6.8263566748845109E-2</v>
      </c>
      <c r="W43"/>
      <c r="X43"/>
      <c r="Y43" s="34"/>
      <c r="Z43" s="34" t="s">
        <v>39</v>
      </c>
      <c r="AA43" s="34" t="s">
        <v>28</v>
      </c>
      <c r="AB43" s="34" t="s">
        <v>40</v>
      </c>
      <c r="AC43" s="34" t="s">
        <v>41</v>
      </c>
      <c r="AD43" s="34" t="s">
        <v>42</v>
      </c>
      <c r="AE43" s="34" t="s">
        <v>43</v>
      </c>
    </row>
    <row r="44" spans="1:31" x14ac:dyDescent="0.2">
      <c r="A44" s="256">
        <v>40724</v>
      </c>
      <c r="B44" s="262">
        <f>124489030+(2912181.71/12)</f>
        <v>124731711.80916667</v>
      </c>
      <c r="C44" s="257">
        <f>'WMP pivot'!J76</f>
        <v>4173388.8</v>
      </c>
      <c r="D44" s="257">
        <f t="shared" si="6"/>
        <v>120558323.00916667</v>
      </c>
      <c r="E44" s="257">
        <v>22855810.276679844</v>
      </c>
      <c r="F44" s="257">
        <f t="shared" si="1"/>
        <v>143414133.28584653</v>
      </c>
      <c r="G44" s="263">
        <v>48.5</v>
      </c>
      <c r="H44" s="263">
        <v>21.6</v>
      </c>
      <c r="I44" s="259">
        <v>30</v>
      </c>
      <c r="J44" s="257">
        <v>0</v>
      </c>
      <c r="K44" s="257">
        <v>352</v>
      </c>
      <c r="L44" s="259">
        <v>0</v>
      </c>
      <c r="M44" s="260">
        <v>52.1</v>
      </c>
      <c r="N44" s="257">
        <f>'CDM Activity '!H125</f>
        <v>2485713.992180699</v>
      </c>
      <c r="O44" s="431">
        <v>42</v>
      </c>
      <c r="P44" s="257">
        <v>681.8</v>
      </c>
      <c r="Q44" s="261">
        <v>140.59635744183578</v>
      </c>
      <c r="R44" s="257">
        <f>'Rate Class Customer Model'!S14</f>
        <v>76077.325866116385</v>
      </c>
      <c r="S44" s="259">
        <f t="shared" si="8"/>
        <v>143917992.00867668</v>
      </c>
      <c r="T44" s="48">
        <f t="shared" si="9"/>
        <v>503858.72283014655</v>
      </c>
      <c r="U44" s="109">
        <f t="shared" si="10"/>
        <v>4.1793773358296928E-3</v>
      </c>
      <c r="V44" s="13">
        <f t="shared" si="5"/>
        <v>4.1793773358296928E-3</v>
      </c>
      <c r="W44"/>
      <c r="X44"/>
      <c r="Y44" s="32" t="s">
        <v>33</v>
      </c>
      <c r="Z44" s="107">
        <v>48878120.233237326</v>
      </c>
      <c r="AA44" s="107">
        <v>13725427.086368725</v>
      </c>
      <c r="AB44" s="106">
        <v>3.5611365625030467</v>
      </c>
      <c r="AC44" s="32">
        <v>5.4512075815337749E-4</v>
      </c>
      <c r="AD44" s="107">
        <v>21680270.192233644</v>
      </c>
      <c r="AE44" s="107">
        <v>76075970.274241</v>
      </c>
    </row>
    <row r="45" spans="1:31" x14ac:dyDescent="0.2">
      <c r="A45" s="256">
        <v>40755</v>
      </c>
      <c r="B45" s="262">
        <f>144144406+(2912181.71/12)</f>
        <v>144387087.80916667</v>
      </c>
      <c r="C45" s="257">
        <f>'WMP pivot'!J77</f>
        <v>4723222.93</v>
      </c>
      <c r="D45" s="257">
        <f t="shared" si="6"/>
        <v>139663864.87916666</v>
      </c>
      <c r="E45" s="257">
        <v>28064628.434504792</v>
      </c>
      <c r="F45" s="257">
        <f t="shared" si="1"/>
        <v>167728493.31367147</v>
      </c>
      <c r="G45" s="263">
        <v>0.8</v>
      </c>
      <c r="H45" s="263">
        <v>128.19999999999999</v>
      </c>
      <c r="I45" s="259">
        <v>31</v>
      </c>
      <c r="J45" s="257">
        <v>0</v>
      </c>
      <c r="K45" s="257">
        <v>320</v>
      </c>
      <c r="L45" s="259">
        <v>0</v>
      </c>
      <c r="M45" s="260">
        <v>50</v>
      </c>
      <c r="N45" s="257">
        <f>'CDM Activity '!H126</f>
        <v>2603892.6404047017</v>
      </c>
      <c r="O45" s="431">
        <v>43</v>
      </c>
      <c r="P45" s="257">
        <v>691.5</v>
      </c>
      <c r="Q45" s="261">
        <v>140.89741194304773</v>
      </c>
      <c r="R45" s="257">
        <f>R44+(R56-R44)/12</f>
        <v>76142.021145283055</v>
      </c>
      <c r="S45" s="259">
        <f t="shared" si="8"/>
        <v>175046596.69123659</v>
      </c>
      <c r="T45" s="48">
        <f t="shared" si="9"/>
        <v>7318103.3775651157</v>
      </c>
      <c r="U45" s="109">
        <f t="shared" si="10"/>
        <v>5.2397972688902297E-2</v>
      </c>
      <c r="V45" s="13">
        <f t="shared" si="5"/>
        <v>5.2397972688902297E-2</v>
      </c>
      <c r="W45"/>
      <c r="X45"/>
      <c r="Y45" s="32" t="s">
        <v>4</v>
      </c>
      <c r="Z45" s="107">
        <v>22859.674109885796</v>
      </c>
      <c r="AA45" s="107">
        <v>2041.2802458014814</v>
      </c>
      <c r="AB45" s="106">
        <v>11.1986946216247</v>
      </c>
      <c r="AC45" s="32">
        <v>6.1591576422353628E-20</v>
      </c>
      <c r="AD45" s="107">
        <v>18814.741032931899</v>
      </c>
      <c r="AE45" s="107">
        <v>26904.607186839694</v>
      </c>
    </row>
    <row r="46" spans="1:31" x14ac:dyDescent="0.2">
      <c r="A46" s="256">
        <v>40786</v>
      </c>
      <c r="B46" s="262">
        <f>137697927+(2912181.71/12)</f>
        <v>137940608.80916667</v>
      </c>
      <c r="C46" s="257">
        <f>'WMP pivot'!J78</f>
        <v>4540642.6899999995</v>
      </c>
      <c r="D46" s="257">
        <f t="shared" si="6"/>
        <v>133399966.11916667</v>
      </c>
      <c r="E46" s="257">
        <v>26577980.038282745</v>
      </c>
      <c r="F46" s="257">
        <f t="shared" si="1"/>
        <v>159977946.15744942</v>
      </c>
      <c r="G46" s="263">
        <v>6.9</v>
      </c>
      <c r="H46" s="263">
        <v>54.3</v>
      </c>
      <c r="I46" s="259">
        <v>31</v>
      </c>
      <c r="J46" s="257">
        <v>0</v>
      </c>
      <c r="K46" s="257">
        <v>352</v>
      </c>
      <c r="L46" s="259">
        <v>0</v>
      </c>
      <c r="M46" s="260">
        <v>50.6</v>
      </c>
      <c r="N46" s="257">
        <f>'CDM Activity '!H127</f>
        <v>2722071.2886287044</v>
      </c>
      <c r="O46" s="431">
        <v>44</v>
      </c>
      <c r="P46" s="257">
        <v>694.9</v>
      </c>
      <c r="Q46" s="261">
        <v>141.19911108267243</v>
      </c>
      <c r="R46" s="257">
        <f>R45+(R56-R44)/12</f>
        <v>76206.716424449725</v>
      </c>
      <c r="S46" s="259">
        <f t="shared" si="8"/>
        <v>155572314.51067954</v>
      </c>
      <c r="T46" s="48">
        <f t="shared" si="9"/>
        <v>-4405631.6467698812</v>
      </c>
      <c r="U46" s="109">
        <f t="shared" si="10"/>
        <v>-3.3025732876381053E-2</v>
      </c>
      <c r="V46" s="13">
        <f t="shared" si="5"/>
        <v>3.3025732876381053E-2</v>
      </c>
      <c r="W46"/>
      <c r="X46"/>
      <c r="Y46" s="32" t="s">
        <v>5</v>
      </c>
      <c r="Z46" s="107">
        <v>300525.4210150296</v>
      </c>
      <c r="AA46" s="107">
        <v>20711.164403085193</v>
      </c>
      <c r="AB46" s="106">
        <v>14.510310244568505</v>
      </c>
      <c r="AC46" s="32">
        <v>2.1450819173321167E-27</v>
      </c>
      <c r="AD46" s="107">
        <v>259484.86613356293</v>
      </c>
      <c r="AE46" s="107">
        <v>341565.97589649627</v>
      </c>
    </row>
    <row r="47" spans="1:31" x14ac:dyDescent="0.2">
      <c r="A47" s="256">
        <v>40816</v>
      </c>
      <c r="B47" s="262">
        <f>121686966+(2912181.71/12)</f>
        <v>121929647.80916667</v>
      </c>
      <c r="C47" s="257">
        <f>'WMP pivot'!J79</f>
        <v>4096298.9299999997</v>
      </c>
      <c r="D47" s="257">
        <f t="shared" si="6"/>
        <v>117833348.87916666</v>
      </c>
      <c r="E47" s="257">
        <v>23936195.375422187</v>
      </c>
      <c r="F47" s="257">
        <f t="shared" si="1"/>
        <v>141769544.25458884</v>
      </c>
      <c r="G47" s="263">
        <v>88.9</v>
      </c>
      <c r="H47" s="263">
        <v>17.2</v>
      </c>
      <c r="I47" s="259">
        <v>30</v>
      </c>
      <c r="J47" s="257">
        <v>1</v>
      </c>
      <c r="K47" s="257">
        <v>336</v>
      </c>
      <c r="L47" s="259">
        <v>0</v>
      </c>
      <c r="M47" s="260">
        <v>51.2</v>
      </c>
      <c r="N47" s="257">
        <f>'CDM Activity '!H128</f>
        <v>2840249.9368527071</v>
      </c>
      <c r="O47" s="431">
        <v>45</v>
      </c>
      <c r="P47" s="257">
        <v>688.6</v>
      </c>
      <c r="Q47" s="261">
        <v>141.50145624105357</v>
      </c>
      <c r="R47" s="257">
        <f>R46+(R56-R44)/12</f>
        <v>76271.411703616395</v>
      </c>
      <c r="S47" s="259">
        <f t="shared" si="8"/>
        <v>138839500.19429037</v>
      </c>
      <c r="T47" s="48">
        <f t="shared" si="9"/>
        <v>-2930044.0602984726</v>
      </c>
      <c r="U47" s="109">
        <f t="shared" si="10"/>
        <v>-2.4866000059992475E-2</v>
      </c>
      <c r="V47" s="13">
        <f t="shared" si="5"/>
        <v>2.4866000059992475E-2</v>
      </c>
      <c r="W47"/>
      <c r="X47"/>
      <c r="Y47" s="32" t="s">
        <v>6</v>
      </c>
      <c r="Z47" s="107">
        <v>2393412.4276580922</v>
      </c>
      <c r="AA47" s="107">
        <v>487713.08606653742</v>
      </c>
      <c r="AB47" s="106">
        <v>4.9074189232059382</v>
      </c>
      <c r="AC47" s="32">
        <v>3.1890365885622813E-6</v>
      </c>
      <c r="AD47" s="107">
        <v>1426976.3893182315</v>
      </c>
      <c r="AE47" s="107">
        <v>3359848.465997953</v>
      </c>
    </row>
    <row r="48" spans="1:31" x14ac:dyDescent="0.2">
      <c r="A48" s="256">
        <v>40847</v>
      </c>
      <c r="B48" s="262">
        <f>119815218+(2912181.71/12)</f>
        <v>120057899.80916667</v>
      </c>
      <c r="C48" s="257">
        <f>'WMP pivot'!J80</f>
        <v>3804176.38</v>
      </c>
      <c r="D48" s="257">
        <f t="shared" si="6"/>
        <v>116253723.42916667</v>
      </c>
      <c r="E48" s="257">
        <v>23119701.76211454</v>
      </c>
      <c r="F48" s="257">
        <f t="shared" si="1"/>
        <v>139373425.1912812</v>
      </c>
      <c r="G48" s="263">
        <v>279.89999999999998</v>
      </c>
      <c r="H48" s="263">
        <v>0</v>
      </c>
      <c r="I48" s="259">
        <v>31</v>
      </c>
      <c r="J48" s="257">
        <v>1</v>
      </c>
      <c r="K48" s="257">
        <v>320</v>
      </c>
      <c r="L48" s="259">
        <v>0</v>
      </c>
      <c r="M48" s="260">
        <v>50</v>
      </c>
      <c r="N48" s="257">
        <f>'CDM Activity '!H129</f>
        <v>2958428.5850767097</v>
      </c>
      <c r="O48" s="431">
        <v>46</v>
      </c>
      <c r="P48" s="257">
        <v>682.2</v>
      </c>
      <c r="Q48" s="261">
        <v>141.80444880149057</v>
      </c>
      <c r="R48" s="257">
        <f>R47+(R56-R44)/12</f>
        <v>76336.106982783065</v>
      </c>
      <c r="S48" s="259">
        <f t="shared" si="8"/>
        <v>139332833.44861782</v>
      </c>
      <c r="T48" s="48">
        <f t="shared" si="9"/>
        <v>-40591.742663383484</v>
      </c>
      <c r="U48" s="109">
        <f t="shared" si="10"/>
        <v>-3.491650973924806E-4</v>
      </c>
      <c r="V48" s="13">
        <f t="shared" si="5"/>
        <v>3.491650973924806E-4</v>
      </c>
      <c r="W48"/>
      <c r="X48"/>
      <c r="Y48" s="32" t="s">
        <v>22</v>
      </c>
      <c r="Z48" s="107">
        <v>-3447338.2959334771</v>
      </c>
      <c r="AA48" s="107">
        <v>859833.61566033436</v>
      </c>
      <c r="AB48" s="106">
        <v>-4.0093085838310625</v>
      </c>
      <c r="AC48" s="32">
        <v>1.1067043752566329E-4</v>
      </c>
      <c r="AD48" s="107">
        <v>-5151156.0053415131</v>
      </c>
      <c r="AE48" s="107">
        <v>-1743520.5865254416</v>
      </c>
    </row>
    <row r="49" spans="1:31" x14ac:dyDescent="0.2">
      <c r="A49" s="256">
        <v>40877</v>
      </c>
      <c r="B49" s="262">
        <f>123068812+(2912181.71/12)</f>
        <v>123311493.80916667</v>
      </c>
      <c r="C49" s="257">
        <f>'WMP pivot'!J81</f>
        <v>3596792.0700000003</v>
      </c>
      <c r="D49" s="257">
        <f t="shared" si="6"/>
        <v>119714701.73916668</v>
      </c>
      <c r="E49" s="257">
        <v>23381682.006442707</v>
      </c>
      <c r="F49" s="257">
        <f t="shared" si="1"/>
        <v>143096383.74560937</v>
      </c>
      <c r="G49" s="263">
        <v>382.4</v>
      </c>
      <c r="H49" s="263">
        <v>0</v>
      </c>
      <c r="I49" s="259">
        <v>30</v>
      </c>
      <c r="J49" s="257">
        <v>1</v>
      </c>
      <c r="K49" s="257">
        <v>352</v>
      </c>
      <c r="L49" s="259">
        <v>0</v>
      </c>
      <c r="M49" s="260">
        <v>48.2</v>
      </c>
      <c r="N49" s="257">
        <f>'CDM Activity '!H130</f>
        <v>3076607.2333007124</v>
      </c>
      <c r="O49" s="431">
        <v>47</v>
      </c>
      <c r="P49" s="257">
        <v>677</v>
      </c>
      <c r="Q49" s="261">
        <v>142.10809015024478</v>
      </c>
      <c r="R49" s="257">
        <f>R48+(R56-R44)/12</f>
        <v>76400.802261949735</v>
      </c>
      <c r="S49" s="259">
        <f t="shared" si="8"/>
        <v>142653457.78346819</v>
      </c>
      <c r="T49" s="48">
        <f t="shared" si="9"/>
        <v>-442925.962141186</v>
      </c>
      <c r="U49" s="109">
        <f t="shared" si="10"/>
        <v>-3.6998460147879674E-3</v>
      </c>
      <c r="V49" s="13">
        <f t="shared" si="5"/>
        <v>3.6998460147879674E-3</v>
      </c>
      <c r="W49"/>
      <c r="X49"/>
      <c r="Y49" s="32" t="s">
        <v>7</v>
      </c>
      <c r="Z49" s="107">
        <v>88942.159131925349</v>
      </c>
      <c r="AA49" s="107">
        <v>22628.593575340492</v>
      </c>
      <c r="AB49" s="106">
        <v>3.9305208622797512</v>
      </c>
      <c r="AC49" s="32">
        <v>1.4780394798722063E-4</v>
      </c>
      <c r="AD49" s="107">
        <v>44102.090343671953</v>
      </c>
      <c r="AE49" s="107">
        <v>133782.22792017873</v>
      </c>
    </row>
    <row r="50" spans="1:31" x14ac:dyDescent="0.2">
      <c r="A50" s="256">
        <v>40908</v>
      </c>
      <c r="B50" s="262">
        <f>127591184+(2912181.71/12)</f>
        <v>127833865.80916667</v>
      </c>
      <c r="C50" s="257">
        <f>'WMP pivot'!J82</f>
        <v>3651441.76</v>
      </c>
      <c r="D50" s="257">
        <f t="shared" si="6"/>
        <v>124182424.04916666</v>
      </c>
      <c r="E50" s="257">
        <v>24713280.536556389</v>
      </c>
      <c r="F50" s="257">
        <f t="shared" si="1"/>
        <v>148895704.58572304</v>
      </c>
      <c r="G50" s="263">
        <v>574.79999999999995</v>
      </c>
      <c r="H50" s="263">
        <v>0</v>
      </c>
      <c r="I50" s="259">
        <v>31</v>
      </c>
      <c r="J50" s="257">
        <v>0</v>
      </c>
      <c r="K50" s="257">
        <v>336</v>
      </c>
      <c r="L50" s="259">
        <v>0</v>
      </c>
      <c r="M50" s="260">
        <v>47.2</v>
      </c>
      <c r="N50" s="257">
        <f>'CDM Activity '!H131</f>
        <v>3194785.8815247151</v>
      </c>
      <c r="O50" s="431">
        <v>48</v>
      </c>
      <c r="P50" s="257">
        <v>676.6</v>
      </c>
      <c r="Q50" s="261">
        <v>142.41238167654581</v>
      </c>
      <c r="R50" s="257">
        <f>R49+(R56-R44)/12</f>
        <v>76465.497541116405</v>
      </c>
      <c r="S50" s="259">
        <f t="shared" si="8"/>
        <v>151801861.10757202</v>
      </c>
      <c r="T50" s="48">
        <f t="shared" si="9"/>
        <v>2906156.5218489766</v>
      </c>
      <c r="U50" s="109">
        <f t="shared" si="10"/>
        <v>2.3402317550979379E-2</v>
      </c>
      <c r="V50" s="13">
        <f t="shared" si="5"/>
        <v>2.3402317550979379E-2</v>
      </c>
      <c r="W50"/>
      <c r="X50"/>
      <c r="Y50" s="32" t="s">
        <v>190</v>
      </c>
      <c r="Z50" s="107">
        <v>-8180809.0651283097</v>
      </c>
      <c r="AA50" s="229">
        <v>1362155.6439962222</v>
      </c>
      <c r="AB50" s="106">
        <v>-6.0057814253354138</v>
      </c>
      <c r="AC50" s="32">
        <v>2.4564127381554063E-8</v>
      </c>
      <c r="AD50" s="229">
        <v>-10880011.407233177</v>
      </c>
      <c r="AE50" s="229">
        <v>-5481606.7230234426</v>
      </c>
    </row>
    <row r="51" spans="1:31" x14ac:dyDescent="0.2">
      <c r="A51" s="256">
        <v>40939</v>
      </c>
      <c r="B51" s="262">
        <f>134139861.54+(5510021/12)</f>
        <v>134599029.95666668</v>
      </c>
      <c r="C51" s="257">
        <f>'WMP pivot'!J84</f>
        <v>3547427.85</v>
      </c>
      <c r="D51" s="257">
        <f t="shared" si="6"/>
        <v>131051602.10666668</v>
      </c>
      <c r="E51" s="257">
        <v>24435070.577608101</v>
      </c>
      <c r="F51" s="257">
        <f t="shared" si="1"/>
        <v>155486672.68427479</v>
      </c>
      <c r="G51" s="263">
        <v>657.3</v>
      </c>
      <c r="H51" s="263">
        <v>0</v>
      </c>
      <c r="I51" s="259">
        <v>31</v>
      </c>
      <c r="J51" s="257">
        <v>0</v>
      </c>
      <c r="K51" s="257">
        <v>336</v>
      </c>
      <c r="L51" s="259">
        <v>0</v>
      </c>
      <c r="M51" s="260">
        <v>49.2</v>
      </c>
      <c r="N51" s="257">
        <f>'CDM Activity '!H132</f>
        <v>3244255.7843758832</v>
      </c>
      <c r="O51" s="431">
        <v>49</v>
      </c>
      <c r="P51" s="257">
        <v>670.9</v>
      </c>
      <c r="Q51" s="261">
        <v>142.61257743956915</v>
      </c>
      <c r="R51" s="257">
        <f>R50+(R56-R44)/12</f>
        <v>76530.192820283075</v>
      </c>
      <c r="S51" s="259">
        <f t="shared" si="8"/>
        <v>153258439.11152807</v>
      </c>
      <c r="T51" s="48">
        <f t="shared" si="9"/>
        <v>-2228233.5727467239</v>
      </c>
      <c r="U51" s="109">
        <f t="shared" si="10"/>
        <v>-1.7002719058200451E-2</v>
      </c>
      <c r="V51" s="13">
        <f t="shared" si="5"/>
        <v>1.7002719058200451E-2</v>
      </c>
      <c r="W51"/>
      <c r="X51"/>
      <c r="Y51" s="32" t="s">
        <v>109</v>
      </c>
      <c r="Z51" s="107">
        <v>-278334.11865107191</v>
      </c>
      <c r="AA51" s="229">
        <v>47517.638342678438</v>
      </c>
      <c r="AB51" s="106">
        <v>-5.8574905731601428</v>
      </c>
      <c r="AC51" s="32">
        <v>4.8760369414352387E-8</v>
      </c>
      <c r="AD51" s="229">
        <v>-372493.49116563122</v>
      </c>
      <c r="AE51" s="229">
        <v>-184174.74613651264</v>
      </c>
    </row>
    <row r="52" spans="1:31" ht="13.5" thickBot="1" x14ac:dyDescent="0.25">
      <c r="A52" s="256">
        <v>40968</v>
      </c>
      <c r="B52" s="262">
        <f>124214753.85+(5510021/12)</f>
        <v>124673922.26666667</v>
      </c>
      <c r="C52" s="257">
        <f>'WMP pivot'!J85</f>
        <v>3262966.51</v>
      </c>
      <c r="D52" s="257">
        <f t="shared" si="6"/>
        <v>121410955.75666666</v>
      </c>
      <c r="E52" s="257">
        <v>23722940.734887399</v>
      </c>
      <c r="F52" s="257">
        <f t="shared" si="1"/>
        <v>145133896.49155405</v>
      </c>
      <c r="G52" s="263">
        <v>573</v>
      </c>
      <c r="H52" s="263">
        <v>0</v>
      </c>
      <c r="I52" s="259">
        <v>29</v>
      </c>
      <c r="J52" s="257">
        <v>0</v>
      </c>
      <c r="K52" s="257">
        <v>320</v>
      </c>
      <c r="L52" s="259">
        <v>0</v>
      </c>
      <c r="M52" s="260">
        <v>47.6</v>
      </c>
      <c r="N52" s="257">
        <f>'CDM Activity '!H133</f>
        <v>3293725.6872270512</v>
      </c>
      <c r="O52" s="431">
        <v>50</v>
      </c>
      <c r="P52" s="257">
        <v>668.7</v>
      </c>
      <c r="Q52" s="261">
        <v>142.81305462716429</v>
      </c>
      <c r="R52" s="257">
        <f>R51+(R56-R44)/12</f>
        <v>76594.888099449745</v>
      </c>
      <c r="S52" s="259">
        <f t="shared" si="8"/>
        <v>145462989.89177641</v>
      </c>
      <c r="T52" s="48">
        <f t="shared" si="9"/>
        <v>329093.40022236109</v>
      </c>
      <c r="U52" s="109">
        <f t="shared" si="10"/>
        <v>2.7105741666504477E-3</v>
      </c>
      <c r="V52" s="13">
        <f t="shared" si="5"/>
        <v>2.7105741666504477E-3</v>
      </c>
      <c r="W52"/>
      <c r="X52"/>
      <c r="Y52" s="33" t="s">
        <v>120</v>
      </c>
      <c r="Z52" s="433">
        <v>-0.35148681547482291</v>
      </c>
      <c r="AA52" s="156">
        <v>0.19851288342255946</v>
      </c>
      <c r="AB52" s="108">
        <v>-1.7705995168416315</v>
      </c>
      <c r="AC52" s="33">
        <v>7.9372457732248256E-2</v>
      </c>
      <c r="AD52" s="156">
        <v>-0.74485334611605192</v>
      </c>
      <c r="AE52" s="156">
        <v>4.1879715166406095E-2</v>
      </c>
    </row>
    <row r="53" spans="1:31" x14ac:dyDescent="0.2">
      <c r="A53" s="256">
        <v>40999</v>
      </c>
      <c r="B53" s="262">
        <f>124384646.15+(5510021/12)</f>
        <v>124843814.56666668</v>
      </c>
      <c r="C53" s="257">
        <f>'WMP pivot'!J86</f>
        <v>3646469.33</v>
      </c>
      <c r="D53" s="257">
        <f t="shared" si="6"/>
        <v>121197345.23666668</v>
      </c>
      <c r="E53" s="257">
        <v>23207525.826114852</v>
      </c>
      <c r="F53" s="257">
        <f t="shared" si="1"/>
        <v>144404871.06278154</v>
      </c>
      <c r="G53" s="263">
        <v>370.1</v>
      </c>
      <c r="H53" s="263">
        <v>0</v>
      </c>
      <c r="I53" s="259">
        <v>31</v>
      </c>
      <c r="J53" s="257">
        <v>1</v>
      </c>
      <c r="K53" s="257">
        <v>352</v>
      </c>
      <c r="L53" s="259">
        <v>0</v>
      </c>
      <c r="M53" s="260">
        <v>49.7</v>
      </c>
      <c r="N53" s="257">
        <f>'CDM Activity '!H134</f>
        <v>3343195.5900782193</v>
      </c>
      <c r="O53" s="431">
        <v>51</v>
      </c>
      <c r="P53" s="257">
        <v>666</v>
      </c>
      <c r="Q53" s="261">
        <v>143.01381363494295</v>
      </c>
      <c r="R53" s="257">
        <f>R52+(R56-R44)/12</f>
        <v>76659.583378616415</v>
      </c>
      <c r="S53" s="259">
        <f t="shared" si="8"/>
        <v>144391993.59533066</v>
      </c>
      <c r="T53" s="48">
        <f t="shared" si="9"/>
        <v>-12877.467450886965</v>
      </c>
      <c r="U53" s="109">
        <f t="shared" si="10"/>
        <v>-1.0625205878677163E-4</v>
      </c>
      <c r="V53" s="13">
        <f t="shared" si="5"/>
        <v>1.0625205878677163E-4</v>
      </c>
      <c r="W53"/>
      <c r="X53"/>
    </row>
    <row r="54" spans="1:31" x14ac:dyDescent="0.2">
      <c r="A54" s="256">
        <v>41029</v>
      </c>
      <c r="B54" s="262">
        <f>114550515.38+(27225356.55/9)+(5510021/12)</f>
        <v>118034723.41333333</v>
      </c>
      <c r="C54" s="257">
        <f>'WMP pivot'!J87</f>
        <v>3068109.5700000003</v>
      </c>
      <c r="D54" s="257">
        <f t="shared" si="6"/>
        <v>114966613.84333333</v>
      </c>
      <c r="E54" s="257">
        <v>21426873.847167328</v>
      </c>
      <c r="F54" s="257">
        <f t="shared" si="1"/>
        <v>136393487.69050068</v>
      </c>
      <c r="G54" s="263">
        <v>365.3</v>
      </c>
      <c r="H54" s="263">
        <v>0</v>
      </c>
      <c r="I54" s="259">
        <v>30</v>
      </c>
      <c r="J54" s="257">
        <v>1</v>
      </c>
      <c r="K54" s="257">
        <v>320</v>
      </c>
      <c r="L54" s="259">
        <v>0</v>
      </c>
      <c r="M54" s="260">
        <v>49.2</v>
      </c>
      <c r="N54" s="257">
        <f>'CDM Activity '!H135</f>
        <v>3392665.4929293874</v>
      </c>
      <c r="O54" s="431">
        <v>52</v>
      </c>
      <c r="P54" s="257">
        <v>667.4</v>
      </c>
      <c r="Q54" s="261">
        <v>143.21485485907297</v>
      </c>
      <c r="R54" s="257">
        <f>R53+(R56-R44)/12</f>
        <v>76724.278657783085</v>
      </c>
      <c r="S54" s="259">
        <f t="shared" si="8"/>
        <v>139138840.83601141</v>
      </c>
      <c r="T54" s="48">
        <f t="shared" si="9"/>
        <v>2745353.1455107331</v>
      </c>
      <c r="U54" s="109">
        <f t="shared" si="10"/>
        <v>2.387956863069713E-2</v>
      </c>
      <c r="V54" s="13">
        <f t="shared" si="5"/>
        <v>2.387956863069713E-2</v>
      </c>
      <c r="W54"/>
      <c r="X54"/>
    </row>
    <row r="55" spans="1:31" x14ac:dyDescent="0.2">
      <c r="A55" s="256">
        <v>41060</v>
      </c>
      <c r="B55" s="262">
        <f>120400400+(27225356.55/9)+(5510021/12)</f>
        <v>123884608.03333333</v>
      </c>
      <c r="C55" s="257">
        <f>'WMP pivot'!J88</f>
        <v>4280789.9071008703</v>
      </c>
      <c r="D55" s="257">
        <f t="shared" ref="D55:D62" si="11">B55-C55</f>
        <v>119603818.12623246</v>
      </c>
      <c r="E55" s="257">
        <v>22659307.787610617</v>
      </c>
      <c r="F55" s="257">
        <f t="shared" si="1"/>
        <v>142263125.91384307</v>
      </c>
      <c r="G55" s="263">
        <v>103.8</v>
      </c>
      <c r="H55" s="263">
        <v>18.2</v>
      </c>
      <c r="I55" s="259">
        <v>31</v>
      </c>
      <c r="J55" s="257">
        <v>1</v>
      </c>
      <c r="K55" s="257">
        <v>352</v>
      </c>
      <c r="L55" s="259">
        <v>0</v>
      </c>
      <c r="M55" s="260">
        <v>50.6</v>
      </c>
      <c r="N55" s="257">
        <f>'CDM Activity '!H136</f>
        <v>3442135.3957805554</v>
      </c>
      <c r="O55" s="431">
        <v>53</v>
      </c>
      <c r="P55" s="257">
        <v>672.1</v>
      </c>
      <c r="Q55" s="261">
        <v>143.41617869627913</v>
      </c>
      <c r="R55" s="257">
        <f>R54+(R56-R44)/12</f>
        <v>76788.973936949755</v>
      </c>
      <c r="S55" s="259">
        <f t="shared" si="8"/>
        <v>143453125.13942733</v>
      </c>
      <c r="T55" s="48">
        <f t="shared" si="9"/>
        <v>1189999.2255842686</v>
      </c>
      <c r="U55" s="109">
        <f t="shared" si="10"/>
        <v>9.9495086714398839E-3</v>
      </c>
      <c r="V55" s="13">
        <f t="shared" si="5"/>
        <v>9.9495086714398839E-3</v>
      </c>
      <c r="W55"/>
      <c r="X55"/>
    </row>
    <row r="56" spans="1:31" x14ac:dyDescent="0.2">
      <c r="A56" s="256">
        <v>41090</v>
      </c>
      <c r="B56" s="262">
        <f>127372618.18+(27225356.55/9)+(5510021/12)</f>
        <v>130856826.21333334</v>
      </c>
      <c r="C56" s="257">
        <f>'WMP pivot'!J89</f>
        <v>4002940.7091250243</v>
      </c>
      <c r="D56" s="257">
        <f t="shared" si="11"/>
        <v>126853885.50420831</v>
      </c>
      <c r="E56" s="257">
        <v>24375975.261655565</v>
      </c>
      <c r="F56" s="257">
        <f t="shared" ref="F56:F119" si="12">D56+E56</f>
        <v>151229860.76586387</v>
      </c>
      <c r="G56" s="263">
        <v>42.1</v>
      </c>
      <c r="H56" s="263">
        <v>61.2</v>
      </c>
      <c r="I56" s="259">
        <v>30</v>
      </c>
      <c r="J56" s="257">
        <v>0</v>
      </c>
      <c r="K56" s="257">
        <v>336</v>
      </c>
      <c r="L56" s="259">
        <v>0</v>
      </c>
      <c r="M56" s="260">
        <v>47.3</v>
      </c>
      <c r="N56" s="257">
        <f>'CDM Activity '!H137</f>
        <v>3491605.2986317235</v>
      </c>
      <c r="O56" s="431">
        <v>54</v>
      </c>
      <c r="P56" s="257">
        <v>678.4</v>
      </c>
      <c r="Q56" s="261">
        <v>143.61778554384387</v>
      </c>
      <c r="R56" s="257">
        <f>'Rate Class Customer Model'!S15</f>
        <v>76853.669216116396</v>
      </c>
      <c r="S56" s="259">
        <f t="shared" si="8"/>
        <v>155444103.19796795</v>
      </c>
      <c r="T56" s="48">
        <f t="shared" si="9"/>
        <v>4214242.4321040809</v>
      </c>
      <c r="U56" s="109">
        <f t="shared" si="10"/>
        <v>3.3221232564959749E-2</v>
      </c>
      <c r="V56" s="13">
        <f t="shared" si="5"/>
        <v>3.3221232564959749E-2</v>
      </c>
      <c r="W56"/>
      <c r="X56"/>
    </row>
    <row r="57" spans="1:31" x14ac:dyDescent="0.2">
      <c r="A57" s="256">
        <v>41121</v>
      </c>
      <c r="B57" s="262">
        <f>141753854.55+(27225356.55/9)+(5510021/12)</f>
        <v>145238062.58333334</v>
      </c>
      <c r="C57" s="257">
        <f>'WMP pivot'!J90</f>
        <v>4456275.6369364038</v>
      </c>
      <c r="D57" s="257">
        <f t="shared" si="11"/>
        <v>140781786.94639695</v>
      </c>
      <c r="E57" s="257">
        <v>28712607.621315867</v>
      </c>
      <c r="F57" s="257">
        <f t="shared" si="12"/>
        <v>169494394.56771281</v>
      </c>
      <c r="G57" s="263">
        <v>0</v>
      </c>
      <c r="H57" s="263">
        <v>116.4</v>
      </c>
      <c r="I57" s="259">
        <v>31</v>
      </c>
      <c r="J57" s="257">
        <v>0</v>
      </c>
      <c r="K57" s="257">
        <v>336</v>
      </c>
      <c r="L57" s="259">
        <v>0</v>
      </c>
      <c r="M57" s="260">
        <v>49.4</v>
      </c>
      <c r="N57" s="257">
        <f>'CDM Activity '!H138</f>
        <v>3541075.2014828916</v>
      </c>
      <c r="O57" s="431">
        <v>55</v>
      </c>
      <c r="P57" s="257">
        <v>682</v>
      </c>
      <c r="Q57" s="261">
        <v>143.81967579960809</v>
      </c>
      <c r="R57" s="257">
        <f>R56+(R68-R56)/12</f>
        <v>76899.548800634715</v>
      </c>
      <c r="S57" s="259">
        <f t="shared" si="8"/>
        <v>173039672.80460718</v>
      </c>
      <c r="T57" s="48">
        <f t="shared" si="9"/>
        <v>3545278.2368943691</v>
      </c>
      <c r="U57" s="109">
        <f t="shared" si="10"/>
        <v>2.518279042902221E-2</v>
      </c>
      <c r="V57" s="13">
        <f t="shared" si="5"/>
        <v>2.518279042902221E-2</v>
      </c>
      <c r="W57"/>
      <c r="X57"/>
    </row>
    <row r="58" spans="1:31" x14ac:dyDescent="0.2">
      <c r="A58" s="256">
        <v>41152</v>
      </c>
      <c r="B58" s="262">
        <f>132844609.09+(27225356.55/9)+(5510021/12)</f>
        <v>136328817.12333333</v>
      </c>
      <c r="C58" s="257">
        <f>'WMP pivot'!J91</f>
        <v>4204469.1301214648</v>
      </c>
      <c r="D58" s="257">
        <f t="shared" si="11"/>
        <v>132124347.99321187</v>
      </c>
      <c r="E58" s="257">
        <v>27239999.76065103</v>
      </c>
      <c r="F58" s="257">
        <f t="shared" si="12"/>
        <v>159364347.75386289</v>
      </c>
      <c r="G58" s="263">
        <v>19.399999999999999</v>
      </c>
      <c r="H58" s="263">
        <v>58.1</v>
      </c>
      <c r="I58" s="259">
        <v>31</v>
      </c>
      <c r="J58" s="257">
        <v>0</v>
      </c>
      <c r="K58" s="257">
        <v>352</v>
      </c>
      <c r="L58" s="259">
        <v>0</v>
      </c>
      <c r="M58" s="260">
        <v>50.6</v>
      </c>
      <c r="N58" s="257">
        <f>'CDM Activity '!H139</f>
        <v>3590545.1043340596</v>
      </c>
      <c r="O58" s="431">
        <v>56</v>
      </c>
      <c r="P58" s="257">
        <v>678.5</v>
      </c>
      <c r="Q58" s="261">
        <v>144.02184986197204</v>
      </c>
      <c r="R58" s="257">
        <f>R57+(R68-R56)/12</f>
        <v>76945.428385153034</v>
      </c>
      <c r="S58" s="259">
        <f t="shared" si="8"/>
        <v>157014167.72738916</v>
      </c>
      <c r="T58" s="48">
        <f t="shared" si="9"/>
        <v>-2350180.0264737308</v>
      </c>
      <c r="U58" s="109">
        <f t="shared" si="10"/>
        <v>-1.778763764718427E-2</v>
      </c>
      <c r="V58" s="13">
        <f t="shared" si="5"/>
        <v>1.778763764718427E-2</v>
      </c>
      <c r="W58"/>
      <c r="X58"/>
    </row>
    <row r="59" spans="1:31" x14ac:dyDescent="0.2">
      <c r="A59" s="256">
        <v>41182</v>
      </c>
      <c r="B59" s="262">
        <f>115005427.27+(27225356.55/9)+(5510021/12)</f>
        <v>118489635.30333333</v>
      </c>
      <c r="C59" s="257">
        <f>'WMP pivot'!J92</f>
        <v>3823441.8692706958</v>
      </c>
      <c r="D59" s="257">
        <f t="shared" si="11"/>
        <v>114666193.43406263</v>
      </c>
      <c r="E59" s="257">
        <v>24579119.487610247</v>
      </c>
      <c r="F59" s="257">
        <f t="shared" si="12"/>
        <v>139245312.92167288</v>
      </c>
      <c r="G59" s="263">
        <v>125.4</v>
      </c>
      <c r="H59" s="263">
        <v>16.399999999999999</v>
      </c>
      <c r="I59" s="259">
        <v>30</v>
      </c>
      <c r="J59" s="257">
        <v>1</v>
      </c>
      <c r="K59" s="257">
        <v>304</v>
      </c>
      <c r="L59" s="259">
        <v>0</v>
      </c>
      <c r="M59" s="260">
        <v>50.8</v>
      </c>
      <c r="N59" s="257">
        <f>'CDM Activity '!H140</f>
        <v>3640015.0071852277</v>
      </c>
      <c r="O59" s="431">
        <v>57</v>
      </c>
      <c r="P59" s="257">
        <v>671.9</v>
      </c>
      <c r="Q59" s="261">
        <v>144.22430812989595</v>
      </c>
      <c r="R59" s="257">
        <f>R58+(R68-R56)/12</f>
        <v>76991.307969671354</v>
      </c>
      <c r="S59" s="259">
        <f t="shared" si="8"/>
        <v>136668579.69602871</v>
      </c>
      <c r="T59" s="48">
        <f t="shared" si="9"/>
        <v>-2576733.2256441712</v>
      </c>
      <c r="U59" s="109">
        <f t="shared" si="10"/>
        <v>-2.2471603429705632E-2</v>
      </c>
      <c r="V59" s="13">
        <f t="shared" si="5"/>
        <v>2.2471603429705632E-2</v>
      </c>
      <c r="W59"/>
      <c r="X59"/>
    </row>
    <row r="60" spans="1:31" x14ac:dyDescent="0.2">
      <c r="A60" s="256">
        <v>41213</v>
      </c>
      <c r="B60" s="262">
        <f>116946700+(27225356.55/9)+(5510021/12)</f>
        <v>120430908.03333333</v>
      </c>
      <c r="C60" s="257">
        <f>'WMP pivot'!J93</f>
        <v>3686580.7537210681</v>
      </c>
      <c r="D60" s="257">
        <f t="shared" si="11"/>
        <v>116744327.27961226</v>
      </c>
      <c r="E60" s="257">
        <v>25165133.432447501</v>
      </c>
      <c r="F60" s="257">
        <f t="shared" si="12"/>
        <v>141909460.71205977</v>
      </c>
      <c r="G60" s="263">
        <v>279.2</v>
      </c>
      <c r="H60" s="263">
        <v>0</v>
      </c>
      <c r="I60" s="259">
        <v>31</v>
      </c>
      <c r="J60" s="257">
        <v>1</v>
      </c>
      <c r="K60" s="257">
        <v>352</v>
      </c>
      <c r="L60" s="259">
        <v>0</v>
      </c>
      <c r="M60" s="260">
        <v>46.2</v>
      </c>
      <c r="N60" s="257">
        <f>'CDM Activity '!H141</f>
        <v>3689484.9100363958</v>
      </c>
      <c r="O60" s="431">
        <v>58</v>
      </c>
      <c r="P60" s="257">
        <v>672.8</v>
      </c>
      <c r="Q60" s="261">
        <v>144.42705100290087</v>
      </c>
      <c r="R60" s="257">
        <f>R59+(R68-R56)/12</f>
        <v>77037.187554189673</v>
      </c>
      <c r="S60" s="259">
        <f t="shared" si="8"/>
        <v>143094147.02936119</v>
      </c>
      <c r="T60" s="48">
        <f t="shared" si="9"/>
        <v>1184686.3173014224</v>
      </c>
      <c r="U60" s="109">
        <f t="shared" si="10"/>
        <v>1.014769920652334E-2</v>
      </c>
      <c r="V60" s="13">
        <f t="shared" si="5"/>
        <v>1.014769920652334E-2</v>
      </c>
      <c r="W60"/>
      <c r="X60"/>
    </row>
    <row r="61" spans="1:31" x14ac:dyDescent="0.2">
      <c r="A61" s="256">
        <v>41243</v>
      </c>
      <c r="B61" s="262">
        <f>120693809.09+(27225356.55/9)+(5510021/12)</f>
        <v>124178017.12333333</v>
      </c>
      <c r="C61" s="257">
        <f>'WMP pivot'!J94</f>
        <v>3435397.2584457616</v>
      </c>
      <c r="D61" s="257">
        <f t="shared" si="11"/>
        <v>120742619.86488758</v>
      </c>
      <c r="E61" s="257">
        <v>24523211.021009952</v>
      </c>
      <c r="F61" s="257">
        <f t="shared" si="12"/>
        <v>145265830.88589752</v>
      </c>
      <c r="G61" s="263">
        <v>483.6</v>
      </c>
      <c r="H61" s="263">
        <v>0</v>
      </c>
      <c r="I61" s="259">
        <v>30</v>
      </c>
      <c r="J61" s="257">
        <v>1</v>
      </c>
      <c r="K61" s="257">
        <v>352</v>
      </c>
      <c r="L61" s="259">
        <v>0</v>
      </c>
      <c r="M61" s="260">
        <v>41.6</v>
      </c>
      <c r="N61" s="257">
        <f>'CDM Activity '!H142</f>
        <v>3738954.8128875638</v>
      </c>
      <c r="O61" s="431">
        <v>59</v>
      </c>
      <c r="P61" s="257">
        <v>676.8</v>
      </c>
      <c r="Q61" s="261">
        <v>144.63007888106955</v>
      </c>
      <c r="R61" s="257">
        <f>R60+(R68-R56)/12</f>
        <v>77083.067138707993</v>
      </c>
      <c r="S61" s="259">
        <f t="shared" si="8"/>
        <v>146584432.41247284</v>
      </c>
      <c r="T61" s="48">
        <f t="shared" si="9"/>
        <v>1318601.5265753269</v>
      </c>
      <c r="U61" s="109">
        <f t="shared" si="10"/>
        <v>1.0920762925724633E-2</v>
      </c>
      <c r="V61" s="13">
        <f t="shared" si="5"/>
        <v>1.0920762925724633E-2</v>
      </c>
      <c r="W61"/>
      <c r="X61"/>
    </row>
    <row r="62" spans="1:31" x14ac:dyDescent="0.2">
      <c r="A62" s="256">
        <v>41274</v>
      </c>
      <c r="B62" s="262">
        <f>121548763.64+(27225356.55/9)+(5510021/12)</f>
        <v>125032971.67333333</v>
      </c>
      <c r="C62" s="257">
        <f>'WMP pivot'!J95</f>
        <v>3448510.9882503077</v>
      </c>
      <c r="D62" s="257">
        <f t="shared" si="11"/>
        <v>121584460.68508303</v>
      </c>
      <c r="E62" s="257">
        <v>23381741.64192152</v>
      </c>
      <c r="F62" s="257">
        <f t="shared" si="12"/>
        <v>144966202.32700455</v>
      </c>
      <c r="G62" s="263">
        <v>565.5</v>
      </c>
      <c r="H62" s="263">
        <v>0</v>
      </c>
      <c r="I62" s="259">
        <v>31</v>
      </c>
      <c r="J62" s="257">
        <v>0</v>
      </c>
      <c r="K62" s="257">
        <v>304</v>
      </c>
      <c r="L62" s="259">
        <v>0</v>
      </c>
      <c r="M62" s="260">
        <v>43.2</v>
      </c>
      <c r="N62" s="257">
        <f>'CDM Activity '!H143</f>
        <v>3788424.7157387319</v>
      </c>
      <c r="O62" s="431">
        <v>60</v>
      </c>
      <c r="P62" s="257">
        <v>682.7</v>
      </c>
      <c r="Q62" s="261">
        <v>144.83339216504706</v>
      </c>
      <c r="R62" s="257">
        <f>R61+(R68-R56)/12</f>
        <v>77128.946723226312</v>
      </c>
      <c r="S62" s="259">
        <f t="shared" si="8"/>
        <v>149653968.49311668</v>
      </c>
      <c r="T62" s="48">
        <f t="shared" si="9"/>
        <v>4687766.1661121249</v>
      </c>
      <c r="U62" s="109">
        <f t="shared" si="10"/>
        <v>3.8555635643718889E-2</v>
      </c>
      <c r="V62" s="13">
        <f t="shared" si="5"/>
        <v>3.8555635643718889E-2</v>
      </c>
      <c r="W62"/>
      <c r="X62"/>
    </row>
    <row r="63" spans="1:31" x14ac:dyDescent="0.2">
      <c r="A63" s="256">
        <v>41305</v>
      </c>
      <c r="B63" s="264"/>
      <c r="C63" s="257"/>
      <c r="D63" s="264">
        <v>130239205.85000011</v>
      </c>
      <c r="E63" s="264">
        <v>27328129.305099774</v>
      </c>
      <c r="F63" s="257">
        <f t="shared" si="12"/>
        <v>157567335.1550999</v>
      </c>
      <c r="G63" s="265">
        <v>681.3</v>
      </c>
      <c r="H63" s="265">
        <v>0</v>
      </c>
      <c r="I63" s="259">
        <v>31</v>
      </c>
      <c r="J63" s="257">
        <v>0</v>
      </c>
      <c r="K63" s="257">
        <v>352</v>
      </c>
      <c r="L63" s="259">
        <v>0</v>
      </c>
      <c r="M63" s="260">
        <v>44.9</v>
      </c>
      <c r="N63" s="257">
        <f>'CDM Activity '!H144</f>
        <v>3883154.3251877506</v>
      </c>
      <c r="O63" s="431">
        <v>61</v>
      </c>
      <c r="P63" s="257">
        <v>681.6</v>
      </c>
      <c r="Q63" s="261">
        <v>144.98936781896037</v>
      </c>
      <c r="R63" s="257">
        <f>R62+(R68-R56)/12</f>
        <v>77174.826307744632</v>
      </c>
      <c r="S63" s="259">
        <f t="shared" si="8"/>
        <v>156277246.15814608</v>
      </c>
      <c r="T63" s="48">
        <f t="shared" si="9"/>
        <v>-1290088.9969538152</v>
      </c>
      <c r="U63" s="109">
        <f t="shared" si="10"/>
        <v>-9.9055348850917001E-3</v>
      </c>
      <c r="V63" s="13">
        <f t="shared" ref="V63:V122" si="13">ABS(U63)</f>
        <v>9.9055348850917001E-3</v>
      </c>
      <c r="W63"/>
      <c r="X63"/>
    </row>
    <row r="64" spans="1:31" x14ac:dyDescent="0.2">
      <c r="A64" s="256">
        <v>41333</v>
      </c>
      <c r="B64" s="264"/>
      <c r="C64" s="257"/>
      <c r="D64" s="264">
        <v>119027524.23999999</v>
      </c>
      <c r="E64" s="264">
        <v>23863592.64644786</v>
      </c>
      <c r="F64" s="257">
        <f t="shared" si="12"/>
        <v>142891116.88644785</v>
      </c>
      <c r="G64" s="265">
        <v>697.9000000000002</v>
      </c>
      <c r="H64" s="265">
        <v>0</v>
      </c>
      <c r="I64" s="259">
        <v>28</v>
      </c>
      <c r="J64" s="257">
        <v>0</v>
      </c>
      <c r="K64" s="257">
        <v>304</v>
      </c>
      <c r="L64" s="259">
        <v>0</v>
      </c>
      <c r="M64" s="260">
        <v>48</v>
      </c>
      <c r="N64" s="257">
        <f>'CDM Activity '!H145</f>
        <v>3977883.9346367694</v>
      </c>
      <c r="O64" s="431">
        <v>62</v>
      </c>
      <c r="P64" s="257">
        <v>682.6</v>
      </c>
      <c r="Q64" s="261">
        <v>145.14551144798114</v>
      </c>
      <c r="R64" s="257">
        <f>R63+(R68-R56)/12</f>
        <v>77220.705892262951</v>
      </c>
      <c r="S64" s="259">
        <f t="shared" si="8"/>
        <v>144470132.29883724</v>
      </c>
      <c r="T64" s="48">
        <f t="shared" si="9"/>
        <v>1579015.4123893976</v>
      </c>
      <c r="U64" s="109">
        <f t="shared" si="10"/>
        <v>1.3265968711619719E-2</v>
      </c>
      <c r="V64" s="13">
        <f t="shared" si="13"/>
        <v>1.3265968711619719E-2</v>
      </c>
      <c r="W64"/>
      <c r="X64"/>
    </row>
    <row r="65" spans="1:24" x14ac:dyDescent="0.2">
      <c r="A65" s="256">
        <v>41364</v>
      </c>
      <c r="B65" s="264"/>
      <c r="C65" s="257"/>
      <c r="D65" s="264">
        <v>124413462.86000001</v>
      </c>
      <c r="E65" s="264">
        <v>25182656.922452293</v>
      </c>
      <c r="F65" s="257">
        <f t="shared" si="12"/>
        <v>149596119.78245232</v>
      </c>
      <c r="G65" s="265">
        <v>612</v>
      </c>
      <c r="H65" s="265">
        <v>0</v>
      </c>
      <c r="I65" s="259">
        <v>31</v>
      </c>
      <c r="J65" s="257">
        <v>1</v>
      </c>
      <c r="K65" s="257">
        <v>320</v>
      </c>
      <c r="L65" s="259">
        <v>0</v>
      </c>
      <c r="M65" s="260">
        <v>49</v>
      </c>
      <c r="N65" s="257">
        <f>'CDM Activity '!H146</f>
        <v>4072613.5440857881</v>
      </c>
      <c r="O65" s="431">
        <v>63</v>
      </c>
      <c r="P65" s="257">
        <v>683.6</v>
      </c>
      <c r="Q65" s="261">
        <v>145.30182323300707</v>
      </c>
      <c r="R65" s="257">
        <f>R64+(R68-R56)/12</f>
        <v>77266.585476781271</v>
      </c>
      <c r="S65" s="259">
        <f t="shared" si="8"/>
        <v>147339886.76931477</v>
      </c>
      <c r="T65" s="48">
        <f t="shared" si="9"/>
        <v>-2256233.0131375492</v>
      </c>
      <c r="U65" s="109">
        <f t="shared" si="10"/>
        <v>-1.8134958719672026E-2</v>
      </c>
      <c r="V65" s="13">
        <f t="shared" si="13"/>
        <v>1.8134958719672026E-2</v>
      </c>
      <c r="X65"/>
    </row>
    <row r="66" spans="1:24" x14ac:dyDescent="0.2">
      <c r="A66" s="256">
        <v>41394</v>
      </c>
      <c r="B66" s="264"/>
      <c r="C66" s="257"/>
      <c r="D66" s="264">
        <v>116362141.24000001</v>
      </c>
      <c r="E66" s="264">
        <v>23103709.165386584</v>
      </c>
      <c r="F66" s="257">
        <f t="shared" si="12"/>
        <v>139465850.4053866</v>
      </c>
      <c r="G66" s="265">
        <v>368.7</v>
      </c>
      <c r="H66" s="265">
        <v>0</v>
      </c>
      <c r="I66" s="259">
        <v>30</v>
      </c>
      <c r="J66" s="257">
        <v>1</v>
      </c>
      <c r="K66" s="257">
        <v>352</v>
      </c>
      <c r="L66" s="259">
        <v>0</v>
      </c>
      <c r="M66" s="260">
        <v>50.4</v>
      </c>
      <c r="N66" s="257">
        <f>'CDM Activity '!H147</f>
        <v>4167343.1535348068</v>
      </c>
      <c r="O66" s="431">
        <v>64</v>
      </c>
      <c r="P66" s="257">
        <v>685.4</v>
      </c>
      <c r="Q66" s="261">
        <v>145.45830335513068</v>
      </c>
      <c r="R66" s="257">
        <f>R65+(R68-R56)/12</f>
        <v>77312.46506129959</v>
      </c>
      <c r="S66" s="259">
        <f t="shared" si="8"/>
        <v>141811856.69052941</v>
      </c>
      <c r="T66" s="48">
        <f t="shared" si="9"/>
        <v>2346006.2851428092</v>
      </c>
      <c r="U66" s="109">
        <f t="shared" si="10"/>
        <v>2.0161250559184097E-2</v>
      </c>
      <c r="V66" s="13">
        <f t="shared" si="13"/>
        <v>2.0161250559184097E-2</v>
      </c>
      <c r="X66"/>
    </row>
    <row r="67" spans="1:24" x14ac:dyDescent="0.2">
      <c r="A67" s="256">
        <v>41425</v>
      </c>
      <c r="B67" s="264"/>
      <c r="C67" s="257"/>
      <c r="D67" s="264">
        <v>118146376.19000001</v>
      </c>
      <c r="E67" s="264">
        <v>22525109.77955319</v>
      </c>
      <c r="F67" s="257">
        <f t="shared" si="12"/>
        <v>140671485.9695532</v>
      </c>
      <c r="G67" s="265">
        <v>152.10000000000002</v>
      </c>
      <c r="H67" s="265">
        <v>19.600000000000001</v>
      </c>
      <c r="I67" s="259">
        <v>31</v>
      </c>
      <c r="J67" s="257">
        <v>1</v>
      </c>
      <c r="K67" s="257">
        <v>352</v>
      </c>
      <c r="L67" s="259">
        <v>0</v>
      </c>
      <c r="M67" s="260">
        <v>53.1</v>
      </c>
      <c r="N67" s="257">
        <f>'CDM Activity '!H148</f>
        <v>4262072.762983826</v>
      </c>
      <c r="O67" s="431">
        <v>65</v>
      </c>
      <c r="P67" s="257">
        <v>690.3</v>
      </c>
      <c r="Q67" s="261">
        <v>145.6149519956395</v>
      </c>
      <c r="R67" s="257">
        <f>R66+(R68-R56)/12</f>
        <v>77358.34464581791</v>
      </c>
      <c r="S67" s="259">
        <f t="shared" ref="S67:S98" si="14">$Z$18+$Z$19*G67+$Z$20*H67+$Z$21*I67+$Z$22*J67+$Z$23*K67+$Z$24*L67+$Z$25*M67</f>
        <v>144414555.33674562</v>
      </c>
      <c r="T67" s="48">
        <f t="shared" ref="T67:T98" si="15">S67-F67</f>
        <v>3743069.3671924174</v>
      </c>
      <c r="U67" s="109">
        <f t="shared" ref="U67:U98" si="16">T67/D67</f>
        <v>3.1681626537346415E-2</v>
      </c>
      <c r="V67" s="13">
        <f t="shared" si="13"/>
        <v>3.1681626537346415E-2</v>
      </c>
      <c r="X67"/>
    </row>
    <row r="68" spans="1:24" x14ac:dyDescent="0.2">
      <c r="A68" s="256">
        <v>41455</v>
      </c>
      <c r="B68" s="264"/>
      <c r="C68" s="257"/>
      <c r="D68" s="264">
        <v>122367903.53999999</v>
      </c>
      <c r="E68" s="264">
        <v>23676410.47848928</v>
      </c>
      <c r="F68" s="257">
        <f t="shared" si="12"/>
        <v>146044314.01848927</v>
      </c>
      <c r="G68" s="265">
        <v>46.4</v>
      </c>
      <c r="H68" s="265">
        <v>31.3</v>
      </c>
      <c r="I68" s="259">
        <v>30</v>
      </c>
      <c r="J68" s="257">
        <v>0</v>
      </c>
      <c r="K68" s="257">
        <v>320</v>
      </c>
      <c r="L68" s="259">
        <v>0</v>
      </c>
      <c r="M68" s="260">
        <v>52.3</v>
      </c>
      <c r="N68" s="257">
        <f>'CDM Activity '!H149</f>
        <v>4356802.3724328447</v>
      </c>
      <c r="O68" s="431">
        <v>66</v>
      </c>
      <c r="P68" s="257">
        <v>696.7</v>
      </c>
      <c r="Q68" s="261">
        <v>145.77176933601632</v>
      </c>
      <c r="R68" s="257">
        <f>'Rate Class Customer Model'!S16</f>
        <v>77404.224230336258</v>
      </c>
      <c r="S68" s="259">
        <f t="shared" si="14"/>
        <v>143877774.01906127</v>
      </c>
      <c r="T68" s="48">
        <f t="shared" si="15"/>
        <v>-2166539.999428004</v>
      </c>
      <c r="U68" s="109">
        <f t="shared" si="16"/>
        <v>-1.7705132937247705E-2</v>
      </c>
      <c r="V68" s="13">
        <f t="shared" si="13"/>
        <v>1.7705132937247705E-2</v>
      </c>
      <c r="X68"/>
    </row>
    <row r="69" spans="1:24" x14ac:dyDescent="0.2">
      <c r="A69" s="256">
        <v>41486</v>
      </c>
      <c r="B69" s="264"/>
      <c r="C69" s="257"/>
      <c r="D69" s="264">
        <v>135746384.00999999</v>
      </c>
      <c r="E69" s="264">
        <v>27777445.86362743</v>
      </c>
      <c r="F69" s="257">
        <f t="shared" si="12"/>
        <v>163523829.87362742</v>
      </c>
      <c r="G69" s="265">
        <v>15.100000000000001</v>
      </c>
      <c r="H69" s="265">
        <v>85.9</v>
      </c>
      <c r="I69" s="259">
        <v>31</v>
      </c>
      <c r="J69" s="257">
        <v>0</v>
      </c>
      <c r="K69" s="257">
        <v>352</v>
      </c>
      <c r="L69" s="259">
        <v>0</v>
      </c>
      <c r="M69" s="260">
        <v>54.6</v>
      </c>
      <c r="N69" s="257">
        <f>'CDM Activity '!H150</f>
        <v>4451531.9818818634</v>
      </c>
      <c r="O69" s="431">
        <v>67</v>
      </c>
      <c r="P69" s="257">
        <v>702.8</v>
      </c>
      <c r="Q69" s="261">
        <v>145.92875555793933</v>
      </c>
      <c r="R69" s="257">
        <f>R68+(R80-R68)/12</f>
        <v>77444.986767424925</v>
      </c>
      <c r="S69" s="259">
        <f t="shared" si="14"/>
        <v>164374861.5967322</v>
      </c>
      <c r="T69" s="48">
        <f t="shared" si="15"/>
        <v>851031.72310477495</v>
      </c>
      <c r="U69" s="109">
        <f t="shared" si="16"/>
        <v>6.2692772946503104E-3</v>
      </c>
      <c r="V69" s="13">
        <f t="shared" si="13"/>
        <v>6.2692772946503104E-3</v>
      </c>
      <c r="X69"/>
    </row>
    <row r="70" spans="1:24" x14ac:dyDescent="0.2">
      <c r="A70" s="256">
        <v>41517</v>
      </c>
      <c r="B70" s="264"/>
      <c r="C70" s="257"/>
      <c r="D70" s="264">
        <v>129053598.92999999</v>
      </c>
      <c r="E70" s="264">
        <v>27247873.979183346</v>
      </c>
      <c r="F70" s="257">
        <f t="shared" si="12"/>
        <v>156301472.90918332</v>
      </c>
      <c r="G70" s="265">
        <v>32.700000000000003</v>
      </c>
      <c r="H70" s="265">
        <v>42.1</v>
      </c>
      <c r="I70" s="259">
        <v>31</v>
      </c>
      <c r="J70" s="257">
        <v>0</v>
      </c>
      <c r="K70" s="257">
        <v>336</v>
      </c>
      <c r="L70" s="259">
        <v>0</v>
      </c>
      <c r="M70" s="260">
        <v>52.7</v>
      </c>
      <c r="N70" s="257">
        <f>'CDM Activity '!H151</f>
        <v>4546261.5913308822</v>
      </c>
      <c r="O70" s="431">
        <v>68</v>
      </c>
      <c r="P70" s="257">
        <v>701.4</v>
      </c>
      <c r="Q70" s="261">
        <v>146.08591084328242</v>
      </c>
      <c r="R70" s="257">
        <f>R69+(R80-R68)/12</f>
        <v>77485.749304513593</v>
      </c>
      <c r="S70" s="259">
        <f t="shared" si="14"/>
        <v>150549605.89112204</v>
      </c>
      <c r="T70" s="48">
        <f t="shared" si="15"/>
        <v>-5751867.0180612803</v>
      </c>
      <c r="U70" s="109">
        <f t="shared" si="16"/>
        <v>-4.4569597948067703E-2</v>
      </c>
      <c r="V70" s="13">
        <f t="shared" si="13"/>
        <v>4.4569597948067703E-2</v>
      </c>
      <c r="X70"/>
    </row>
    <row r="71" spans="1:24" x14ac:dyDescent="0.2">
      <c r="A71" s="256">
        <v>41547</v>
      </c>
      <c r="B71" s="264"/>
      <c r="C71" s="257"/>
      <c r="D71" s="264">
        <v>117047083.73</v>
      </c>
      <c r="E71" s="264">
        <v>24761837.415477086</v>
      </c>
      <c r="F71" s="257">
        <f t="shared" si="12"/>
        <v>141808921.14547709</v>
      </c>
      <c r="G71" s="265">
        <v>128.10000000000002</v>
      </c>
      <c r="H71" s="265">
        <v>20.5</v>
      </c>
      <c r="I71" s="259">
        <v>30</v>
      </c>
      <c r="J71" s="257">
        <v>1</v>
      </c>
      <c r="K71" s="257">
        <v>320</v>
      </c>
      <c r="L71" s="259">
        <v>0</v>
      </c>
      <c r="M71" s="260">
        <v>50.4</v>
      </c>
      <c r="N71" s="257">
        <f>'CDM Activity '!H152</f>
        <v>4640991.2007799009</v>
      </c>
      <c r="O71" s="431">
        <v>69</v>
      </c>
      <c r="P71" s="257">
        <v>698.4</v>
      </c>
      <c r="Q71" s="261">
        <v>146.2432353741153</v>
      </c>
      <c r="R71" s="257">
        <f>R70+(R80-R68)/12</f>
        <v>77526.51184160226</v>
      </c>
      <c r="S71" s="259">
        <f t="shared" si="14"/>
        <v>139505459.53603503</v>
      </c>
      <c r="T71" s="48">
        <f t="shared" si="15"/>
        <v>-2303461.6094420552</v>
      </c>
      <c r="U71" s="109">
        <f t="shared" si="16"/>
        <v>-1.9679786424714327E-2</v>
      </c>
      <c r="V71" s="13">
        <f t="shared" si="13"/>
        <v>1.9679786424714327E-2</v>
      </c>
      <c r="X71"/>
    </row>
    <row r="72" spans="1:24" x14ac:dyDescent="0.2">
      <c r="A72" s="256">
        <v>41578</v>
      </c>
      <c r="B72" s="264"/>
      <c r="C72" s="257"/>
      <c r="D72" s="264">
        <v>118510857.23</v>
      </c>
      <c r="E72" s="264">
        <v>23808060.8365019</v>
      </c>
      <c r="F72" s="257">
        <f t="shared" si="12"/>
        <v>142318918.06650192</v>
      </c>
      <c r="G72" s="265">
        <v>255.50000000000003</v>
      </c>
      <c r="H72" s="265">
        <v>0</v>
      </c>
      <c r="I72" s="259">
        <v>31</v>
      </c>
      <c r="J72" s="257">
        <v>1</v>
      </c>
      <c r="K72" s="257">
        <v>352</v>
      </c>
      <c r="L72" s="259">
        <v>0</v>
      </c>
      <c r="M72" s="260">
        <v>43.5</v>
      </c>
      <c r="N72" s="257">
        <f>'CDM Activity '!H153</f>
        <v>4735720.8102289196</v>
      </c>
      <c r="O72" s="431">
        <v>70</v>
      </c>
      <c r="P72" s="257">
        <v>698.4</v>
      </c>
      <c r="Q72" s="261">
        <v>146.4007293327038</v>
      </c>
      <c r="R72" s="257">
        <f>R71+(R80-R68)/12</f>
        <v>77567.274378690927</v>
      </c>
      <c r="S72" s="259">
        <f t="shared" si="14"/>
        <v>143179115.69453219</v>
      </c>
      <c r="T72" s="48">
        <f t="shared" si="15"/>
        <v>860197.62803027034</v>
      </c>
      <c r="U72" s="109">
        <f t="shared" si="16"/>
        <v>7.2583866840220503E-3</v>
      </c>
      <c r="V72" s="13">
        <f t="shared" si="13"/>
        <v>7.2583866840220503E-3</v>
      </c>
      <c r="X72"/>
    </row>
    <row r="73" spans="1:24" x14ac:dyDescent="0.2">
      <c r="A73" s="256">
        <v>41608</v>
      </c>
      <c r="B73" s="264"/>
      <c r="C73" s="257"/>
      <c r="D73" s="264">
        <v>122250367.67999999</v>
      </c>
      <c r="E73" s="264">
        <v>24683256.6191446</v>
      </c>
      <c r="F73" s="257">
        <f t="shared" si="12"/>
        <v>146933624.2991446</v>
      </c>
      <c r="G73" s="265">
        <v>517.69999999999993</v>
      </c>
      <c r="H73" s="265">
        <v>0</v>
      </c>
      <c r="I73" s="259">
        <v>30</v>
      </c>
      <c r="J73" s="257">
        <v>1</v>
      </c>
      <c r="K73" s="257">
        <v>336</v>
      </c>
      <c r="L73" s="259">
        <v>0</v>
      </c>
      <c r="M73" s="260">
        <v>38.6</v>
      </c>
      <c r="N73" s="257">
        <f>'CDM Activity '!H154</f>
        <v>4830450.4196779383</v>
      </c>
      <c r="O73" s="431">
        <v>71</v>
      </c>
      <c r="P73" s="257">
        <v>700</v>
      </c>
      <c r="Q73" s="261">
        <v>146.55839290151005</v>
      </c>
      <c r="R73" s="257">
        <f>R72+(R80-R68)/12</f>
        <v>77608.036915779594</v>
      </c>
      <c r="S73" s="259">
        <f t="shared" si="14"/>
        <v>146653972.61100519</v>
      </c>
      <c r="T73" s="48">
        <f t="shared" si="15"/>
        <v>-279651.68813940883</v>
      </c>
      <c r="U73" s="109">
        <f t="shared" si="16"/>
        <v>-2.2875324912839464E-3</v>
      </c>
      <c r="V73" s="13">
        <f t="shared" si="13"/>
        <v>2.2875324912839464E-3</v>
      </c>
      <c r="X73"/>
    </row>
    <row r="74" spans="1:24" x14ac:dyDescent="0.2">
      <c r="A74" s="256">
        <v>41639</v>
      </c>
      <c r="B74" s="264"/>
      <c r="C74" s="257"/>
      <c r="D74" s="264">
        <v>126466735.50000012</v>
      </c>
      <c r="E74" s="264">
        <v>27084399.988636643</v>
      </c>
      <c r="F74" s="257">
        <f t="shared" si="12"/>
        <v>153551135.48863676</v>
      </c>
      <c r="G74" s="265">
        <v>727.3</v>
      </c>
      <c r="H74" s="265">
        <v>0</v>
      </c>
      <c r="I74" s="259">
        <v>31</v>
      </c>
      <c r="J74" s="257">
        <v>0</v>
      </c>
      <c r="K74" s="257">
        <v>320</v>
      </c>
      <c r="L74" s="259">
        <v>0</v>
      </c>
      <c r="M74" s="260">
        <v>38.9</v>
      </c>
      <c r="N74" s="257">
        <f>'CDM Activity '!H155</f>
        <v>4925180.0291269571</v>
      </c>
      <c r="O74" s="431">
        <v>72</v>
      </c>
      <c r="P74" s="257">
        <v>695.4</v>
      </c>
      <c r="Q74" s="261">
        <v>146.71622626319265</v>
      </c>
      <c r="R74" s="257">
        <f>R73+(R80-R68)/12</f>
        <v>77648.799452868261</v>
      </c>
      <c r="S74" s="259">
        <f t="shared" si="14"/>
        <v>155896908.85181344</v>
      </c>
      <c r="T74" s="48">
        <f t="shared" si="15"/>
        <v>2345773.3631766737</v>
      </c>
      <c r="U74" s="109">
        <f t="shared" si="16"/>
        <v>1.8548540483016355E-2</v>
      </c>
      <c r="V74" s="13">
        <f t="shared" si="13"/>
        <v>1.8548540483016355E-2</v>
      </c>
      <c r="X74"/>
    </row>
    <row r="75" spans="1:24" x14ac:dyDescent="0.2">
      <c r="A75" s="256">
        <v>41670</v>
      </c>
      <c r="B75" s="264"/>
      <c r="C75" s="257"/>
      <c r="D75" s="264">
        <v>135820222.94551274</v>
      </c>
      <c r="E75" s="264">
        <v>28861546.738988899</v>
      </c>
      <c r="F75" s="257">
        <f t="shared" si="12"/>
        <v>164681769.68450165</v>
      </c>
      <c r="G75" s="265">
        <v>827.9000000000002</v>
      </c>
      <c r="H75" s="265">
        <v>0</v>
      </c>
      <c r="I75" s="259">
        <v>31</v>
      </c>
      <c r="J75" s="257">
        <v>0</v>
      </c>
      <c r="K75" s="257">
        <v>352</v>
      </c>
      <c r="L75" s="259">
        <v>0</v>
      </c>
      <c r="M75" s="266">
        <v>42.2</v>
      </c>
      <c r="N75" s="257">
        <f>'CDM Activity '!H156</f>
        <v>5042471.6014174633</v>
      </c>
      <c r="O75" s="431">
        <v>73</v>
      </c>
      <c r="P75" s="257">
        <v>689.4</v>
      </c>
      <c r="Q75" s="261">
        <v>147.04232175221028</v>
      </c>
      <c r="R75" s="257">
        <f>R74+(R80-R68)/12</f>
        <v>77689.561989956928</v>
      </c>
      <c r="S75" s="259">
        <f t="shared" si="14"/>
        <v>160346756.9354144</v>
      </c>
      <c r="T75" s="48">
        <f t="shared" si="15"/>
        <v>-4335012.7490872443</v>
      </c>
      <c r="U75" s="109">
        <f t="shared" si="16"/>
        <v>-3.1917284886407007E-2</v>
      </c>
      <c r="V75" s="13">
        <f t="shared" si="13"/>
        <v>3.1917284886407007E-2</v>
      </c>
      <c r="W75" s="110"/>
      <c r="X75"/>
    </row>
    <row r="76" spans="1:24" x14ac:dyDescent="0.2">
      <c r="A76" s="256">
        <v>41698</v>
      </c>
      <c r="B76" s="264"/>
      <c r="C76" s="257"/>
      <c r="D76" s="264">
        <v>120677101.24666667</v>
      </c>
      <c r="E76" s="264">
        <v>25328199.248120297</v>
      </c>
      <c r="F76" s="257">
        <f t="shared" si="12"/>
        <v>146005300.49478698</v>
      </c>
      <c r="G76" s="265">
        <v>775.2</v>
      </c>
      <c r="H76" s="265">
        <v>0</v>
      </c>
      <c r="I76" s="259">
        <v>28</v>
      </c>
      <c r="J76" s="257">
        <v>0</v>
      </c>
      <c r="K76" s="257">
        <v>304</v>
      </c>
      <c r="L76" s="259">
        <v>0</v>
      </c>
      <c r="M76" s="266">
        <v>43.2</v>
      </c>
      <c r="N76" s="257">
        <f>'CDM Activity '!H157</f>
        <v>5159763.1737079695</v>
      </c>
      <c r="O76" s="431">
        <v>74</v>
      </c>
      <c r="P76" s="257">
        <v>682.3</v>
      </c>
      <c r="Q76" s="261">
        <v>147.36914202996238</v>
      </c>
      <c r="R76" s="257">
        <f>R75+(R80-R68)/12</f>
        <v>77730.324527045595</v>
      </c>
      <c r="S76" s="259">
        <f t="shared" si="14"/>
        <v>147415592.55534622</v>
      </c>
      <c r="T76" s="48">
        <f t="shared" si="15"/>
        <v>1410292.060559243</v>
      </c>
      <c r="U76" s="109">
        <f t="shared" si="16"/>
        <v>1.1686492681627931E-2</v>
      </c>
      <c r="V76" s="13">
        <f t="shared" si="13"/>
        <v>1.1686492681627931E-2</v>
      </c>
      <c r="X76"/>
    </row>
    <row r="77" spans="1:24" x14ac:dyDescent="0.2">
      <c r="A77" s="256">
        <v>41729</v>
      </c>
      <c r="B77" s="264"/>
      <c r="C77" s="257"/>
      <c r="D77" s="264">
        <v>130033930.61333334</v>
      </c>
      <c r="E77" s="264">
        <v>26535369.333333336</v>
      </c>
      <c r="F77" s="257">
        <f t="shared" si="12"/>
        <v>156569299.94666669</v>
      </c>
      <c r="G77" s="265">
        <v>756.99999999999989</v>
      </c>
      <c r="H77" s="265">
        <v>0</v>
      </c>
      <c r="I77" s="259">
        <v>31</v>
      </c>
      <c r="J77" s="257">
        <v>1</v>
      </c>
      <c r="K77" s="257">
        <v>336</v>
      </c>
      <c r="L77" s="259">
        <v>0</v>
      </c>
      <c r="M77" s="266">
        <v>44.9</v>
      </c>
      <c r="N77" s="257">
        <f>'CDM Activity '!H158</f>
        <v>5277054.7459984757</v>
      </c>
      <c r="O77" s="431">
        <v>75</v>
      </c>
      <c r="P77" s="257">
        <v>680.2</v>
      </c>
      <c r="Q77" s="261">
        <v>147.69668870738414</v>
      </c>
      <c r="R77" s="257">
        <f>R76+(R80-R68)/12</f>
        <v>77771.087064134263</v>
      </c>
      <c r="S77" s="259">
        <f t="shared" si="14"/>
        <v>153142385.22254667</v>
      </c>
      <c r="T77" s="48">
        <f t="shared" si="15"/>
        <v>-3426914.7241200209</v>
      </c>
      <c r="U77" s="109">
        <f t="shared" si="16"/>
        <v>-2.6354003973856913E-2</v>
      </c>
      <c r="V77" s="13">
        <f t="shared" si="13"/>
        <v>2.6354003973856913E-2</v>
      </c>
      <c r="X77"/>
    </row>
    <row r="78" spans="1:24" x14ac:dyDescent="0.2">
      <c r="A78" s="256">
        <v>41759</v>
      </c>
      <c r="B78" s="264"/>
      <c r="C78" s="257"/>
      <c r="D78" s="264">
        <v>115340821.52000001</v>
      </c>
      <c r="E78" s="264">
        <v>22615671.989226624</v>
      </c>
      <c r="F78" s="257">
        <f t="shared" si="12"/>
        <v>137956493.50922662</v>
      </c>
      <c r="G78" s="265">
        <v>375.90000000000003</v>
      </c>
      <c r="H78" s="265">
        <v>0</v>
      </c>
      <c r="I78" s="259">
        <v>30</v>
      </c>
      <c r="J78" s="257">
        <v>1</v>
      </c>
      <c r="K78" s="257">
        <v>320</v>
      </c>
      <c r="L78" s="259">
        <v>0</v>
      </c>
      <c r="M78" s="266">
        <v>46</v>
      </c>
      <c r="N78" s="257">
        <f>'CDM Activity '!H159</f>
        <v>5394346.3182889819</v>
      </c>
      <c r="O78" s="431">
        <v>76</v>
      </c>
      <c r="P78" s="257">
        <v>679.4</v>
      </c>
      <c r="Q78" s="261">
        <v>148.02496339899133</v>
      </c>
      <c r="R78" s="257">
        <f>R77+(R80-R68)/12</f>
        <v>77811.84960122293</v>
      </c>
      <c r="S78" s="259">
        <f t="shared" si="14"/>
        <v>140144755.87222478</v>
      </c>
      <c r="T78" s="48">
        <f t="shared" si="15"/>
        <v>2188262.3629981577</v>
      </c>
      <c r="U78" s="109">
        <f t="shared" si="16"/>
        <v>1.8972141295341083E-2</v>
      </c>
      <c r="V78" s="13">
        <f t="shared" si="13"/>
        <v>1.8972141295341083E-2</v>
      </c>
      <c r="X78"/>
    </row>
    <row r="79" spans="1:24" x14ac:dyDescent="0.2">
      <c r="A79" s="256">
        <v>41790</v>
      </c>
      <c r="B79" s="264"/>
      <c r="C79" s="257"/>
      <c r="D79" s="264">
        <v>116194343.06769232</v>
      </c>
      <c r="E79" s="264">
        <v>22402616.453585327</v>
      </c>
      <c r="F79" s="257">
        <f t="shared" si="12"/>
        <v>138596959.52127767</v>
      </c>
      <c r="G79" s="265">
        <v>135.70000000000002</v>
      </c>
      <c r="H79" s="265">
        <v>5.7</v>
      </c>
      <c r="I79" s="259">
        <v>31</v>
      </c>
      <c r="J79" s="257">
        <v>1</v>
      </c>
      <c r="K79" s="257">
        <v>336</v>
      </c>
      <c r="L79" s="259">
        <v>0</v>
      </c>
      <c r="M79" s="266">
        <v>48</v>
      </c>
      <c r="N79" s="257">
        <f>'CDM Activity '!H160</f>
        <v>5511637.8905794881</v>
      </c>
      <c r="O79" s="431">
        <v>77</v>
      </c>
      <c r="P79" s="257">
        <v>690</v>
      </c>
      <c r="Q79" s="261">
        <v>148.35396772288814</v>
      </c>
      <c r="R79" s="257">
        <f>R78+(R80-R68)/12</f>
        <v>77852.612138311597</v>
      </c>
      <c r="S79" s="259">
        <f t="shared" si="14"/>
        <v>139595570.86899629</v>
      </c>
      <c r="T79" s="48">
        <f t="shared" si="15"/>
        <v>998611.34771862626</v>
      </c>
      <c r="U79" s="109">
        <f t="shared" si="16"/>
        <v>8.5943198382459705E-3</v>
      </c>
      <c r="V79" s="13">
        <f t="shared" si="13"/>
        <v>8.5943198382459705E-3</v>
      </c>
      <c r="X79"/>
    </row>
    <row r="80" spans="1:24" x14ac:dyDescent="0.2">
      <c r="A80" s="256">
        <v>41820</v>
      </c>
      <c r="B80" s="264"/>
      <c r="C80" s="257"/>
      <c r="D80" s="264">
        <v>125124613.36846155</v>
      </c>
      <c r="E80" s="264">
        <v>24344554.854771785</v>
      </c>
      <c r="F80" s="257">
        <f t="shared" si="12"/>
        <v>149469168.22323334</v>
      </c>
      <c r="G80" s="265">
        <v>37.300000000000004</v>
      </c>
      <c r="H80" s="265">
        <v>44.3</v>
      </c>
      <c r="I80" s="259">
        <v>30</v>
      </c>
      <c r="J80" s="257">
        <v>0</v>
      </c>
      <c r="K80" s="257">
        <v>336</v>
      </c>
      <c r="L80" s="259">
        <v>0</v>
      </c>
      <c r="M80" s="266">
        <v>45.4</v>
      </c>
      <c r="N80" s="257">
        <f>'CDM Activity '!H161</f>
        <v>5628929.4628699943</v>
      </c>
      <c r="O80" s="431">
        <v>78</v>
      </c>
      <c r="P80" s="257">
        <v>704.4</v>
      </c>
      <c r="Q80" s="261">
        <v>148.68370330077519</v>
      </c>
      <c r="R80" s="257">
        <f>'Rate Class Customer Model'!S17</f>
        <v>77893.374675400322</v>
      </c>
      <c r="S80" s="259">
        <f t="shared" si="14"/>
        <v>150670049.43088478</v>
      </c>
      <c r="T80" s="48">
        <f t="shared" si="15"/>
        <v>1200881.2076514363</v>
      </c>
      <c r="U80" s="109">
        <f t="shared" si="16"/>
        <v>9.59748186486006E-3</v>
      </c>
      <c r="V80" s="13">
        <f t="shared" si="13"/>
        <v>9.59748186486006E-3</v>
      </c>
      <c r="X80"/>
    </row>
    <row r="81" spans="1:24" x14ac:dyDescent="0.2">
      <c r="A81" s="256">
        <v>41851</v>
      </c>
      <c r="B81" s="264"/>
      <c r="C81" s="257"/>
      <c r="D81" s="264">
        <v>127319695.26000002</v>
      </c>
      <c r="E81" s="264">
        <v>25584932.225063939</v>
      </c>
      <c r="F81" s="257">
        <f t="shared" si="12"/>
        <v>152904627.48506397</v>
      </c>
      <c r="G81" s="265">
        <v>36.800000000000004</v>
      </c>
      <c r="H81" s="265">
        <v>31.500000000000004</v>
      </c>
      <c r="I81" s="259">
        <v>31</v>
      </c>
      <c r="J81" s="257">
        <v>0</v>
      </c>
      <c r="K81" s="257">
        <v>352</v>
      </c>
      <c r="L81" s="259">
        <v>0</v>
      </c>
      <c r="M81" s="266">
        <v>45.9</v>
      </c>
      <c r="N81" s="257">
        <f>'CDM Activity '!H162</f>
        <v>5746221.0351605006</v>
      </c>
      <c r="O81" s="431">
        <v>79</v>
      </c>
      <c r="P81" s="257">
        <v>715.1</v>
      </c>
      <c r="Q81" s="261">
        <v>149.0141717579576</v>
      </c>
      <c r="R81" s="257">
        <f>R80+(R92-R80)/12</f>
        <v>77940.041357497626</v>
      </c>
      <c r="S81" s="259">
        <f t="shared" si="14"/>
        <v>150488733.49268061</v>
      </c>
      <c r="T81" s="48">
        <f t="shared" si="15"/>
        <v>-2415893.9923833609</v>
      </c>
      <c r="U81" s="109">
        <f t="shared" si="16"/>
        <v>-1.8975021794152544E-2</v>
      </c>
      <c r="V81" s="13">
        <f t="shared" si="13"/>
        <v>1.8975021794152544E-2</v>
      </c>
      <c r="W81"/>
      <c r="X81"/>
    </row>
    <row r="82" spans="1:24" x14ac:dyDescent="0.2">
      <c r="A82" s="256">
        <v>41882</v>
      </c>
      <c r="B82" s="264"/>
      <c r="C82" s="257"/>
      <c r="D82" s="264">
        <v>125661579.63</v>
      </c>
      <c r="E82" s="264">
        <v>26911021.150717348</v>
      </c>
      <c r="F82" s="257">
        <f t="shared" si="12"/>
        <v>152572600.78071734</v>
      </c>
      <c r="G82" s="265">
        <v>31.099999999999998</v>
      </c>
      <c r="H82" s="265">
        <v>24.500000000000004</v>
      </c>
      <c r="I82" s="259">
        <v>31</v>
      </c>
      <c r="J82" s="257">
        <v>0</v>
      </c>
      <c r="K82" s="257">
        <v>320</v>
      </c>
      <c r="L82" s="259">
        <v>0</v>
      </c>
      <c r="M82" s="266">
        <v>45.7</v>
      </c>
      <c r="N82" s="257">
        <f>'CDM Activity '!H163</f>
        <v>5863512.6074510068</v>
      </c>
      <c r="O82" s="431">
        <v>80</v>
      </c>
      <c r="P82" s="257">
        <v>718.7</v>
      </c>
      <c r="Q82" s="261">
        <v>149.34537472335285</v>
      </c>
      <c r="R82" s="257">
        <f>R81+(R92-R80)/12</f>
        <v>77986.708039594931</v>
      </c>
      <c r="S82" s="259">
        <f t="shared" si="14"/>
        <v>145407764.62301612</v>
      </c>
      <c r="T82" s="48">
        <f t="shared" si="15"/>
        <v>-7164836.1577012241</v>
      </c>
      <c r="U82" s="109">
        <f t="shared" si="16"/>
        <v>-5.7016919402075678E-2</v>
      </c>
      <c r="V82" s="13">
        <f t="shared" si="13"/>
        <v>5.7016919402075678E-2</v>
      </c>
      <c r="W82"/>
      <c r="X82"/>
    </row>
    <row r="83" spans="1:24" x14ac:dyDescent="0.2">
      <c r="A83" s="256">
        <v>41912</v>
      </c>
      <c r="B83" s="264"/>
      <c r="C83" s="257"/>
      <c r="D83" s="264">
        <v>118663196.43615384</v>
      </c>
      <c r="E83" s="264">
        <v>25539662.564360168</v>
      </c>
      <c r="F83" s="257">
        <f t="shared" si="12"/>
        <v>144202859.000514</v>
      </c>
      <c r="G83" s="265">
        <v>114.00000000000003</v>
      </c>
      <c r="H83" s="265">
        <v>11.4</v>
      </c>
      <c r="I83" s="259">
        <v>30</v>
      </c>
      <c r="J83" s="257">
        <v>1</v>
      </c>
      <c r="K83" s="257">
        <v>336</v>
      </c>
      <c r="L83" s="259">
        <v>0</v>
      </c>
      <c r="M83" s="266">
        <v>46.7</v>
      </c>
      <c r="N83" s="257">
        <f>'CDM Activity '!H164</f>
        <v>5980804.179741513</v>
      </c>
      <c r="O83" s="431">
        <v>81</v>
      </c>
      <c r="P83" s="257">
        <v>719.3</v>
      </c>
      <c r="Q83" s="261">
        <v>149.67731382949896</v>
      </c>
      <c r="R83" s="257">
        <f>R82+(R92-R80)/12</f>
        <v>78033.374721692235</v>
      </c>
      <c r="S83" s="259">
        <f t="shared" si="14"/>
        <v>138738243.85794359</v>
      </c>
      <c r="T83" s="48">
        <f t="shared" si="15"/>
        <v>-5464615.1425704062</v>
      </c>
      <c r="U83" s="109">
        <f t="shared" si="16"/>
        <v>-4.6051474312935908E-2</v>
      </c>
      <c r="V83" s="13">
        <f t="shared" si="13"/>
        <v>4.6051474312935908E-2</v>
      </c>
      <c r="W83"/>
      <c r="X83"/>
    </row>
    <row r="84" spans="1:24" x14ac:dyDescent="0.2">
      <c r="A84" s="256">
        <v>41943</v>
      </c>
      <c r="B84" s="264"/>
      <c r="C84" s="257"/>
      <c r="D84" s="264">
        <v>117719881.72769232</v>
      </c>
      <c r="E84" s="264">
        <v>24064979.528659873</v>
      </c>
      <c r="F84" s="257">
        <f t="shared" si="12"/>
        <v>141784861.25635219</v>
      </c>
      <c r="G84" s="265">
        <v>244.6</v>
      </c>
      <c r="H84" s="265">
        <v>0</v>
      </c>
      <c r="I84" s="259">
        <v>31</v>
      </c>
      <c r="J84" s="257">
        <v>1</v>
      </c>
      <c r="K84" s="257">
        <v>352</v>
      </c>
      <c r="L84" s="259">
        <v>0</v>
      </c>
      <c r="M84" s="266">
        <v>39.9</v>
      </c>
      <c r="N84" s="257">
        <f>'CDM Activity '!H165</f>
        <v>6098095.7520320192</v>
      </c>
      <c r="O84" s="431">
        <v>82</v>
      </c>
      <c r="P84" s="257">
        <v>723.5</v>
      </c>
      <c r="Q84" s="261">
        <v>150.00999071256246</v>
      </c>
      <c r="R84" s="257">
        <f>R83+(R92-R80)/12</f>
        <v>78080.041403789539</v>
      </c>
      <c r="S84" s="259">
        <f t="shared" si="14"/>
        <v>143776729.16072068</v>
      </c>
      <c r="T84" s="48">
        <f t="shared" si="15"/>
        <v>1991867.90436849</v>
      </c>
      <c r="U84" s="109">
        <f t="shared" si="16"/>
        <v>1.6920403547261844E-2</v>
      </c>
      <c r="V84" s="13">
        <f t="shared" si="13"/>
        <v>1.6920403547261844E-2</v>
      </c>
      <c r="W84"/>
      <c r="X84"/>
    </row>
    <row r="85" spans="1:24" x14ac:dyDescent="0.2">
      <c r="A85" s="256">
        <v>41973</v>
      </c>
      <c r="B85" s="264"/>
      <c r="C85" s="257"/>
      <c r="D85" s="264">
        <v>121758308.65615384</v>
      </c>
      <c r="E85" s="264">
        <v>25243719.630709428</v>
      </c>
      <c r="F85" s="257">
        <f t="shared" si="12"/>
        <v>147002028.28686327</v>
      </c>
      <c r="G85" s="265">
        <v>521.9</v>
      </c>
      <c r="H85" s="265">
        <v>0</v>
      </c>
      <c r="I85" s="259">
        <v>30</v>
      </c>
      <c r="J85" s="257">
        <v>1</v>
      </c>
      <c r="K85" s="257">
        <v>304</v>
      </c>
      <c r="L85" s="259">
        <v>0</v>
      </c>
      <c r="M85" s="266">
        <v>36.6</v>
      </c>
      <c r="N85" s="257">
        <f>'CDM Activity '!H166</f>
        <v>6215387.3243225254</v>
      </c>
      <c r="O85" s="431">
        <v>83</v>
      </c>
      <c r="P85" s="257">
        <v>721</v>
      </c>
      <c r="Q85" s="261">
        <v>150.34340701234646</v>
      </c>
      <c r="R85" s="257">
        <f>R84+(R92-R80)/12</f>
        <v>78126.708085886843</v>
      </c>
      <c r="S85" s="259">
        <f t="shared" si="14"/>
        <v>144348251.62508184</v>
      </c>
      <c r="T85" s="48">
        <f t="shared" si="15"/>
        <v>-2653776.6617814302</v>
      </c>
      <c r="U85" s="109">
        <f t="shared" si="16"/>
        <v>-2.179544616766738E-2</v>
      </c>
      <c r="V85" s="13">
        <f t="shared" si="13"/>
        <v>2.179544616766738E-2</v>
      </c>
      <c r="W85"/>
      <c r="X85"/>
    </row>
    <row r="86" spans="1:24" x14ac:dyDescent="0.2">
      <c r="A86" s="256">
        <v>42004</v>
      </c>
      <c r="B86" s="264"/>
      <c r="C86" s="257"/>
      <c r="D86" s="264">
        <v>124290571.52833325</v>
      </c>
      <c r="E86" s="264">
        <v>26383155.282462966</v>
      </c>
      <c r="F86" s="257">
        <f t="shared" si="12"/>
        <v>150673726.8107962</v>
      </c>
      <c r="G86" s="265">
        <v>597.6</v>
      </c>
      <c r="H86" s="265">
        <v>0</v>
      </c>
      <c r="I86" s="259">
        <v>31</v>
      </c>
      <c r="J86" s="257">
        <v>0</v>
      </c>
      <c r="K86" s="257">
        <v>336</v>
      </c>
      <c r="L86" s="259">
        <v>0</v>
      </c>
      <c r="M86" s="266">
        <v>36.1</v>
      </c>
      <c r="N86" s="257">
        <f>'CDM Activity '!H167</f>
        <v>6332678.8966130316</v>
      </c>
      <c r="O86" s="431">
        <v>84</v>
      </c>
      <c r="P86" s="257">
        <v>714.3</v>
      </c>
      <c r="Q86" s="261">
        <v>150.67756437229883</v>
      </c>
      <c r="R86" s="257">
        <f>R85+(R92-R80)/12</f>
        <v>78173.374767984147</v>
      </c>
      <c r="S86" s="259">
        <f t="shared" si="14"/>
        <v>154964299.33789065</v>
      </c>
      <c r="T86" s="48">
        <f t="shared" si="15"/>
        <v>4290572.5270944536</v>
      </c>
      <c r="U86" s="109">
        <f t="shared" si="16"/>
        <v>3.4520498814476656E-2</v>
      </c>
      <c r="V86" s="13">
        <f t="shared" si="13"/>
        <v>3.4520498814476656E-2</v>
      </c>
      <c r="W86"/>
      <c r="X86"/>
    </row>
    <row r="87" spans="1:24" x14ac:dyDescent="0.2">
      <c r="A87" s="256">
        <v>42035</v>
      </c>
      <c r="B87" s="264"/>
      <c r="C87" s="257"/>
      <c r="D87" s="264">
        <v>133625740.89103362</v>
      </c>
      <c r="E87" s="264">
        <v>28483298.699252803</v>
      </c>
      <c r="F87" s="257">
        <f t="shared" si="12"/>
        <v>162109039.59028643</v>
      </c>
      <c r="G87" s="265">
        <v>800.80000000000018</v>
      </c>
      <c r="H87" s="265">
        <v>0</v>
      </c>
      <c r="I87" s="259">
        <v>31</v>
      </c>
      <c r="J87" s="257">
        <v>0</v>
      </c>
      <c r="K87" s="257">
        <v>336</v>
      </c>
      <c r="L87" s="259">
        <v>0</v>
      </c>
      <c r="M87" s="266">
        <v>37.5</v>
      </c>
      <c r="N87" s="257">
        <f>'CDM Activity '!H168</f>
        <v>6459183.2072933279</v>
      </c>
      <c r="O87" s="431">
        <v>85</v>
      </c>
      <c r="P87" s="257">
        <v>705.7</v>
      </c>
      <c r="Q87" s="261">
        <v>150.98793548444445</v>
      </c>
      <c r="R87" s="257">
        <f>R86+(R92-R80)/12</f>
        <v>78220.041450081451</v>
      </c>
      <c r="S87" s="259">
        <f t="shared" si="14"/>
        <v>159387025.78566614</v>
      </c>
      <c r="T87" s="48">
        <f t="shared" si="15"/>
        <v>-2722013.8046202958</v>
      </c>
      <c r="U87" s="109">
        <f t="shared" si="16"/>
        <v>-2.0370430026951079E-2</v>
      </c>
      <c r="V87" s="13">
        <f t="shared" si="13"/>
        <v>2.0370430026951079E-2</v>
      </c>
      <c r="W87"/>
      <c r="X87"/>
    </row>
    <row r="88" spans="1:24" x14ac:dyDescent="0.2">
      <c r="A88" s="256">
        <v>42063</v>
      </c>
      <c r="B88" s="264"/>
      <c r="C88" s="257"/>
      <c r="D88" s="264">
        <v>124603163.13823162</v>
      </c>
      <c r="E88" s="264">
        <v>26450485.678704858</v>
      </c>
      <c r="F88" s="257">
        <f t="shared" si="12"/>
        <v>151053648.81693649</v>
      </c>
      <c r="G88" s="265">
        <v>917.5</v>
      </c>
      <c r="H88" s="265">
        <v>0</v>
      </c>
      <c r="I88" s="259">
        <v>28</v>
      </c>
      <c r="J88" s="257">
        <v>0</v>
      </c>
      <c r="K88" s="257">
        <v>304</v>
      </c>
      <c r="L88" s="259">
        <v>0</v>
      </c>
      <c r="M88" s="266">
        <v>40</v>
      </c>
      <c r="N88" s="257">
        <f>'CDM Activity '!H169</f>
        <v>6585687.5179736242</v>
      </c>
      <c r="O88" s="431">
        <v>86</v>
      </c>
      <c r="P88" s="257">
        <v>700.1</v>
      </c>
      <c r="Q88" s="261">
        <v>151.298945910264</v>
      </c>
      <c r="R88" s="257">
        <f>R87+(R92-R80)/12</f>
        <v>78266.708132178755</v>
      </c>
      <c r="S88" s="259">
        <f t="shared" si="14"/>
        <v>151502918.02117333</v>
      </c>
      <c r="T88" s="48">
        <f t="shared" si="15"/>
        <v>449269.20423683524</v>
      </c>
      <c r="U88" s="109">
        <f t="shared" si="16"/>
        <v>3.6056003148044265E-3</v>
      </c>
      <c r="V88" s="13">
        <f t="shared" si="13"/>
        <v>3.6056003148044265E-3</v>
      </c>
      <c r="W88"/>
      <c r="X88"/>
    </row>
    <row r="89" spans="1:24" x14ac:dyDescent="0.2">
      <c r="A89" s="256">
        <v>42094</v>
      </c>
      <c r="B89" s="264"/>
      <c r="C89" s="257"/>
      <c r="D89" s="264">
        <v>127778879.20298879</v>
      </c>
      <c r="E89" s="264">
        <v>25982067.247820672</v>
      </c>
      <c r="F89" s="257">
        <f t="shared" si="12"/>
        <v>153760946.45080945</v>
      </c>
      <c r="G89" s="265">
        <v>538</v>
      </c>
      <c r="H89" s="265">
        <v>0</v>
      </c>
      <c r="I89" s="259">
        <v>31</v>
      </c>
      <c r="J89" s="257">
        <v>1</v>
      </c>
      <c r="K89" s="257">
        <v>352</v>
      </c>
      <c r="L89" s="259">
        <v>0</v>
      </c>
      <c r="M89" s="266">
        <v>42.5</v>
      </c>
      <c r="N89" s="257">
        <f>'CDM Activity '!H170</f>
        <v>6712191.8286539204</v>
      </c>
      <c r="O89" s="431">
        <v>87</v>
      </c>
      <c r="P89" s="257">
        <v>698.3</v>
      </c>
      <c r="Q89" s="261">
        <v>151.61059696663892</v>
      </c>
      <c r="R89" s="257">
        <f>R88+(R92-R80)/12</f>
        <v>78313.37481427606</v>
      </c>
      <c r="S89" s="259">
        <f t="shared" si="14"/>
        <v>150025668.20043153</v>
      </c>
      <c r="T89" s="48">
        <f t="shared" si="15"/>
        <v>-3735278.2503779233</v>
      </c>
      <c r="U89" s="109">
        <f t="shared" si="16"/>
        <v>-2.9232360415715353E-2</v>
      </c>
      <c r="V89" s="13">
        <f t="shared" si="13"/>
        <v>2.9232360415715353E-2</v>
      </c>
      <c r="W89"/>
      <c r="X89"/>
    </row>
    <row r="90" spans="1:24" x14ac:dyDescent="0.2">
      <c r="A90" s="256">
        <v>42124</v>
      </c>
      <c r="B90" s="264"/>
      <c r="C90" s="257"/>
      <c r="D90" s="264">
        <v>113553574.09713575</v>
      </c>
      <c r="E90" s="264">
        <v>22692801.992528021</v>
      </c>
      <c r="F90" s="257">
        <f t="shared" si="12"/>
        <v>136246376.08966377</v>
      </c>
      <c r="G90" s="265">
        <v>359.00000000000011</v>
      </c>
      <c r="H90" s="265">
        <v>0</v>
      </c>
      <c r="I90" s="259">
        <v>30</v>
      </c>
      <c r="J90" s="257">
        <v>1</v>
      </c>
      <c r="K90" s="257">
        <v>336</v>
      </c>
      <c r="L90" s="259">
        <v>0</v>
      </c>
      <c r="M90" s="266">
        <v>46.6</v>
      </c>
      <c r="N90" s="257">
        <f>'CDM Activity '!H171</f>
        <v>6838696.1393342167</v>
      </c>
      <c r="O90" s="431">
        <v>88</v>
      </c>
      <c r="P90" s="257">
        <v>697.6</v>
      </c>
      <c r="Q90" s="261">
        <v>151.92288997316331</v>
      </c>
      <c r="R90" s="257">
        <f>R89+(R92-R80)/12</f>
        <v>78360.041496373364</v>
      </c>
      <c r="S90" s="259">
        <f t="shared" si="14"/>
        <v>141046075.99393466</v>
      </c>
      <c r="T90" s="48">
        <f t="shared" si="15"/>
        <v>4799699.9042708874</v>
      </c>
      <c r="U90" s="109">
        <f t="shared" si="16"/>
        <v>4.226815353398862E-2</v>
      </c>
      <c r="V90" s="13">
        <f t="shared" si="13"/>
        <v>4.226815353398862E-2</v>
      </c>
      <c r="W90"/>
      <c r="X90"/>
    </row>
    <row r="91" spans="1:24" x14ac:dyDescent="0.2">
      <c r="A91" s="256">
        <v>42155</v>
      </c>
      <c r="B91" s="264"/>
      <c r="C91" s="257"/>
      <c r="D91" s="264">
        <v>118977011.2079701</v>
      </c>
      <c r="E91" s="264">
        <v>23105902.864259031</v>
      </c>
      <c r="F91" s="257">
        <f t="shared" si="12"/>
        <v>142082914.07222912</v>
      </c>
      <c r="G91" s="265">
        <v>116.20000000000002</v>
      </c>
      <c r="H91" s="265">
        <v>29.8</v>
      </c>
      <c r="I91" s="259">
        <v>31</v>
      </c>
      <c r="J91" s="257">
        <v>1</v>
      </c>
      <c r="K91" s="257">
        <v>320</v>
      </c>
      <c r="L91" s="259">
        <v>0</v>
      </c>
      <c r="M91" s="266">
        <v>46.7</v>
      </c>
      <c r="N91" s="257">
        <f>'CDM Activity '!H172</f>
        <v>6965200.450014513</v>
      </c>
      <c r="O91" s="431">
        <v>89</v>
      </c>
      <c r="P91" s="257">
        <v>704.9</v>
      </c>
      <c r="Q91" s="261">
        <v>152.23582625214937</v>
      </c>
      <c r="R91" s="257">
        <f>R90+(R92-R80)/12</f>
        <v>78406.708178470668</v>
      </c>
      <c r="S91" s="259">
        <f t="shared" si="14"/>
        <v>145297926.10861972</v>
      </c>
      <c r="T91" s="48">
        <f t="shared" si="15"/>
        <v>3215012.0363906026</v>
      </c>
      <c r="U91" s="109">
        <f t="shared" si="16"/>
        <v>2.7022128088011962E-2</v>
      </c>
      <c r="V91" s="13">
        <f t="shared" si="13"/>
        <v>2.7022128088011962E-2</v>
      </c>
      <c r="W91"/>
      <c r="X91"/>
    </row>
    <row r="92" spans="1:24" x14ac:dyDescent="0.2">
      <c r="A92" s="256">
        <v>42185</v>
      </c>
      <c r="B92" s="264"/>
      <c r="C92" s="257"/>
      <c r="D92" s="264">
        <v>121965915.31755915</v>
      </c>
      <c r="E92" s="264">
        <v>22350012.453300126</v>
      </c>
      <c r="F92" s="257">
        <f t="shared" si="12"/>
        <v>144315927.77085927</v>
      </c>
      <c r="G92" s="265">
        <v>54.699999999999996</v>
      </c>
      <c r="H92" s="265">
        <v>15</v>
      </c>
      <c r="I92" s="259">
        <v>30</v>
      </c>
      <c r="J92" s="257">
        <v>0</v>
      </c>
      <c r="K92" s="257">
        <v>352</v>
      </c>
      <c r="L92" s="259">
        <v>0</v>
      </c>
      <c r="M92" s="266">
        <v>40.4</v>
      </c>
      <c r="N92" s="257">
        <f>'CDM Activity '!H173</f>
        <v>7091704.7606948093</v>
      </c>
      <c r="O92" s="431">
        <v>90</v>
      </c>
      <c r="P92" s="257">
        <v>715.1</v>
      </c>
      <c r="Q92" s="261">
        <v>152.54940712863302</v>
      </c>
      <c r="R92" s="257">
        <f>'Rate Class Customer Model'!S18</f>
        <v>78453.374860568016</v>
      </c>
      <c r="S92" s="259">
        <f t="shared" si="14"/>
        <v>144837837.98399389</v>
      </c>
      <c r="T92" s="48">
        <f t="shared" si="15"/>
        <v>521910.21313461661</v>
      </c>
      <c r="U92" s="109">
        <f t="shared" si="16"/>
        <v>4.279148086379166E-3</v>
      </c>
      <c r="V92" s="13">
        <f t="shared" si="13"/>
        <v>4.279148086379166E-3</v>
      </c>
      <c r="W92"/>
      <c r="X92"/>
    </row>
    <row r="93" spans="1:24" x14ac:dyDescent="0.2">
      <c r="A93" s="256">
        <v>42216</v>
      </c>
      <c r="B93" s="264"/>
      <c r="C93" s="257"/>
      <c r="D93" s="264">
        <v>133656338.72976337</v>
      </c>
      <c r="E93" s="264">
        <v>25652191.780821916</v>
      </c>
      <c r="F93" s="257">
        <f t="shared" si="12"/>
        <v>159308530.51058528</v>
      </c>
      <c r="G93" s="265">
        <v>19.3</v>
      </c>
      <c r="H93" s="265">
        <v>57.70000000000001</v>
      </c>
      <c r="I93" s="259">
        <v>31</v>
      </c>
      <c r="J93" s="257">
        <v>0</v>
      </c>
      <c r="K93" s="257">
        <v>352</v>
      </c>
      <c r="L93" s="259">
        <v>0</v>
      </c>
      <c r="M93" s="266">
        <v>38.700000000000003</v>
      </c>
      <c r="N93" s="257">
        <f>'CDM Activity '!H174</f>
        <v>7218209.0713751055</v>
      </c>
      <c r="O93" s="431">
        <v>91</v>
      </c>
      <c r="P93" s="257">
        <v>716.6</v>
      </c>
      <c r="Q93" s="261">
        <v>152.86363393037959</v>
      </c>
      <c r="R93" s="257">
        <f>R92+(R104-R92)/12</f>
        <v>78529.653990146006</v>
      </c>
      <c r="S93" s="259">
        <f t="shared" si="14"/>
        <v>159709298.17254302</v>
      </c>
      <c r="T93" s="48">
        <f t="shared" si="15"/>
        <v>400767.66195774078</v>
      </c>
      <c r="U93" s="109">
        <f t="shared" si="16"/>
        <v>2.9984934928379533E-3</v>
      </c>
      <c r="V93" s="13">
        <f t="shared" si="13"/>
        <v>2.9984934928379533E-3</v>
      </c>
      <c r="W93"/>
      <c r="X93"/>
    </row>
    <row r="94" spans="1:24" x14ac:dyDescent="0.2">
      <c r="A94" s="256">
        <v>42247</v>
      </c>
      <c r="B94" s="264"/>
      <c r="C94" s="257"/>
      <c r="D94" s="264">
        <v>129788505.60398506</v>
      </c>
      <c r="E94" s="264">
        <v>25172141.96762142</v>
      </c>
      <c r="F94" s="257">
        <f t="shared" si="12"/>
        <v>154960647.57160649</v>
      </c>
      <c r="G94" s="265">
        <v>29.500000000000004</v>
      </c>
      <c r="H94" s="265">
        <v>47.899999999999991</v>
      </c>
      <c r="I94" s="259">
        <v>31</v>
      </c>
      <c r="J94" s="257">
        <v>0</v>
      </c>
      <c r="K94" s="257">
        <v>320</v>
      </c>
      <c r="L94" s="259">
        <v>0</v>
      </c>
      <c r="M94" s="266">
        <v>42</v>
      </c>
      <c r="N94" s="257">
        <f>'CDM Activity '!H175</f>
        <v>7344713.3820554018</v>
      </c>
      <c r="O94" s="431">
        <v>92</v>
      </c>
      <c r="P94" s="257">
        <v>713.1</v>
      </c>
      <c r="Q94" s="261">
        <v>153.17850798788936</v>
      </c>
      <c r="R94" s="257">
        <f>R93+(R104-R92)/12</f>
        <v>78605.933119723995</v>
      </c>
      <c r="S94" s="259">
        <f t="shared" si="14"/>
        <v>153324468.64030373</v>
      </c>
      <c r="T94" s="48">
        <f t="shared" si="15"/>
        <v>-1636178.9313027561</v>
      </c>
      <c r="U94" s="109">
        <f t="shared" si="16"/>
        <v>-1.2606501043282823E-2</v>
      </c>
      <c r="V94" s="13">
        <f t="shared" si="13"/>
        <v>1.2606501043282823E-2</v>
      </c>
      <c r="W94"/>
      <c r="X94"/>
    </row>
    <row r="95" spans="1:24" x14ac:dyDescent="0.2">
      <c r="A95" s="256">
        <v>42277</v>
      </c>
      <c r="B95" s="264"/>
      <c r="C95" s="257"/>
      <c r="D95" s="264">
        <v>126407011.20797011</v>
      </c>
      <c r="E95" s="264">
        <v>24929937.733499378</v>
      </c>
      <c r="F95" s="257">
        <f t="shared" si="12"/>
        <v>151336948.94146949</v>
      </c>
      <c r="G95" s="265">
        <v>58.20000000000001</v>
      </c>
      <c r="H95" s="265">
        <v>45.300000000000004</v>
      </c>
      <c r="I95" s="259">
        <v>30</v>
      </c>
      <c r="J95" s="257">
        <v>1</v>
      </c>
      <c r="K95" s="257">
        <v>336</v>
      </c>
      <c r="L95" s="259">
        <v>0</v>
      </c>
      <c r="M95" s="266">
        <v>42.8</v>
      </c>
      <c r="N95" s="257">
        <f>'CDM Activity '!H176</f>
        <v>7471217.6927356981</v>
      </c>
      <c r="O95" s="431">
        <v>93</v>
      </c>
      <c r="P95" s="257">
        <v>710.2</v>
      </c>
      <c r="Q95" s="261">
        <v>153.4940306344032</v>
      </c>
      <c r="R95" s="257">
        <f>R94+(R104-R92)/12</f>
        <v>78682.212249301985</v>
      </c>
      <c r="S95" s="259">
        <f t="shared" si="14"/>
        <v>148610130.35522807</v>
      </c>
      <c r="T95" s="48">
        <f t="shared" si="15"/>
        <v>-2726818.5862414241</v>
      </c>
      <c r="U95" s="109">
        <f t="shared" si="16"/>
        <v>-2.1571735303156151E-2</v>
      </c>
      <c r="V95" s="13">
        <f t="shared" si="13"/>
        <v>2.1571735303156151E-2</v>
      </c>
      <c r="W95"/>
      <c r="X95"/>
    </row>
    <row r="96" spans="1:24" x14ac:dyDescent="0.2">
      <c r="A96" s="256">
        <v>42308</v>
      </c>
      <c r="B96" s="264"/>
      <c r="C96" s="257"/>
      <c r="D96" s="264">
        <v>116420946.45080946</v>
      </c>
      <c r="E96" s="264">
        <v>22322054.794520549</v>
      </c>
      <c r="F96" s="257">
        <f t="shared" si="12"/>
        <v>138743001.24533001</v>
      </c>
      <c r="G96" s="265">
        <v>290.09999999999991</v>
      </c>
      <c r="H96" s="265">
        <v>0</v>
      </c>
      <c r="I96" s="259">
        <v>31</v>
      </c>
      <c r="J96" s="257">
        <v>1</v>
      </c>
      <c r="K96" s="257">
        <v>336</v>
      </c>
      <c r="L96" s="259">
        <v>0</v>
      </c>
      <c r="M96" s="266">
        <v>39.700000000000003</v>
      </c>
      <c r="N96" s="257">
        <f>'CDM Activity '!H177</f>
        <v>7597722.0034159943</v>
      </c>
      <c r="O96" s="431">
        <v>94</v>
      </c>
      <c r="P96" s="257">
        <v>716.9</v>
      </c>
      <c r="Q96" s="261">
        <v>153.81020320590829</v>
      </c>
      <c r="R96" s="257">
        <f>R95+(R104-R92)/12</f>
        <v>78758.491378879975</v>
      </c>
      <c r="S96" s="259">
        <f t="shared" si="14"/>
        <v>143449830.68534738</v>
      </c>
      <c r="T96" s="48">
        <f t="shared" si="15"/>
        <v>4706829.4400173724</v>
      </c>
      <c r="U96" s="109">
        <f t="shared" si="16"/>
        <v>4.0429403672698337E-2</v>
      </c>
      <c r="V96" s="13">
        <f t="shared" si="13"/>
        <v>4.0429403672698337E-2</v>
      </c>
      <c r="W96"/>
      <c r="X96"/>
    </row>
    <row r="97" spans="1:24" x14ac:dyDescent="0.2">
      <c r="A97" s="256">
        <v>42338</v>
      </c>
      <c r="B97" s="264"/>
      <c r="C97" s="257"/>
      <c r="D97" s="264">
        <v>117582278.95392279</v>
      </c>
      <c r="E97" s="264">
        <v>22495330.012453299</v>
      </c>
      <c r="F97" s="257">
        <f t="shared" si="12"/>
        <v>140077608.9663761</v>
      </c>
      <c r="G97" s="265">
        <v>391.1</v>
      </c>
      <c r="H97" s="265">
        <v>0</v>
      </c>
      <c r="I97" s="259">
        <v>30</v>
      </c>
      <c r="J97" s="257">
        <v>1</v>
      </c>
      <c r="K97" s="257">
        <v>320</v>
      </c>
      <c r="L97" s="259">
        <v>0</v>
      </c>
      <c r="M97" s="266">
        <v>33.6</v>
      </c>
      <c r="N97" s="257">
        <f>'CDM Activity '!H178</f>
        <v>7724226.3140962906</v>
      </c>
      <c r="O97" s="431">
        <v>95</v>
      </c>
      <c r="P97" s="257">
        <v>721</v>
      </c>
      <c r="Q97" s="261">
        <v>154.12702704114372</v>
      </c>
      <c r="R97" s="257">
        <f>R96+(R104-R92)/12</f>
        <v>78834.770508457965</v>
      </c>
      <c r="S97" s="259">
        <f t="shared" si="14"/>
        <v>143437274.24676752</v>
      </c>
      <c r="T97" s="48">
        <f t="shared" si="15"/>
        <v>3359665.2803914249</v>
      </c>
      <c r="U97" s="109">
        <f t="shared" si="16"/>
        <v>2.8572887940945452E-2</v>
      </c>
      <c r="V97" s="13">
        <f t="shared" si="13"/>
        <v>2.8572887940945452E-2</v>
      </c>
      <c r="W97"/>
      <c r="X97"/>
    </row>
    <row r="98" spans="1:24" x14ac:dyDescent="0.2">
      <c r="A98" s="256">
        <v>42369</v>
      </c>
      <c r="B98" s="264"/>
      <c r="C98" s="257"/>
      <c r="D98" s="264">
        <v>119503997.42901617</v>
      </c>
      <c r="E98" s="264">
        <v>23879811.775217932</v>
      </c>
      <c r="F98" s="257">
        <f t="shared" si="12"/>
        <v>143383809.20423409</v>
      </c>
      <c r="G98" s="265">
        <v>452.99999999999994</v>
      </c>
      <c r="H98" s="265">
        <v>0</v>
      </c>
      <c r="I98" s="259">
        <v>31</v>
      </c>
      <c r="J98" s="257">
        <v>0</v>
      </c>
      <c r="K98" s="257">
        <v>352</v>
      </c>
      <c r="L98" s="259">
        <v>0</v>
      </c>
      <c r="M98" s="266">
        <v>36.1</v>
      </c>
      <c r="N98" s="257">
        <f>'CDM Activity '!H179</f>
        <v>7850730.6247765869</v>
      </c>
      <c r="O98" s="431">
        <v>96</v>
      </c>
      <c r="P98" s="257">
        <v>718.7</v>
      </c>
      <c r="Q98" s="261">
        <v>154.44450348160629</v>
      </c>
      <c r="R98" s="257">
        <f>R97+(R104-R92)/12</f>
        <v>78911.049638035955</v>
      </c>
      <c r="S98" s="259">
        <f t="shared" si="14"/>
        <v>153019904.95189333</v>
      </c>
      <c r="T98" s="48">
        <f t="shared" si="15"/>
        <v>9636095.7476592362</v>
      </c>
      <c r="U98" s="109">
        <f t="shared" si="16"/>
        <v>8.0634087185099831E-2</v>
      </c>
      <c r="V98" s="13">
        <f t="shared" si="13"/>
        <v>8.0634087185099831E-2</v>
      </c>
      <c r="W98"/>
      <c r="X98"/>
    </row>
    <row r="99" spans="1:24" x14ac:dyDescent="0.2">
      <c r="A99" s="256">
        <v>42400</v>
      </c>
      <c r="B99" s="264"/>
      <c r="C99" s="257"/>
      <c r="D99" s="264">
        <v>124164357.45492874</v>
      </c>
      <c r="E99" s="264">
        <v>27315110.418699943</v>
      </c>
      <c r="F99" s="257">
        <f t="shared" si="12"/>
        <v>151479467.87362868</v>
      </c>
      <c r="G99" s="265">
        <v>717.80000000000007</v>
      </c>
      <c r="H99" s="265">
        <v>0</v>
      </c>
      <c r="I99" s="259">
        <v>31</v>
      </c>
      <c r="J99" s="257">
        <v>0</v>
      </c>
      <c r="K99" s="257">
        <v>320</v>
      </c>
      <c r="L99" s="259">
        <v>1</v>
      </c>
      <c r="M99" s="266">
        <v>39.5</v>
      </c>
      <c r="N99" s="257">
        <f>'CDM Activity '!H180</f>
        <v>7965870.7376582809</v>
      </c>
      <c r="O99" s="431">
        <v>97</v>
      </c>
      <c r="P99" s="257">
        <v>715.8</v>
      </c>
      <c r="Q99" s="261">
        <v>154.72483615659849</v>
      </c>
      <c r="R99" s="257">
        <f>R98+(R104-R92)/12</f>
        <v>78987.328767613944</v>
      </c>
      <c r="S99" s="259">
        <f t="shared" ref="S99:S130" si="17">$Z$18+$Z$19*G99+$Z$20*H99+$Z$21*I99+$Z$22*J99+$Z$23*K99+$Z$24*L99+$Z$25*M99</f>
        <v>145594201.18788454</v>
      </c>
      <c r="T99" s="48">
        <f t="shared" ref="T99:T122" si="18">S99-F99</f>
        <v>-5885266.6857441366</v>
      </c>
      <c r="U99" s="109">
        <f t="shared" ref="U99:U122" si="19">T99/D99</f>
        <v>-4.7399002470418852E-2</v>
      </c>
      <c r="V99" s="13">
        <f t="shared" si="13"/>
        <v>4.7399002470418852E-2</v>
      </c>
      <c r="W99"/>
      <c r="X99"/>
    </row>
    <row r="100" spans="1:24" x14ac:dyDescent="0.2">
      <c r="A100" s="256">
        <v>42429</v>
      </c>
      <c r="B100" s="264"/>
      <c r="C100" s="257"/>
      <c r="D100" s="264">
        <v>114712727.27272728</v>
      </c>
      <c r="E100" s="264">
        <v>24324625.983821452</v>
      </c>
      <c r="F100" s="257">
        <f t="shared" si="12"/>
        <v>139037353.25654873</v>
      </c>
      <c r="G100" s="265">
        <v>627.40000000000009</v>
      </c>
      <c r="H100" s="265">
        <v>0</v>
      </c>
      <c r="I100" s="259">
        <v>29</v>
      </c>
      <c r="J100" s="257">
        <v>0</v>
      </c>
      <c r="K100" s="257">
        <v>320</v>
      </c>
      <c r="L100" s="259">
        <v>1</v>
      </c>
      <c r="M100" s="266">
        <v>41.9</v>
      </c>
      <c r="N100" s="257">
        <f>'CDM Activity '!H181</f>
        <v>8081010.8505399749</v>
      </c>
      <c r="O100" s="431">
        <v>98</v>
      </c>
      <c r="P100" s="257">
        <v>710.9</v>
      </c>
      <c r="Q100" s="261">
        <v>155.00567766425806</v>
      </c>
      <c r="R100" s="257">
        <f>R99+(R104-R92)/12</f>
        <v>79063.607897191934</v>
      </c>
      <c r="S100" s="259">
        <f t="shared" si="17"/>
        <v>138147487.95310947</v>
      </c>
      <c r="T100" s="48">
        <f t="shared" si="18"/>
        <v>-889865.30343925953</v>
      </c>
      <c r="U100" s="109">
        <f t="shared" si="19"/>
        <v>-7.7573371725669291E-3</v>
      </c>
      <c r="V100" s="13">
        <f t="shared" si="13"/>
        <v>7.7573371725669291E-3</v>
      </c>
      <c r="W100"/>
      <c r="X100"/>
    </row>
    <row r="101" spans="1:24" x14ac:dyDescent="0.2">
      <c r="A101" s="256">
        <v>42460</v>
      </c>
      <c r="B101" s="264"/>
      <c r="C101" s="257"/>
      <c r="D101" s="264">
        <v>115985691.1581569</v>
      </c>
      <c r="E101" s="264">
        <v>23571150.531759437</v>
      </c>
      <c r="F101" s="257">
        <f t="shared" si="12"/>
        <v>139556841.68991634</v>
      </c>
      <c r="G101" s="265">
        <v>492.6</v>
      </c>
      <c r="H101" s="265">
        <v>0</v>
      </c>
      <c r="I101" s="259">
        <v>31</v>
      </c>
      <c r="J101" s="257">
        <v>1</v>
      </c>
      <c r="K101" s="257">
        <v>352</v>
      </c>
      <c r="L101" s="259">
        <v>1</v>
      </c>
      <c r="M101" s="266">
        <v>45</v>
      </c>
      <c r="N101" s="257">
        <f>'CDM Activity '!H182</f>
        <v>8196150.9634216689</v>
      </c>
      <c r="O101" s="431">
        <v>99</v>
      </c>
      <c r="P101" s="257">
        <v>709.4</v>
      </c>
      <c r="Q101" s="261">
        <v>155.2870289281687</v>
      </c>
      <c r="R101" s="257">
        <f>R100+(R104-R92)/12</f>
        <v>79139.887026769924</v>
      </c>
      <c r="S101" s="259">
        <f t="shared" si="17"/>
        <v>138432995.31342632</v>
      </c>
      <c r="T101" s="48">
        <f t="shared" si="18"/>
        <v>-1123846.3764900267</v>
      </c>
      <c r="U101" s="109">
        <f t="shared" si="19"/>
        <v>-9.6895260550507161E-3</v>
      </c>
      <c r="V101" s="13">
        <f t="shared" si="13"/>
        <v>9.6895260550507161E-3</v>
      </c>
      <c r="W101"/>
      <c r="X101"/>
    </row>
    <row r="102" spans="1:24" x14ac:dyDescent="0.2">
      <c r="A102" s="256">
        <v>42490</v>
      </c>
      <c r="B102" s="264"/>
      <c r="C102" s="257"/>
      <c r="D102" s="264">
        <v>108711843.08841842</v>
      </c>
      <c r="E102" s="264">
        <v>22027658.292273544</v>
      </c>
      <c r="F102" s="257">
        <f t="shared" si="12"/>
        <v>130739501.38069198</v>
      </c>
      <c r="G102" s="265">
        <v>431.80000000000007</v>
      </c>
      <c r="H102" s="265">
        <v>0</v>
      </c>
      <c r="I102" s="259">
        <v>30</v>
      </c>
      <c r="J102" s="257">
        <v>1</v>
      </c>
      <c r="K102" s="257">
        <v>336</v>
      </c>
      <c r="L102" s="259">
        <v>1</v>
      </c>
      <c r="M102" s="266">
        <v>45.1</v>
      </c>
      <c r="N102" s="257">
        <f>'CDM Activity '!H183</f>
        <v>8311291.0763033628</v>
      </c>
      <c r="O102" s="431">
        <v>100</v>
      </c>
      <c r="P102" s="257">
        <v>707.4</v>
      </c>
      <c r="Q102" s="261">
        <v>155.56889087359048</v>
      </c>
      <c r="R102" s="257">
        <f>R101+(R104-R92)/12</f>
        <v>79216.166156347914</v>
      </c>
      <c r="S102" s="259">
        <f t="shared" si="17"/>
        <v>133166332.39641</v>
      </c>
      <c r="T102" s="48">
        <f t="shared" si="18"/>
        <v>2426831.0157180279</v>
      </c>
      <c r="U102" s="109">
        <f t="shared" si="19"/>
        <v>2.232352011311424E-2</v>
      </c>
      <c r="V102" s="13">
        <f t="shared" si="13"/>
        <v>2.232352011311424E-2</v>
      </c>
      <c r="W102"/>
      <c r="X102"/>
    </row>
    <row r="103" spans="1:24" x14ac:dyDescent="0.2">
      <c r="A103" s="256">
        <v>42521</v>
      </c>
      <c r="B103" s="264"/>
      <c r="C103" s="257"/>
      <c r="D103" s="264">
        <v>112495043.58655044</v>
      </c>
      <c r="E103" s="264">
        <v>22299544.061383914</v>
      </c>
      <c r="F103" s="257">
        <f t="shared" si="12"/>
        <v>134794587.64793435</v>
      </c>
      <c r="G103" s="265">
        <v>174.59999999999997</v>
      </c>
      <c r="H103" s="265">
        <v>18.399999999999999</v>
      </c>
      <c r="I103" s="259">
        <v>31</v>
      </c>
      <c r="J103" s="257">
        <v>1</v>
      </c>
      <c r="K103" s="257">
        <v>336</v>
      </c>
      <c r="L103" s="259">
        <v>1</v>
      </c>
      <c r="M103" s="266">
        <v>44.6</v>
      </c>
      <c r="N103" s="257">
        <f>'CDM Activity '!H184</f>
        <v>8426431.1891850568</v>
      </c>
      <c r="O103" s="431">
        <v>101</v>
      </c>
      <c r="P103" s="257">
        <v>712.4</v>
      </c>
      <c r="Q103" s="261">
        <v>155.85126442746289</v>
      </c>
      <c r="R103" s="257">
        <f>R102+($R$104-$R$92)/12</f>
        <v>79292.445285925904</v>
      </c>
      <c r="S103" s="259">
        <f t="shared" si="17"/>
        <v>135214045.02958447</v>
      </c>
      <c r="T103" s="48">
        <f t="shared" si="18"/>
        <v>419457.38165012002</v>
      </c>
      <c r="U103" s="109">
        <f t="shared" si="19"/>
        <v>3.7286743333487539E-3</v>
      </c>
      <c r="V103" s="13">
        <f t="shared" si="13"/>
        <v>3.7286743333487539E-3</v>
      </c>
      <c r="W103"/>
      <c r="X103"/>
    </row>
    <row r="104" spans="1:24" x14ac:dyDescent="0.2">
      <c r="A104" s="256">
        <v>42551</v>
      </c>
      <c r="B104" s="264"/>
      <c r="C104" s="257"/>
      <c r="D104" s="264">
        <v>119239115.81569116</v>
      </c>
      <c r="E104" s="264">
        <v>23713682.415274829</v>
      </c>
      <c r="F104" s="257">
        <f t="shared" si="12"/>
        <v>142952798.23096597</v>
      </c>
      <c r="G104" s="265">
        <v>51.2</v>
      </c>
      <c r="H104" s="265">
        <v>34.300000000000004</v>
      </c>
      <c r="I104" s="259">
        <v>30</v>
      </c>
      <c r="J104" s="257">
        <v>0</v>
      </c>
      <c r="K104" s="257">
        <v>352</v>
      </c>
      <c r="L104" s="259">
        <v>1</v>
      </c>
      <c r="M104" s="266">
        <v>41</v>
      </c>
      <c r="N104" s="257">
        <f>'CDM Activity '!H185</f>
        <v>8541571.3020667508</v>
      </c>
      <c r="O104" s="431">
        <v>102</v>
      </c>
      <c r="P104" s="257">
        <v>714.6</v>
      </c>
      <c r="Q104" s="261">
        <v>156.13415051840798</v>
      </c>
      <c r="R104" s="257">
        <f>'Rate Class Customer Model'!S19</f>
        <v>79368.724415503937</v>
      </c>
      <c r="S104" s="259">
        <f t="shared" si="17"/>
        <v>140513196.13234872</v>
      </c>
      <c r="T104" s="48">
        <f t="shared" si="18"/>
        <v>-2439602.0986172557</v>
      </c>
      <c r="U104" s="109">
        <f t="shared" si="19"/>
        <v>-2.0459746635392431E-2</v>
      </c>
      <c r="V104" s="13">
        <f t="shared" si="13"/>
        <v>2.0459746635392431E-2</v>
      </c>
      <c r="W104"/>
      <c r="X104"/>
    </row>
    <row r="105" spans="1:24" x14ac:dyDescent="0.2">
      <c r="A105" s="256">
        <v>42582</v>
      </c>
      <c r="B105" s="264"/>
      <c r="C105" s="257"/>
      <c r="D105" s="264">
        <v>131773673.72353673</v>
      </c>
      <c r="E105" s="264">
        <v>27256183.039972607</v>
      </c>
      <c r="F105" s="257">
        <f t="shared" si="12"/>
        <v>159029856.76350933</v>
      </c>
      <c r="G105" s="265">
        <v>4.8</v>
      </c>
      <c r="H105" s="265">
        <v>101.2</v>
      </c>
      <c r="I105" s="259">
        <v>31</v>
      </c>
      <c r="J105" s="257">
        <v>0</v>
      </c>
      <c r="K105" s="257">
        <v>320</v>
      </c>
      <c r="L105" s="259">
        <v>1</v>
      </c>
      <c r="M105" s="266">
        <v>41.2</v>
      </c>
      <c r="N105" s="257">
        <f>'CDM Activity '!H186</f>
        <v>8656711.4149484448</v>
      </c>
      <c r="O105" s="431">
        <v>103</v>
      </c>
      <c r="P105" s="257">
        <v>712.3</v>
      </c>
      <c r="Q105" s="261">
        <v>156.41755007673331</v>
      </c>
      <c r="R105" s="257">
        <f t="shared" ref="R105:R110" si="20">R104+($R$104-$R$92)/12</f>
        <v>79445.003545081927</v>
      </c>
      <c r="S105" s="259">
        <f t="shared" si="17"/>
        <v>159119390.14289978</v>
      </c>
      <c r="T105" s="48">
        <f t="shared" si="18"/>
        <v>89533.379390448332</v>
      </c>
      <c r="U105" s="109">
        <f t="shared" si="19"/>
        <v>6.7944815425189395E-4</v>
      </c>
      <c r="V105" s="13">
        <f t="shared" si="13"/>
        <v>6.7944815425189395E-4</v>
      </c>
      <c r="W105"/>
      <c r="X105"/>
    </row>
    <row r="106" spans="1:24" x14ac:dyDescent="0.2">
      <c r="A106" s="256">
        <v>42613</v>
      </c>
      <c r="B106" s="264"/>
      <c r="C106" s="257"/>
      <c r="D106" s="264">
        <v>139667123.28767124</v>
      </c>
      <c r="E106" s="264">
        <v>29367389.813449565</v>
      </c>
      <c r="F106" s="257">
        <f t="shared" si="12"/>
        <v>169034513.1011208</v>
      </c>
      <c r="G106" s="265">
        <v>2.1</v>
      </c>
      <c r="H106" s="265">
        <v>105</v>
      </c>
      <c r="I106" s="259">
        <v>31</v>
      </c>
      <c r="J106" s="257">
        <v>0</v>
      </c>
      <c r="K106" s="257">
        <v>352</v>
      </c>
      <c r="L106" s="259">
        <v>1</v>
      </c>
      <c r="M106" s="266">
        <v>42.5</v>
      </c>
      <c r="N106" s="257">
        <f>'CDM Activity '!H187</f>
        <v>8771851.5278301388</v>
      </c>
      <c r="O106" s="431">
        <v>104</v>
      </c>
      <c r="P106" s="257">
        <v>707.1</v>
      </c>
      <c r="Q106" s="261">
        <v>156.70146403443502</v>
      </c>
      <c r="R106" s="257">
        <f t="shared" si="20"/>
        <v>79521.282674659917</v>
      </c>
      <c r="S106" s="259">
        <f t="shared" si="17"/>
        <v>162775386.88415834</v>
      </c>
      <c r="T106" s="48">
        <f t="shared" si="18"/>
        <v>-6259126.2169624567</v>
      </c>
      <c r="U106" s="109">
        <f t="shared" si="19"/>
        <v>-4.4814599668316968E-2</v>
      </c>
      <c r="V106" s="13">
        <f t="shared" si="13"/>
        <v>4.4814599668316968E-2</v>
      </c>
      <c r="W106"/>
      <c r="X106"/>
    </row>
    <row r="107" spans="1:24" x14ac:dyDescent="0.2">
      <c r="A107" s="256">
        <v>42643</v>
      </c>
      <c r="B107" s="264"/>
      <c r="C107" s="257"/>
      <c r="D107" s="264">
        <v>118293113.32503113</v>
      </c>
      <c r="E107" s="264">
        <v>25364594.889874332</v>
      </c>
      <c r="F107" s="257">
        <f t="shared" si="12"/>
        <v>143657708.21490547</v>
      </c>
      <c r="G107" s="265">
        <v>68.600000000000009</v>
      </c>
      <c r="H107" s="265">
        <v>26.6</v>
      </c>
      <c r="I107" s="259">
        <v>30</v>
      </c>
      <c r="J107" s="257">
        <v>1</v>
      </c>
      <c r="K107" s="257">
        <v>336</v>
      </c>
      <c r="L107" s="259">
        <v>1</v>
      </c>
      <c r="M107" s="266">
        <v>41.2</v>
      </c>
      <c r="N107" s="257">
        <f>'CDM Activity '!H188</f>
        <v>8886991.6407118328</v>
      </c>
      <c r="O107" s="431">
        <v>105</v>
      </c>
      <c r="P107" s="257">
        <v>702.4</v>
      </c>
      <c r="Q107" s="261">
        <v>156.98589332520095</v>
      </c>
      <c r="R107" s="257">
        <f t="shared" si="20"/>
        <v>79597.561804237906</v>
      </c>
      <c r="S107" s="259">
        <f t="shared" si="17"/>
        <v>133637886.0990357</v>
      </c>
      <c r="T107" s="48">
        <f t="shared" si="18"/>
        <v>-10019822.115869775</v>
      </c>
      <c r="U107" s="109">
        <f t="shared" si="19"/>
        <v>-8.4703342690276073E-2</v>
      </c>
      <c r="V107" s="13">
        <f t="shared" si="13"/>
        <v>8.4703342690276073E-2</v>
      </c>
      <c r="W107"/>
      <c r="X107"/>
    </row>
    <row r="108" spans="1:24" x14ac:dyDescent="0.2">
      <c r="A108" s="256">
        <v>42674</v>
      </c>
      <c r="B108" s="264"/>
      <c r="C108" s="257"/>
      <c r="D108" s="264">
        <v>110425367.37235369</v>
      </c>
      <c r="E108" s="264">
        <v>23565450.894993588</v>
      </c>
      <c r="F108" s="257">
        <f t="shared" si="12"/>
        <v>133990818.26734728</v>
      </c>
      <c r="G108" s="265">
        <v>242.10000000000002</v>
      </c>
      <c r="H108" s="265">
        <v>1.9</v>
      </c>
      <c r="I108" s="259">
        <v>31</v>
      </c>
      <c r="J108" s="257">
        <v>1</v>
      </c>
      <c r="K108" s="257">
        <v>320</v>
      </c>
      <c r="L108" s="259">
        <v>1</v>
      </c>
      <c r="M108" s="266">
        <v>38.9</v>
      </c>
      <c r="N108" s="257">
        <f>'CDM Activity '!H189</f>
        <v>9002131.7535935268</v>
      </c>
      <c r="O108" s="431">
        <v>106</v>
      </c>
      <c r="P108" s="257">
        <v>702.3</v>
      </c>
      <c r="Q108" s="261">
        <v>157.27083888441365</v>
      </c>
      <c r="R108" s="257">
        <f t="shared" si="20"/>
        <v>79673.840933815896</v>
      </c>
      <c r="S108" s="259">
        <f t="shared" si="17"/>
        <v>131713768.70277226</v>
      </c>
      <c r="T108" s="48">
        <f t="shared" si="18"/>
        <v>-2277049.5645750165</v>
      </c>
      <c r="U108" s="109">
        <f t="shared" si="19"/>
        <v>-2.0620710790998038E-2</v>
      </c>
      <c r="V108" s="13">
        <f t="shared" si="13"/>
        <v>2.0620710790998038E-2</v>
      </c>
      <c r="W108"/>
      <c r="X108"/>
    </row>
    <row r="109" spans="1:24" x14ac:dyDescent="0.2">
      <c r="A109" s="256">
        <v>42704</v>
      </c>
      <c r="B109" s="264"/>
      <c r="C109" s="257"/>
      <c r="D109" s="264">
        <v>110892453.30012453</v>
      </c>
      <c r="E109" s="264">
        <v>23371535.769803736</v>
      </c>
      <c r="F109" s="257">
        <f t="shared" si="12"/>
        <v>134263989.06992826</v>
      </c>
      <c r="G109" s="265">
        <v>388.20000000000005</v>
      </c>
      <c r="H109" s="265">
        <v>0</v>
      </c>
      <c r="I109" s="259">
        <v>30</v>
      </c>
      <c r="J109" s="257">
        <v>1</v>
      </c>
      <c r="K109" s="257">
        <v>336</v>
      </c>
      <c r="L109" s="259">
        <v>1</v>
      </c>
      <c r="M109" s="266">
        <v>34.200000000000003</v>
      </c>
      <c r="N109" s="257">
        <f>'CDM Activity '!H190</f>
        <v>9117271.8664752208</v>
      </c>
      <c r="O109" s="431">
        <v>107</v>
      </c>
      <c r="P109" s="257">
        <v>699.2</v>
      </c>
      <c r="Q109" s="261">
        <v>157.55630164915351</v>
      </c>
      <c r="R109" s="257">
        <f t="shared" si="20"/>
        <v>79750.120063393886</v>
      </c>
      <c r="S109" s="259">
        <f t="shared" si="17"/>
        <v>134727827.90646619</v>
      </c>
      <c r="T109" s="48">
        <f t="shared" si="18"/>
        <v>463838.83653792739</v>
      </c>
      <c r="U109" s="109">
        <f t="shared" si="19"/>
        <v>4.1827809082965479E-3</v>
      </c>
      <c r="V109" s="13">
        <f t="shared" si="13"/>
        <v>4.1827809082965479E-3</v>
      </c>
      <c r="W109"/>
      <c r="X109"/>
    </row>
    <row r="110" spans="1:24" x14ac:dyDescent="0.2">
      <c r="A110" s="256">
        <v>42735</v>
      </c>
      <c r="B110" s="264"/>
      <c r="C110" s="257"/>
      <c r="D110" s="264">
        <v>117700253.61480996</v>
      </c>
      <c r="E110" s="264">
        <v>25949566.888693035</v>
      </c>
      <c r="F110" s="257">
        <f t="shared" si="12"/>
        <v>143649820.50350299</v>
      </c>
      <c r="G110" s="265">
        <v>647.79999999999984</v>
      </c>
      <c r="H110" s="265">
        <v>0</v>
      </c>
      <c r="I110" s="259">
        <v>31</v>
      </c>
      <c r="J110" s="257">
        <v>0</v>
      </c>
      <c r="K110" s="257">
        <v>336</v>
      </c>
      <c r="L110" s="259">
        <v>1</v>
      </c>
      <c r="M110" s="266">
        <v>35.299999999999997</v>
      </c>
      <c r="N110" s="257">
        <f>'CDM Activity '!H191</f>
        <v>9232411.9793569148</v>
      </c>
      <c r="O110" s="431">
        <v>108</v>
      </c>
      <c r="P110" s="257">
        <v>697.8</v>
      </c>
      <c r="Q110" s="261">
        <v>157.84228255820162</v>
      </c>
      <c r="R110" s="257">
        <f t="shared" si="20"/>
        <v>79826.399192971876</v>
      </c>
      <c r="S110" s="259">
        <f t="shared" si="17"/>
        <v>146389987.4884904</v>
      </c>
      <c r="T110" s="48">
        <f t="shared" si="18"/>
        <v>2740166.9849874079</v>
      </c>
      <c r="U110" s="109">
        <f t="shared" si="19"/>
        <v>2.3280892783417238E-2</v>
      </c>
      <c r="V110" s="13">
        <f t="shared" si="13"/>
        <v>2.3280892783417238E-2</v>
      </c>
      <c r="W110"/>
      <c r="X110"/>
    </row>
    <row r="111" spans="1:24" x14ac:dyDescent="0.2">
      <c r="A111" s="256">
        <v>42766</v>
      </c>
      <c r="B111" s="264"/>
      <c r="C111" s="257"/>
      <c r="D111" s="264">
        <v>121051180</v>
      </c>
      <c r="E111" s="267">
        <v>27189294.073160373</v>
      </c>
      <c r="F111" s="257">
        <f t="shared" si="12"/>
        <v>148240474.07316038</v>
      </c>
      <c r="G111" s="258">
        <f>'HDD and CDD'!B315</f>
        <v>635.1</v>
      </c>
      <c r="H111" s="258">
        <f>'HDD and CDD'!C315</f>
        <v>0</v>
      </c>
      <c r="I111" s="259">
        <v>31</v>
      </c>
      <c r="J111" s="257">
        <v>0</v>
      </c>
      <c r="K111" s="257">
        <v>336</v>
      </c>
      <c r="L111" s="259">
        <v>1</v>
      </c>
      <c r="M111" s="266">
        <v>37.9</v>
      </c>
      <c r="N111" s="257">
        <f>'CDM Activity '!H192</f>
        <v>9394924.7050699648</v>
      </c>
      <c r="O111" s="431">
        <v>109</v>
      </c>
      <c r="P111" s="257">
        <v>695.3</v>
      </c>
      <c r="Q111" s="261">
        <v>158.15454692394951</v>
      </c>
      <c r="R111" s="268"/>
      <c r="S111" s="259">
        <f t="shared" si="17"/>
        <v>145477045.49171856</v>
      </c>
      <c r="T111" s="48">
        <f t="shared" si="18"/>
        <v>-2763428.5814418197</v>
      </c>
      <c r="U111" s="109">
        <f t="shared" si="19"/>
        <v>-2.2828596808736765E-2</v>
      </c>
      <c r="V111" s="13">
        <f t="shared" si="13"/>
        <v>2.2828596808736765E-2</v>
      </c>
      <c r="W111"/>
      <c r="X111"/>
    </row>
    <row r="112" spans="1:24" x14ac:dyDescent="0.2">
      <c r="A112" s="256">
        <v>42794</v>
      </c>
      <c r="B112" s="264"/>
      <c r="C112" s="257"/>
      <c r="D112" s="264">
        <v>106265432</v>
      </c>
      <c r="E112" s="267">
        <v>22193276.294117648</v>
      </c>
      <c r="F112" s="257">
        <f t="shared" si="12"/>
        <v>128458708.29411764</v>
      </c>
      <c r="G112" s="258">
        <f>'HDD and CDD'!B316</f>
        <v>537.9</v>
      </c>
      <c r="H112" s="258">
        <f>'HDD and CDD'!C316</f>
        <v>0</v>
      </c>
      <c r="I112" s="259">
        <v>28</v>
      </c>
      <c r="J112" s="257">
        <v>0</v>
      </c>
      <c r="K112" s="257">
        <v>304</v>
      </c>
      <c r="L112" s="259">
        <v>1</v>
      </c>
      <c r="M112" s="266">
        <v>41.3</v>
      </c>
      <c r="N112" s="257">
        <f>'CDM Activity '!H193</f>
        <v>9557437.4307830147</v>
      </c>
      <c r="O112" s="431">
        <v>110</v>
      </c>
      <c r="P112" s="257">
        <v>696.5</v>
      </c>
      <c r="Q112" s="261">
        <v>158.46742905214063</v>
      </c>
      <c r="R112" s="268"/>
      <c r="S112" s="259">
        <f t="shared" si="17"/>
        <v>132375117.24363172</v>
      </c>
      <c r="T112" s="48">
        <f t="shared" si="18"/>
        <v>3916408.9495140761</v>
      </c>
      <c r="U112" s="109">
        <f t="shared" si="19"/>
        <v>3.6854966622768506E-2</v>
      </c>
      <c r="V112" s="13">
        <f t="shared" si="13"/>
        <v>3.6854966622768506E-2</v>
      </c>
      <c r="W112"/>
      <c r="X112"/>
    </row>
    <row r="113" spans="1:24" x14ac:dyDescent="0.2">
      <c r="A113" s="256">
        <v>42825</v>
      </c>
      <c r="B113" s="264"/>
      <c r="C113" s="257"/>
      <c r="D113" s="264">
        <v>118074264</v>
      </c>
      <c r="E113" s="267">
        <v>24660902.764705881</v>
      </c>
      <c r="F113" s="257">
        <f t="shared" si="12"/>
        <v>142735166.7647059</v>
      </c>
      <c r="G113" s="258">
        <f>'HDD and CDD'!B317</f>
        <v>597.6</v>
      </c>
      <c r="H113" s="258">
        <f>'HDD and CDD'!C317</f>
        <v>0</v>
      </c>
      <c r="I113" s="259">
        <v>31</v>
      </c>
      <c r="J113" s="257">
        <v>1</v>
      </c>
      <c r="K113" s="257">
        <v>368</v>
      </c>
      <c r="L113" s="259">
        <v>1</v>
      </c>
      <c r="M113" s="266">
        <v>44.4</v>
      </c>
      <c r="N113" s="257">
        <f>'CDM Activity '!H194</f>
        <v>9719950.1564960647</v>
      </c>
      <c r="O113" s="431">
        <v>111</v>
      </c>
      <c r="P113" s="257">
        <v>697.8</v>
      </c>
      <c r="Q113" s="261">
        <v>158.78093016491388</v>
      </c>
      <c r="R113" s="268"/>
      <c r="S113" s="259">
        <f t="shared" si="17"/>
        <v>142470647.65809131</v>
      </c>
      <c r="T113" s="48">
        <f t="shared" si="18"/>
        <v>-264519.10661458969</v>
      </c>
      <c r="U113" s="109">
        <f t="shared" si="19"/>
        <v>-2.2402774123122179E-3</v>
      </c>
      <c r="V113" s="13">
        <f t="shared" si="13"/>
        <v>2.2402774123122179E-3</v>
      </c>
      <c r="W113"/>
      <c r="X113"/>
    </row>
    <row r="114" spans="1:24" x14ac:dyDescent="0.2">
      <c r="A114" s="256">
        <v>42855</v>
      </c>
      <c r="B114" s="264"/>
      <c r="C114" s="257"/>
      <c r="D114" s="264">
        <v>102416015</v>
      </c>
      <c r="E114" s="267">
        <v>20876767.464562312</v>
      </c>
      <c r="F114" s="257">
        <f t="shared" si="12"/>
        <v>123292782.46456231</v>
      </c>
      <c r="G114" s="258">
        <f>'HDD and CDD'!B318</f>
        <v>281.59999999999991</v>
      </c>
      <c r="H114" s="258">
        <f>'HDD and CDD'!C318</f>
        <v>0</v>
      </c>
      <c r="I114" s="259">
        <v>30</v>
      </c>
      <c r="J114" s="257">
        <v>1</v>
      </c>
      <c r="K114" s="257">
        <v>304</v>
      </c>
      <c r="L114" s="259">
        <v>1</v>
      </c>
      <c r="M114" s="266">
        <v>42.7</v>
      </c>
      <c r="N114" s="257">
        <f>'CDM Activity '!H195</f>
        <v>9882462.8822091147</v>
      </c>
      <c r="O114" s="431">
        <v>112</v>
      </c>
      <c r="P114" s="257">
        <v>705.6</v>
      </c>
      <c r="Q114" s="261">
        <v>159.09505148682601</v>
      </c>
      <c r="R114" s="268"/>
      <c r="S114" s="259">
        <f t="shared" si="17"/>
        <v>127342822.77823202</v>
      </c>
      <c r="T114" s="48">
        <f t="shared" si="18"/>
        <v>4050040.3136697114</v>
      </c>
      <c r="U114" s="109">
        <f t="shared" si="19"/>
        <v>3.9544990240732478E-2</v>
      </c>
      <c r="V114" s="13">
        <f t="shared" si="13"/>
        <v>3.9544990240732478E-2</v>
      </c>
      <c r="W114"/>
      <c r="X114"/>
    </row>
    <row r="115" spans="1:24" x14ac:dyDescent="0.2">
      <c r="A115" s="256">
        <v>42886</v>
      </c>
      <c r="B115" s="264"/>
      <c r="C115" s="257"/>
      <c r="D115" s="264">
        <v>107634284</v>
      </c>
      <c r="E115" s="267">
        <v>21763069.456140351</v>
      </c>
      <c r="F115" s="257">
        <f t="shared" si="12"/>
        <v>129397353.45614035</v>
      </c>
      <c r="G115" s="258">
        <f>'HDD and CDD'!B319</f>
        <v>214.39999999999995</v>
      </c>
      <c r="H115" s="258">
        <f>'HDD and CDD'!C319</f>
        <v>2.7</v>
      </c>
      <c r="I115" s="259">
        <v>31</v>
      </c>
      <c r="J115" s="257">
        <v>1</v>
      </c>
      <c r="K115" s="257">
        <v>352</v>
      </c>
      <c r="L115" s="259">
        <v>1</v>
      </c>
      <c r="M115" s="266">
        <v>44.2</v>
      </c>
      <c r="N115" s="257">
        <f>'CDM Activity '!H196</f>
        <v>10044975.607922165</v>
      </c>
      <c r="O115" s="431">
        <v>113</v>
      </c>
      <c r="P115" s="257">
        <v>705.6</v>
      </c>
      <c r="Q115" s="261">
        <v>159.4097942448563</v>
      </c>
      <c r="R115" s="268"/>
      <c r="S115" s="259">
        <f t="shared" si="17"/>
        <v>132930042.81030808</v>
      </c>
      <c r="T115" s="48">
        <f t="shared" si="18"/>
        <v>3532689.3541677296</v>
      </c>
      <c r="U115" s="109">
        <f t="shared" si="19"/>
        <v>3.2821227799199458E-2</v>
      </c>
      <c r="V115" s="13">
        <f t="shared" si="13"/>
        <v>3.2821227799199458E-2</v>
      </c>
      <c r="W115"/>
      <c r="X115"/>
    </row>
    <row r="116" spans="1:24" x14ac:dyDescent="0.2">
      <c r="A116" s="256">
        <v>42916</v>
      </c>
      <c r="B116" s="264"/>
      <c r="C116" s="257"/>
      <c r="D116" s="264">
        <v>113407678</v>
      </c>
      <c r="E116" s="267">
        <v>23187858.701754387</v>
      </c>
      <c r="F116" s="257">
        <f t="shared" si="12"/>
        <v>136595536.70175439</v>
      </c>
      <c r="G116" s="258">
        <f>'HDD and CDD'!B320</f>
        <v>45.2</v>
      </c>
      <c r="H116" s="258">
        <f>'HDD and CDD'!C320</f>
        <v>43</v>
      </c>
      <c r="I116" s="259">
        <v>30</v>
      </c>
      <c r="J116" s="257">
        <v>0</v>
      </c>
      <c r="K116" s="257">
        <v>352</v>
      </c>
      <c r="L116" s="259">
        <v>1</v>
      </c>
      <c r="M116" s="266">
        <v>41.2</v>
      </c>
      <c r="N116" s="257">
        <f>'CDM Activity '!H197</f>
        <v>10207488.333635215</v>
      </c>
      <c r="O116" s="431">
        <v>114</v>
      </c>
      <c r="P116" s="257">
        <v>705.6</v>
      </c>
      <c r="Q116" s="261">
        <v>159.72515966841141</v>
      </c>
      <c r="R116" s="268"/>
      <c r="S116" s="259">
        <f t="shared" si="17"/>
        <v>142956938.17162377</v>
      </c>
      <c r="T116" s="48">
        <f t="shared" si="18"/>
        <v>6361401.4698693752</v>
      </c>
      <c r="U116" s="109">
        <f t="shared" si="19"/>
        <v>5.60932168090892E-2</v>
      </c>
      <c r="V116" s="13">
        <f t="shared" si="13"/>
        <v>5.60932168090892E-2</v>
      </c>
      <c r="W116"/>
      <c r="X116"/>
    </row>
    <row r="117" spans="1:24" x14ac:dyDescent="0.2">
      <c r="A117" s="256">
        <v>42947</v>
      </c>
      <c r="B117" s="264"/>
      <c r="C117" s="257"/>
      <c r="D117" s="264">
        <v>120098351</v>
      </c>
      <c r="E117" s="267">
        <v>25197253.794871796</v>
      </c>
      <c r="F117" s="257">
        <f t="shared" si="12"/>
        <v>145295604.79487181</v>
      </c>
      <c r="G117" s="258">
        <f>'HDD and CDD'!B321</f>
        <v>3.2</v>
      </c>
      <c r="H117" s="258">
        <f>'HDD and CDD'!C321</f>
        <v>58.500000000000007</v>
      </c>
      <c r="I117" s="259">
        <v>31</v>
      </c>
      <c r="J117" s="257">
        <v>0</v>
      </c>
      <c r="K117" s="257">
        <v>320</v>
      </c>
      <c r="L117" s="259">
        <v>1</v>
      </c>
      <c r="M117" s="266">
        <v>43.5</v>
      </c>
      <c r="N117" s="257">
        <f>'CDM Activity '!H198</f>
        <v>10370001.059348265</v>
      </c>
      <c r="O117" s="431">
        <v>115</v>
      </c>
      <c r="P117" s="257">
        <v>705.6</v>
      </c>
      <c r="Q117" s="261">
        <v>160.0411489893302</v>
      </c>
      <c r="R117" s="268"/>
      <c r="S117" s="259">
        <f t="shared" si="17"/>
        <v>145621715.79797846</v>
      </c>
      <c r="T117" s="48">
        <f t="shared" si="18"/>
        <v>326111.00310665369</v>
      </c>
      <c r="U117" s="109">
        <f t="shared" si="19"/>
        <v>2.7153662010451227E-3</v>
      </c>
      <c r="V117" s="13">
        <f t="shared" si="13"/>
        <v>2.7153662010451227E-3</v>
      </c>
      <c r="W117"/>
      <c r="X117"/>
    </row>
    <row r="118" spans="1:24" x14ac:dyDescent="0.2">
      <c r="A118" s="256">
        <v>42978</v>
      </c>
      <c r="B118" s="264"/>
      <c r="C118" s="257"/>
      <c r="D118" s="264">
        <v>118460983</v>
      </c>
      <c r="E118" s="267">
        <v>26069248.102564104</v>
      </c>
      <c r="F118" s="257">
        <f t="shared" si="12"/>
        <v>144530231.1025641</v>
      </c>
      <c r="G118" s="258">
        <f>'HDD and CDD'!B322</f>
        <v>34.5</v>
      </c>
      <c r="H118" s="258">
        <f>'HDD and CDD'!C322</f>
        <v>28.6</v>
      </c>
      <c r="I118" s="259">
        <v>31</v>
      </c>
      <c r="J118" s="257">
        <v>0</v>
      </c>
      <c r="K118" s="257">
        <v>352</v>
      </c>
      <c r="L118" s="259">
        <v>1</v>
      </c>
      <c r="M118" s="266">
        <v>40.4</v>
      </c>
      <c r="N118" s="257">
        <f>'CDM Activity '!H199</f>
        <v>10532513.785061315</v>
      </c>
      <c r="O118" s="431">
        <v>116</v>
      </c>
      <c r="P118" s="257">
        <v>705.6</v>
      </c>
      <c r="Q118" s="261">
        <v>160.35776344188849</v>
      </c>
      <c r="R118" s="268"/>
      <c r="S118" s="259">
        <f t="shared" si="17"/>
        <v>140922076.863666</v>
      </c>
      <c r="T118" s="48">
        <f t="shared" si="18"/>
        <v>-3608154.2388980985</v>
      </c>
      <c r="U118" s="109">
        <f t="shared" si="19"/>
        <v>-3.0458587692946112E-2</v>
      </c>
      <c r="V118" s="13">
        <f t="shared" si="13"/>
        <v>3.0458587692946112E-2</v>
      </c>
      <c r="W118"/>
      <c r="X118"/>
    </row>
    <row r="119" spans="1:24" x14ac:dyDescent="0.2">
      <c r="A119" s="256">
        <v>43008</v>
      </c>
      <c r="B119" s="264"/>
      <c r="C119" s="257"/>
      <c r="D119" s="264">
        <v>113240500</v>
      </c>
      <c r="E119" s="267">
        <v>24049828.859999999</v>
      </c>
      <c r="F119" s="257">
        <f t="shared" si="12"/>
        <v>137290328.86000001</v>
      </c>
      <c r="G119" s="258">
        <f>'HDD and CDD'!B323</f>
        <v>81.100000000000009</v>
      </c>
      <c r="H119" s="258">
        <f>'HDD and CDD'!C323</f>
        <v>36.299999999999997</v>
      </c>
      <c r="I119" s="259">
        <v>30</v>
      </c>
      <c r="J119" s="257">
        <v>1</v>
      </c>
      <c r="K119" s="257">
        <v>320</v>
      </c>
      <c r="L119" s="259">
        <v>1</v>
      </c>
      <c r="M119" s="266">
        <v>39.299999999999997</v>
      </c>
      <c r="N119" s="257">
        <f>'CDM Activity '!H200</f>
        <v>10695026.510774365</v>
      </c>
      <c r="O119" s="431">
        <v>117</v>
      </c>
      <c r="P119" s="257">
        <v>705.6</v>
      </c>
      <c r="Q119" s="261">
        <v>160.67500426280395</v>
      </c>
      <c r="R119" s="268"/>
      <c r="S119" s="259">
        <f t="shared" si="17"/>
        <v>135875481.99664038</v>
      </c>
      <c r="T119" s="48">
        <f t="shared" si="18"/>
        <v>-1414846.8633596301</v>
      </c>
      <c r="U119" s="109">
        <f t="shared" si="19"/>
        <v>-1.2494177112955437E-2</v>
      </c>
      <c r="V119" s="13">
        <f t="shared" si="13"/>
        <v>1.2494177112955437E-2</v>
      </c>
      <c r="W119"/>
      <c r="X119"/>
    </row>
    <row r="120" spans="1:24" x14ac:dyDescent="0.2">
      <c r="A120" s="256">
        <v>43039</v>
      </c>
      <c r="B120" s="264"/>
      <c r="C120" s="257"/>
      <c r="D120" s="264">
        <v>108245386</v>
      </c>
      <c r="E120" s="267">
        <v>22147304.149999999</v>
      </c>
      <c r="F120" s="257">
        <f t="shared" ref="F120:F122" si="21">D120+E120</f>
        <v>130392690.15000001</v>
      </c>
      <c r="G120" s="258">
        <f>'HDD and CDD'!B324</f>
        <v>208.89999999999998</v>
      </c>
      <c r="H120" s="258">
        <f>'HDD and CDD'!C324</f>
        <v>3.2</v>
      </c>
      <c r="I120" s="259">
        <v>31</v>
      </c>
      <c r="J120" s="257">
        <v>1</v>
      </c>
      <c r="K120" s="257">
        <v>336</v>
      </c>
      <c r="L120" s="259">
        <v>1</v>
      </c>
      <c r="M120" s="266">
        <v>34.299999999999997</v>
      </c>
      <c r="N120" s="257">
        <f>'CDM Activity '!H201</f>
        <v>10857539.236487415</v>
      </c>
      <c r="O120" s="431">
        <v>118</v>
      </c>
      <c r="P120" s="257">
        <v>705.6</v>
      </c>
      <c r="Q120" s="261">
        <v>160.99287269124085</v>
      </c>
      <c r="R120" s="268"/>
      <c r="S120" s="259">
        <f t="shared" si="17"/>
        <v>133858521.61927877</v>
      </c>
      <c r="T120" s="48">
        <f t="shared" si="18"/>
        <v>3465831.4692787677</v>
      </c>
      <c r="U120" s="109">
        <f t="shared" si="19"/>
        <v>3.2018283617915755E-2</v>
      </c>
      <c r="V120" s="13">
        <f t="shared" si="13"/>
        <v>3.2018283617915755E-2</v>
      </c>
      <c r="W120"/>
      <c r="X120"/>
    </row>
    <row r="121" spans="1:24" x14ac:dyDescent="0.2">
      <c r="A121" s="256">
        <v>43069</v>
      </c>
      <c r="B121" s="264"/>
      <c r="C121" s="257"/>
      <c r="D121" s="264">
        <v>111845881</v>
      </c>
      <c r="E121" s="267">
        <v>23597020.309999999</v>
      </c>
      <c r="F121" s="257">
        <f t="shared" si="21"/>
        <v>135442901.31</v>
      </c>
      <c r="G121" s="258">
        <f>'HDD and CDD'!B325</f>
        <v>480.00000000000006</v>
      </c>
      <c r="H121" s="258">
        <f>'HDD and CDD'!C325</f>
        <v>0</v>
      </c>
      <c r="I121" s="259">
        <v>30</v>
      </c>
      <c r="J121" s="257">
        <v>1</v>
      </c>
      <c r="K121" s="257">
        <v>352</v>
      </c>
      <c r="L121" s="259">
        <v>1</v>
      </c>
      <c r="M121" s="266">
        <v>30.3</v>
      </c>
      <c r="N121" s="257">
        <f>'CDM Activity '!H202</f>
        <v>11020051.962200465</v>
      </c>
      <c r="O121" s="431">
        <v>119</v>
      </c>
      <c r="P121" s="257">
        <v>705.6</v>
      </c>
      <c r="Q121" s="261">
        <v>161.31136996881492</v>
      </c>
      <c r="R121" s="268"/>
      <c r="S121" s="259">
        <f t="shared" si="17"/>
        <v>139238226.59821242</v>
      </c>
      <c r="T121" s="48">
        <f t="shared" si="18"/>
        <v>3795325.2882124186</v>
      </c>
      <c r="U121" s="109">
        <f t="shared" si="19"/>
        <v>3.393352758527083E-2</v>
      </c>
      <c r="V121" s="13">
        <f t="shared" si="13"/>
        <v>3.393352758527083E-2</v>
      </c>
      <c r="W121"/>
      <c r="X121"/>
    </row>
    <row r="122" spans="1:24" x14ac:dyDescent="0.2">
      <c r="A122" s="256">
        <v>43100</v>
      </c>
      <c r="B122" s="264"/>
      <c r="C122" s="257"/>
      <c r="D122" s="264">
        <v>116335221</v>
      </c>
      <c r="E122" s="267">
        <v>25575347.579999998</v>
      </c>
      <c r="F122" s="257">
        <f t="shared" si="21"/>
        <v>141910568.57999998</v>
      </c>
      <c r="G122" s="258">
        <f>'HDD and CDD'!B326</f>
        <v>755.7</v>
      </c>
      <c r="H122" s="258">
        <f>'HDD and CDD'!C326</f>
        <v>0</v>
      </c>
      <c r="I122" s="259">
        <v>31</v>
      </c>
      <c r="J122" s="257">
        <v>0</v>
      </c>
      <c r="K122" s="257">
        <v>304</v>
      </c>
      <c r="L122" s="259">
        <v>1</v>
      </c>
      <c r="M122" s="266">
        <v>30.1</v>
      </c>
      <c r="N122" s="257">
        <f>'CDM Activity '!H203</f>
        <v>11182564.687913515</v>
      </c>
      <c r="O122" s="431">
        <v>120</v>
      </c>
      <c r="P122" s="257">
        <v>705.6</v>
      </c>
      <c r="Q122" s="261">
        <v>161.63049733959846</v>
      </c>
      <c r="R122" s="268"/>
      <c r="S122" s="259">
        <f t="shared" si="17"/>
        <v>147268460.28591058</v>
      </c>
      <c r="T122" s="48">
        <f t="shared" si="18"/>
        <v>5357891.7059105933</v>
      </c>
      <c r="U122" s="109">
        <f t="shared" si="19"/>
        <v>4.60556283802529E-2</v>
      </c>
      <c r="V122" s="13">
        <f t="shared" si="13"/>
        <v>4.60556283802529E-2</v>
      </c>
      <c r="W122"/>
      <c r="X122"/>
    </row>
    <row r="123" spans="1:24" x14ac:dyDescent="0.2">
      <c r="A123" s="256">
        <v>43131</v>
      </c>
      <c r="B123" s="264"/>
      <c r="C123" s="257"/>
      <c r="D123" s="264"/>
      <c r="E123" s="264"/>
      <c r="F123" s="264"/>
      <c r="G123" s="265">
        <f t="shared" ref="G123:H134" si="22">(G3+G15+G27+G39+G51+G63+G75+G87+G99+G111)/10</f>
        <v>738.59000000000015</v>
      </c>
      <c r="H123" s="265">
        <f t="shared" si="22"/>
        <v>0</v>
      </c>
      <c r="I123" s="259">
        <v>31</v>
      </c>
      <c r="J123" s="257">
        <v>0</v>
      </c>
      <c r="K123" s="257">
        <v>352</v>
      </c>
      <c r="L123" s="259">
        <v>1</v>
      </c>
      <c r="M123" s="266">
        <f>AVERAGE(M111:M122)</f>
        <v>39.133333333333333</v>
      </c>
      <c r="N123" s="257">
        <f>'CDM Activity '!H204</f>
        <v>11171127.984005844</v>
      </c>
      <c r="O123" s="431">
        <v>121</v>
      </c>
      <c r="P123" s="257">
        <v>705.6</v>
      </c>
      <c r="Q123" s="261">
        <v>161.9238733332927</v>
      </c>
      <c r="R123" s="268"/>
      <c r="S123" s="259">
        <f t="shared" si="17"/>
        <v>149045151.7926428</v>
      </c>
      <c r="T123" s="48"/>
      <c r="V123" s="5">
        <f>AVERAGE(V3:V122)</f>
        <v>2.4503736657788711E-2</v>
      </c>
      <c r="W123"/>
      <c r="X123"/>
    </row>
    <row r="124" spans="1:24" x14ac:dyDescent="0.2">
      <c r="A124" s="256">
        <v>43159</v>
      </c>
      <c r="B124" s="264"/>
      <c r="C124" s="257"/>
      <c r="D124" s="264"/>
      <c r="E124" s="264"/>
      <c r="F124" s="264"/>
      <c r="G124" s="265">
        <f t="shared" si="22"/>
        <v>671.5200000000001</v>
      </c>
      <c r="H124" s="265">
        <f t="shared" si="22"/>
        <v>0</v>
      </c>
      <c r="I124" s="259">
        <v>28</v>
      </c>
      <c r="J124" s="257">
        <v>0</v>
      </c>
      <c r="K124" s="257">
        <v>304</v>
      </c>
      <c r="L124" s="259">
        <v>1</v>
      </c>
      <c r="M124" s="266">
        <f t="shared" ref="M124:M146" si="23">M123</f>
        <v>39.133333333333333</v>
      </c>
      <c r="N124" s="257">
        <f>'CDM Activity '!H205</f>
        <v>11159691.280098174</v>
      </c>
      <c r="O124" s="431">
        <v>122</v>
      </c>
      <c r="P124" s="257">
        <v>705.6</v>
      </c>
      <c r="Q124" s="261">
        <v>162.21778183462067</v>
      </c>
      <c r="R124" s="268"/>
      <c r="S124" s="259">
        <f t="shared" si="17"/>
        <v>136014614.98119655</v>
      </c>
      <c r="T124" s="48"/>
      <c r="W124"/>
      <c r="X124"/>
    </row>
    <row r="125" spans="1:24" x14ac:dyDescent="0.2">
      <c r="A125" s="256">
        <v>43190</v>
      </c>
      <c r="B125" s="264"/>
      <c r="C125" s="257"/>
      <c r="D125" s="264"/>
      <c r="E125" s="264"/>
      <c r="F125" s="264"/>
      <c r="G125" s="265">
        <f t="shared" si="22"/>
        <v>569.22</v>
      </c>
      <c r="H125" s="265">
        <f t="shared" si="22"/>
        <v>0</v>
      </c>
      <c r="I125" s="259">
        <v>31</v>
      </c>
      <c r="J125" s="257">
        <v>1</v>
      </c>
      <c r="K125" s="257">
        <v>336</v>
      </c>
      <c r="L125" s="259">
        <v>1</v>
      </c>
      <c r="M125" s="266">
        <f t="shared" si="23"/>
        <v>39.133333333333333</v>
      </c>
      <c r="N125" s="257">
        <f>'CDM Activity '!H206</f>
        <v>11148254.576190503</v>
      </c>
      <c r="O125" s="431">
        <v>123</v>
      </c>
      <c r="P125" s="257">
        <v>705.6</v>
      </c>
      <c r="Q125" s="261">
        <v>162.51222381013852</v>
      </c>
      <c r="R125" s="268"/>
      <c r="S125" s="259">
        <f t="shared" si="17"/>
        <v>140176340.56102636</v>
      </c>
      <c r="T125" s="48"/>
      <c r="W125"/>
      <c r="X125"/>
    </row>
    <row r="126" spans="1:24" x14ac:dyDescent="0.2">
      <c r="A126" s="256">
        <v>43220</v>
      </c>
      <c r="B126" s="264"/>
      <c r="C126" s="257"/>
      <c r="D126" s="264"/>
      <c r="E126" s="264"/>
      <c r="F126" s="264"/>
      <c r="G126" s="265">
        <f t="shared" si="22"/>
        <v>337.61</v>
      </c>
      <c r="H126" s="265">
        <f t="shared" si="22"/>
        <v>0.32</v>
      </c>
      <c r="I126" s="259">
        <v>30</v>
      </c>
      <c r="J126" s="257">
        <v>1</v>
      </c>
      <c r="K126" s="257">
        <v>336</v>
      </c>
      <c r="L126" s="259">
        <v>1</v>
      </c>
      <c r="M126" s="266">
        <f t="shared" si="23"/>
        <v>39.133333333333333</v>
      </c>
      <c r="N126" s="257">
        <f>'CDM Activity '!H207</f>
        <v>11136817.872282833</v>
      </c>
      <c r="O126" s="431">
        <v>124</v>
      </c>
      <c r="P126" s="257">
        <v>705.6</v>
      </c>
      <c r="Q126" s="261">
        <v>162.80720022815689</v>
      </c>
      <c r="R126" s="268"/>
      <c r="S126" s="259">
        <f t="shared" si="17"/>
        <v>132472517.92485739</v>
      </c>
      <c r="T126" s="48"/>
      <c r="W126"/>
      <c r="X126"/>
    </row>
    <row r="127" spans="1:24" x14ac:dyDescent="0.2">
      <c r="A127" s="256">
        <v>43251</v>
      </c>
      <c r="B127" s="264"/>
      <c r="C127" s="257"/>
      <c r="D127" s="264"/>
      <c r="E127" s="264"/>
      <c r="F127" s="264"/>
      <c r="G127" s="265">
        <f t="shared" si="22"/>
        <v>162.60999999999996</v>
      </c>
      <c r="H127" s="265">
        <f t="shared" si="22"/>
        <v>13.16</v>
      </c>
      <c r="I127" s="259">
        <v>31</v>
      </c>
      <c r="J127" s="257">
        <v>1</v>
      </c>
      <c r="K127" s="257">
        <v>352</v>
      </c>
      <c r="L127" s="259">
        <v>1</v>
      </c>
      <c r="M127" s="266">
        <f t="shared" si="23"/>
        <v>39.133333333333333</v>
      </c>
      <c r="N127" s="257">
        <f>'CDM Activity '!H208</f>
        <v>11125381.168375162</v>
      </c>
      <c r="O127" s="431">
        <v>125</v>
      </c>
      <c r="P127" s="257">
        <v>705.6</v>
      </c>
      <c r="Q127" s="261">
        <v>163.10271205874389</v>
      </c>
      <c r="R127" s="268"/>
      <c r="S127" s="259">
        <f t="shared" si="17"/>
        <v>136082160.55843586</v>
      </c>
      <c r="T127" s="48"/>
      <c r="W127"/>
      <c r="X127"/>
    </row>
    <row r="128" spans="1:24" x14ac:dyDescent="0.2">
      <c r="A128" s="256">
        <v>43281</v>
      </c>
      <c r="B128" s="264"/>
      <c r="C128" s="257"/>
      <c r="D128" s="264"/>
      <c r="E128" s="264"/>
      <c r="F128" s="264"/>
      <c r="G128" s="265">
        <f t="shared" si="22"/>
        <v>47.94</v>
      </c>
      <c r="H128" s="265">
        <f t="shared" si="22"/>
        <v>35.67</v>
      </c>
      <c r="I128" s="259">
        <v>30</v>
      </c>
      <c r="J128" s="257">
        <v>0</v>
      </c>
      <c r="K128" s="257">
        <v>336</v>
      </c>
      <c r="L128" s="259">
        <v>1</v>
      </c>
      <c r="M128" s="266">
        <f t="shared" si="23"/>
        <v>39.133333333333333</v>
      </c>
      <c r="N128" s="257">
        <f>'CDM Activity '!H209</f>
        <v>11113944.464467492</v>
      </c>
      <c r="O128" s="431">
        <v>126</v>
      </c>
      <c r="P128" s="257">
        <v>705.6</v>
      </c>
      <c r="Q128" s="261">
        <v>163.39876027372847</v>
      </c>
      <c r="R128" s="268"/>
      <c r="S128" s="259">
        <f t="shared" si="17"/>
        <v>139854577.28558713</v>
      </c>
      <c r="T128" s="48"/>
      <c r="W128"/>
      <c r="X128"/>
    </row>
    <row r="129" spans="1:24" x14ac:dyDescent="0.2">
      <c r="A129" s="256">
        <v>43312</v>
      </c>
      <c r="B129" s="264"/>
      <c r="C129" s="257"/>
      <c r="D129" s="264"/>
      <c r="E129" s="264"/>
      <c r="F129" s="264"/>
      <c r="G129" s="265">
        <f t="shared" si="22"/>
        <v>13.190000000000001</v>
      </c>
      <c r="H129" s="265">
        <f t="shared" si="22"/>
        <v>77.03</v>
      </c>
      <c r="I129" s="259">
        <v>31</v>
      </c>
      <c r="J129" s="257">
        <v>0</v>
      </c>
      <c r="K129" s="257">
        <v>336</v>
      </c>
      <c r="L129" s="259">
        <v>1</v>
      </c>
      <c r="M129" s="266">
        <f t="shared" si="23"/>
        <v>39.133333333333333</v>
      </c>
      <c r="N129" s="257">
        <f>'CDM Activity '!H210</f>
        <v>11102507.760559822</v>
      </c>
      <c r="O129" s="431">
        <v>127</v>
      </c>
      <c r="P129" s="257">
        <v>705.6</v>
      </c>
      <c r="Q129" s="261">
        <v>163.69534584670356</v>
      </c>
      <c r="R129" s="268"/>
      <c r="S129" s="259">
        <f t="shared" si="17"/>
        <v>153933298.1261929</v>
      </c>
      <c r="T129" s="48"/>
      <c r="U129"/>
      <c r="V129"/>
      <c r="W129"/>
      <c r="X129"/>
    </row>
    <row r="130" spans="1:24" x14ac:dyDescent="0.2">
      <c r="A130" s="256">
        <v>43343</v>
      </c>
      <c r="B130" s="264"/>
      <c r="C130" s="257"/>
      <c r="D130" s="264"/>
      <c r="E130" s="264"/>
      <c r="F130" s="264"/>
      <c r="G130" s="265">
        <f t="shared" si="22"/>
        <v>23.65</v>
      </c>
      <c r="H130" s="265">
        <f t="shared" si="22"/>
        <v>52.65</v>
      </c>
      <c r="I130" s="259">
        <v>31</v>
      </c>
      <c r="J130" s="257">
        <v>0</v>
      </c>
      <c r="K130" s="257">
        <v>352</v>
      </c>
      <c r="L130" s="259">
        <v>1</v>
      </c>
      <c r="M130" s="266">
        <f t="shared" si="23"/>
        <v>39.133333333333333</v>
      </c>
      <c r="N130" s="257">
        <f>'CDM Activity '!H211</f>
        <v>11091071.056652151</v>
      </c>
      <c r="O130" s="431">
        <v>128</v>
      </c>
      <c r="P130" s="257">
        <v>705.6</v>
      </c>
      <c r="Q130" s="261">
        <v>163.99246975302921</v>
      </c>
      <c r="R130" s="268"/>
      <c r="S130" s="259">
        <f t="shared" si="17"/>
        <v>148242639.30265024</v>
      </c>
      <c r="T130" s="48"/>
      <c r="U130"/>
      <c r="V130"/>
      <c r="W130"/>
      <c r="X130"/>
    </row>
    <row r="131" spans="1:24" x14ac:dyDescent="0.2">
      <c r="A131" s="256">
        <v>43373</v>
      </c>
      <c r="B131" s="264"/>
      <c r="C131" s="257"/>
      <c r="D131" s="264"/>
      <c r="E131" s="264"/>
      <c r="F131" s="264"/>
      <c r="G131" s="265">
        <f t="shared" si="22"/>
        <v>96.9</v>
      </c>
      <c r="H131" s="265">
        <f t="shared" si="22"/>
        <v>20.790000000000003</v>
      </c>
      <c r="I131" s="259">
        <v>30</v>
      </c>
      <c r="J131" s="257">
        <v>1</v>
      </c>
      <c r="K131" s="257">
        <v>304</v>
      </c>
      <c r="L131" s="259">
        <v>1</v>
      </c>
      <c r="M131" s="266">
        <f t="shared" si="23"/>
        <v>39.133333333333333</v>
      </c>
      <c r="N131" s="257">
        <f>'CDM Activity '!H212</f>
        <v>11079634.352744481</v>
      </c>
      <c r="O131" s="431">
        <v>129</v>
      </c>
      <c r="P131" s="257">
        <v>705.6</v>
      </c>
      <c r="Q131" s="261">
        <v>164.29013296983589</v>
      </c>
      <c r="R131" s="268"/>
      <c r="S131" s="259">
        <f t="shared" ref="S131:S146" si="24">$Z$18+$Z$19*G131+$Z$20*H131+$Z$21*I131+$Z$22*J131+$Z$23*K131+$Z$24*L131+$Z$25*M131</f>
        <v>130154472.96093233</v>
      </c>
      <c r="T131" s="48"/>
      <c r="U131"/>
      <c r="V131"/>
      <c r="W131"/>
      <c r="X131"/>
    </row>
    <row r="132" spans="1:24" x14ac:dyDescent="0.2">
      <c r="A132" s="256">
        <v>43404</v>
      </c>
      <c r="B132" s="264"/>
      <c r="C132" s="257"/>
      <c r="D132" s="264"/>
      <c r="E132" s="264"/>
      <c r="F132" s="264"/>
      <c r="G132" s="265">
        <f t="shared" si="22"/>
        <v>273.46999999999997</v>
      </c>
      <c r="H132" s="265">
        <f t="shared" si="22"/>
        <v>0.51</v>
      </c>
      <c r="I132" s="259">
        <v>31</v>
      </c>
      <c r="J132" s="257">
        <v>1</v>
      </c>
      <c r="K132" s="257">
        <v>352</v>
      </c>
      <c r="L132" s="259">
        <v>1</v>
      </c>
      <c r="M132" s="266">
        <f t="shared" si="23"/>
        <v>39.133333333333333</v>
      </c>
      <c r="N132" s="257">
        <f>'CDM Activity '!H213</f>
        <v>11068197.64883681</v>
      </c>
      <c r="O132" s="431">
        <v>130</v>
      </c>
      <c r="P132" s="257">
        <v>705.6</v>
      </c>
      <c r="Q132" s="261">
        <v>164.58833647602765</v>
      </c>
      <c r="R132" s="268"/>
      <c r="S132" s="259">
        <f t="shared" si="24"/>
        <v>134849720.33292517</v>
      </c>
      <c r="T132" s="48"/>
      <c r="U132"/>
      <c r="V132"/>
      <c r="W132"/>
      <c r="X132"/>
    </row>
    <row r="133" spans="1:24" x14ac:dyDescent="0.2">
      <c r="A133" s="256">
        <v>43434</v>
      </c>
      <c r="B133" s="264"/>
      <c r="C133" s="257"/>
      <c r="D133" s="264"/>
      <c r="E133" s="264"/>
      <c r="F133" s="264"/>
      <c r="G133" s="265">
        <f t="shared" si="22"/>
        <v>439.9</v>
      </c>
      <c r="H133" s="265">
        <f t="shared" si="22"/>
        <v>0</v>
      </c>
      <c r="I133" s="259">
        <v>30</v>
      </c>
      <c r="J133" s="257">
        <v>1</v>
      </c>
      <c r="K133" s="257">
        <v>336</v>
      </c>
      <c r="L133" s="259">
        <v>1</v>
      </c>
      <c r="M133" s="266">
        <f t="shared" si="23"/>
        <v>39.133333333333333</v>
      </c>
      <c r="N133" s="257">
        <f>'CDM Activity '!H214</f>
        <v>11056760.94492914</v>
      </c>
      <c r="O133" s="431">
        <v>131</v>
      </c>
      <c r="P133" s="257">
        <v>705.6</v>
      </c>
      <c r="Q133" s="261">
        <v>164.88708125228533</v>
      </c>
      <c r="R133" s="268"/>
      <c r="S133" s="259">
        <f t="shared" si="24"/>
        <v>134769026.29029155</v>
      </c>
      <c r="T133" s="48"/>
      <c r="U133"/>
      <c r="V133"/>
      <c r="W133"/>
      <c r="X133"/>
    </row>
    <row r="134" spans="1:24" x14ac:dyDescent="0.2">
      <c r="A134" s="256">
        <v>43465</v>
      </c>
      <c r="B134" s="264"/>
      <c r="C134" s="257"/>
      <c r="D134" s="264"/>
      <c r="E134" s="264"/>
      <c r="F134" s="264"/>
      <c r="G134" s="265">
        <f t="shared" si="22"/>
        <v>640.46</v>
      </c>
      <c r="H134" s="265">
        <f t="shared" si="22"/>
        <v>0</v>
      </c>
      <c r="I134" s="259">
        <v>31</v>
      </c>
      <c r="J134" s="257">
        <v>0</v>
      </c>
      <c r="K134" s="257">
        <v>304</v>
      </c>
      <c r="L134" s="259">
        <v>1</v>
      </c>
      <c r="M134" s="266">
        <f t="shared" si="23"/>
        <v>39.133333333333333</v>
      </c>
      <c r="N134" s="257">
        <f>'CDM Activity '!H215</f>
        <v>11045324.241021469</v>
      </c>
      <c r="O134" s="431">
        <v>132</v>
      </c>
      <c r="P134" s="257">
        <v>705.6</v>
      </c>
      <c r="Q134" s="261">
        <v>165.18636828106963</v>
      </c>
      <c r="R134" s="268"/>
      <c r="S134" s="259">
        <f t="shared" si="24"/>
        <v>142432665.62774608</v>
      </c>
      <c r="T134" s="48"/>
      <c r="U134"/>
      <c r="V134"/>
      <c r="W134"/>
      <c r="X134"/>
    </row>
    <row r="135" spans="1:24" x14ac:dyDescent="0.2">
      <c r="A135" s="256">
        <v>43496</v>
      </c>
      <c r="B135" s="264"/>
      <c r="C135" s="257"/>
      <c r="D135" s="264"/>
      <c r="E135" s="264"/>
      <c r="F135" s="264"/>
      <c r="G135" s="265">
        <f t="shared" ref="G135:H139" si="25">G123</f>
        <v>738.59000000000015</v>
      </c>
      <c r="H135" s="265">
        <f>H123</f>
        <v>0</v>
      </c>
      <c r="I135" s="259">
        <v>31</v>
      </c>
      <c r="J135" s="257">
        <v>0</v>
      </c>
      <c r="K135" s="257">
        <v>352</v>
      </c>
      <c r="L135" s="259">
        <v>1</v>
      </c>
      <c r="M135" s="266">
        <f t="shared" si="23"/>
        <v>39.133333333333333</v>
      </c>
      <c r="N135" s="257">
        <f>'CDM Activity '!H216</f>
        <v>10973935.710179139</v>
      </c>
      <c r="O135" s="431">
        <v>133</v>
      </c>
      <c r="P135" s="257">
        <v>705.6</v>
      </c>
      <c r="Q135" s="261">
        <v>165.45918699825475</v>
      </c>
      <c r="R135" s="268"/>
      <c r="S135" s="259">
        <f t="shared" si="24"/>
        <v>149045151.7926428</v>
      </c>
      <c r="T135" s="48"/>
      <c r="U135"/>
      <c r="V135"/>
      <c r="W135"/>
      <c r="X135"/>
    </row>
    <row r="136" spans="1:24" x14ac:dyDescent="0.2">
      <c r="A136" s="256">
        <v>43524</v>
      </c>
      <c r="B136" s="264"/>
      <c r="C136" s="257"/>
      <c r="D136" s="264"/>
      <c r="E136" s="264"/>
      <c r="F136" s="264"/>
      <c r="G136" s="265">
        <f t="shared" si="25"/>
        <v>671.5200000000001</v>
      </c>
      <c r="H136" s="265">
        <f t="shared" si="25"/>
        <v>0</v>
      </c>
      <c r="I136" s="259">
        <v>28</v>
      </c>
      <c r="J136" s="257">
        <v>0</v>
      </c>
      <c r="K136" s="257">
        <v>304</v>
      </c>
      <c r="L136" s="259">
        <v>1</v>
      </c>
      <c r="M136" s="266">
        <f t="shared" si="23"/>
        <v>39.133333333333333</v>
      </c>
      <c r="N136" s="257">
        <f>'CDM Activity '!H217</f>
        <v>10902547.179336809</v>
      </c>
      <c r="O136" s="431">
        <v>134</v>
      </c>
      <c r="P136" s="257">
        <v>705.6</v>
      </c>
      <c r="Q136" s="261">
        <v>165.732456297732</v>
      </c>
      <c r="R136" s="268"/>
      <c r="S136" s="259">
        <f t="shared" si="24"/>
        <v>136014614.98119655</v>
      </c>
      <c r="T136" s="48"/>
      <c r="U136"/>
      <c r="V136"/>
      <c r="W136"/>
      <c r="X136"/>
    </row>
    <row r="137" spans="1:24" x14ac:dyDescent="0.2">
      <c r="A137" s="256">
        <v>43555</v>
      </c>
      <c r="B137" s="264"/>
      <c r="C137" s="257"/>
      <c r="D137" s="264"/>
      <c r="E137" s="264"/>
      <c r="F137" s="264"/>
      <c r="G137" s="265">
        <f t="shared" si="25"/>
        <v>569.22</v>
      </c>
      <c r="H137" s="265">
        <f t="shared" si="25"/>
        <v>0</v>
      </c>
      <c r="I137" s="259">
        <v>31</v>
      </c>
      <c r="J137" s="257">
        <v>1</v>
      </c>
      <c r="K137" s="257">
        <v>336</v>
      </c>
      <c r="L137" s="259">
        <v>1</v>
      </c>
      <c r="M137" s="266">
        <f t="shared" si="23"/>
        <v>39.133333333333333</v>
      </c>
      <c r="N137" s="257">
        <f>'CDM Activity '!H218</f>
        <v>10831158.648494478</v>
      </c>
      <c r="O137" s="431">
        <v>135</v>
      </c>
      <c r="P137" s="257">
        <v>705.6</v>
      </c>
      <c r="Q137" s="261">
        <v>166.00617692367464</v>
      </c>
      <c r="R137" s="268"/>
      <c r="S137" s="259">
        <f t="shared" si="24"/>
        <v>140176340.56102636</v>
      </c>
      <c r="T137" s="48"/>
      <c r="U137"/>
      <c r="V137"/>
      <c r="W137"/>
      <c r="X137"/>
    </row>
    <row r="138" spans="1:24" x14ac:dyDescent="0.2">
      <c r="A138" s="256">
        <v>43585</v>
      </c>
      <c r="B138" s="264"/>
      <c r="C138" s="257"/>
      <c r="D138" s="264"/>
      <c r="E138" s="264"/>
      <c r="F138" s="264"/>
      <c r="G138" s="265">
        <f t="shared" si="25"/>
        <v>337.61</v>
      </c>
      <c r="H138" s="265">
        <f t="shared" si="25"/>
        <v>0.32</v>
      </c>
      <c r="I138" s="259">
        <v>30</v>
      </c>
      <c r="J138" s="257">
        <v>1</v>
      </c>
      <c r="K138" s="257">
        <v>336</v>
      </c>
      <c r="L138" s="259">
        <v>1</v>
      </c>
      <c r="M138" s="266">
        <f t="shared" si="23"/>
        <v>39.133333333333333</v>
      </c>
      <c r="N138" s="257">
        <f>'CDM Activity '!H219</f>
        <v>10759770.117652148</v>
      </c>
      <c r="O138" s="431">
        <v>136</v>
      </c>
      <c r="P138" s="257">
        <v>705.6</v>
      </c>
      <c r="Q138" s="261">
        <v>166.28034962148504</v>
      </c>
      <c r="R138" s="268"/>
      <c r="S138" s="259">
        <f t="shared" si="24"/>
        <v>132472517.92485739</v>
      </c>
      <c r="T138" s="48"/>
      <c r="U138"/>
      <c r="V138"/>
      <c r="W138"/>
      <c r="X138"/>
    </row>
    <row r="139" spans="1:24" x14ac:dyDescent="0.2">
      <c r="A139" s="256">
        <v>43616</v>
      </c>
      <c r="B139" s="264"/>
      <c r="C139" s="257"/>
      <c r="D139" s="264"/>
      <c r="E139" s="264"/>
      <c r="F139" s="264"/>
      <c r="G139" s="265">
        <f t="shared" si="25"/>
        <v>162.60999999999996</v>
      </c>
      <c r="H139" s="265">
        <f t="shared" si="25"/>
        <v>13.16</v>
      </c>
      <c r="I139" s="259">
        <v>31</v>
      </c>
      <c r="J139" s="257">
        <v>1</v>
      </c>
      <c r="K139" s="257">
        <v>352</v>
      </c>
      <c r="L139" s="259">
        <v>1</v>
      </c>
      <c r="M139" s="266">
        <f t="shared" si="23"/>
        <v>39.133333333333333</v>
      </c>
      <c r="N139" s="257">
        <f>'CDM Activity '!H220</f>
        <v>10688381.586809818</v>
      </c>
      <c r="O139" s="431">
        <v>137</v>
      </c>
      <c r="P139" s="257">
        <v>705.6</v>
      </c>
      <c r="Q139" s="261">
        <v>166.55497513779665</v>
      </c>
      <c r="R139" s="268"/>
      <c r="S139" s="259">
        <f t="shared" si="24"/>
        <v>136082160.55843586</v>
      </c>
      <c r="T139" s="48"/>
      <c r="U139"/>
      <c r="V139"/>
      <c r="W139"/>
      <c r="X139"/>
    </row>
    <row r="140" spans="1:24" x14ac:dyDescent="0.2">
      <c r="A140" s="256">
        <v>43646</v>
      </c>
      <c r="B140" s="264"/>
      <c r="C140" s="257"/>
      <c r="D140" s="264"/>
      <c r="E140" s="264"/>
      <c r="F140" s="264"/>
      <c r="G140" s="265">
        <f t="shared" ref="G140:H146" si="26">G128</f>
        <v>47.94</v>
      </c>
      <c r="H140" s="265">
        <f t="shared" si="26"/>
        <v>35.67</v>
      </c>
      <c r="I140" s="259">
        <v>30</v>
      </c>
      <c r="J140" s="257">
        <v>0</v>
      </c>
      <c r="K140" s="257">
        <v>320</v>
      </c>
      <c r="L140" s="259">
        <v>1</v>
      </c>
      <c r="M140" s="266">
        <f t="shared" si="23"/>
        <v>39.133333333333333</v>
      </c>
      <c r="N140" s="257">
        <f>'CDM Activity '!H221</f>
        <v>10616993.055967487</v>
      </c>
      <c r="O140" s="431">
        <v>138</v>
      </c>
      <c r="P140" s="257">
        <v>705.6</v>
      </c>
      <c r="Q140" s="261">
        <v>166.83005422047603</v>
      </c>
      <c r="R140" s="268"/>
      <c r="S140" s="259">
        <f t="shared" si="24"/>
        <v>138415737.44134793</v>
      </c>
      <c r="T140" s="48"/>
      <c r="U140"/>
      <c r="V140"/>
      <c r="W140"/>
      <c r="X140"/>
    </row>
    <row r="141" spans="1:24" x14ac:dyDescent="0.2">
      <c r="A141" s="256">
        <v>43677</v>
      </c>
      <c r="B141" s="264"/>
      <c r="C141" s="257"/>
      <c r="D141" s="264"/>
      <c r="E141" s="264"/>
      <c r="F141" s="264"/>
      <c r="G141" s="265">
        <f t="shared" si="26"/>
        <v>13.190000000000001</v>
      </c>
      <c r="H141" s="265">
        <f t="shared" si="26"/>
        <v>77.03</v>
      </c>
      <c r="I141" s="259">
        <v>31</v>
      </c>
      <c r="J141" s="257">
        <v>0</v>
      </c>
      <c r="K141" s="257">
        <v>352</v>
      </c>
      <c r="L141" s="259">
        <v>1</v>
      </c>
      <c r="M141" s="266">
        <f t="shared" si="23"/>
        <v>39.133333333333333</v>
      </c>
      <c r="N141" s="257">
        <f>'CDM Activity '!H222</f>
        <v>10545604.525125157</v>
      </c>
      <c r="O141" s="431">
        <v>139</v>
      </c>
      <c r="P141" s="257">
        <v>705.6</v>
      </c>
      <c r="Q141" s="261">
        <v>167.1055876186249</v>
      </c>
      <c r="R141" s="268"/>
      <c r="S141" s="259">
        <f t="shared" si="24"/>
        <v>155372137.97043207</v>
      </c>
      <c r="T141" s="48"/>
      <c r="U141"/>
      <c r="V141"/>
      <c r="W141"/>
      <c r="X141"/>
    </row>
    <row r="142" spans="1:24" x14ac:dyDescent="0.2">
      <c r="A142" s="256">
        <v>43708</v>
      </c>
      <c r="B142" s="264"/>
      <c r="C142" s="257"/>
      <c r="D142" s="264"/>
      <c r="E142" s="264"/>
      <c r="F142" s="264"/>
      <c r="G142" s="265">
        <f t="shared" si="26"/>
        <v>23.65</v>
      </c>
      <c r="H142" s="265">
        <f t="shared" si="26"/>
        <v>52.65</v>
      </c>
      <c r="I142" s="259">
        <v>31</v>
      </c>
      <c r="J142" s="257">
        <v>0</v>
      </c>
      <c r="K142" s="257">
        <v>336</v>
      </c>
      <c r="L142" s="259">
        <v>1</v>
      </c>
      <c r="M142" s="266">
        <f t="shared" si="23"/>
        <v>39.133333333333333</v>
      </c>
      <c r="N142" s="257">
        <f>'CDM Activity '!H223</f>
        <v>10474215.994282827</v>
      </c>
      <c r="O142" s="431">
        <v>140</v>
      </c>
      <c r="P142" s="257">
        <v>705.6</v>
      </c>
      <c r="Q142" s="261">
        <v>167.3815760825822</v>
      </c>
      <c r="R142" s="268"/>
      <c r="S142" s="259">
        <f t="shared" si="24"/>
        <v>146803799.45841107</v>
      </c>
      <c r="T142" s="48"/>
      <c r="U142"/>
      <c r="V142"/>
      <c r="W142"/>
      <c r="X142"/>
    </row>
    <row r="143" spans="1:24" x14ac:dyDescent="0.2">
      <c r="A143" s="256">
        <v>43738</v>
      </c>
      <c r="B143" s="264"/>
      <c r="C143" s="256"/>
      <c r="D143" s="264"/>
      <c r="E143" s="264"/>
      <c r="F143" s="264"/>
      <c r="G143" s="265">
        <f t="shared" si="26"/>
        <v>96.9</v>
      </c>
      <c r="H143" s="265">
        <f t="shared" si="26"/>
        <v>20.790000000000003</v>
      </c>
      <c r="I143" s="259">
        <v>30</v>
      </c>
      <c r="J143" s="257">
        <v>1</v>
      </c>
      <c r="K143" s="257">
        <v>320</v>
      </c>
      <c r="L143" s="259">
        <v>1</v>
      </c>
      <c r="M143" s="266">
        <f t="shared" si="23"/>
        <v>39.133333333333333</v>
      </c>
      <c r="N143" s="257">
        <f>'CDM Activity '!H224</f>
        <v>10402827.463440496</v>
      </c>
      <c r="O143" s="431">
        <v>141</v>
      </c>
      <c r="P143" s="257">
        <v>705.6</v>
      </c>
      <c r="Q143" s="261">
        <v>167.65802036392614</v>
      </c>
      <c r="R143" s="263"/>
      <c r="S143" s="259">
        <f t="shared" si="24"/>
        <v>131593312.8051715</v>
      </c>
      <c r="T143" s="48"/>
      <c r="U143"/>
      <c r="V143"/>
      <c r="W143"/>
      <c r="X143"/>
    </row>
    <row r="144" spans="1:24" x14ac:dyDescent="0.2">
      <c r="A144" s="256">
        <v>43769</v>
      </c>
      <c r="B144" s="264"/>
      <c r="C144" s="256"/>
      <c r="D144" s="264"/>
      <c r="E144" s="264"/>
      <c r="F144" s="264"/>
      <c r="G144" s="265">
        <f t="shared" si="26"/>
        <v>273.46999999999997</v>
      </c>
      <c r="H144" s="265">
        <f t="shared" si="26"/>
        <v>0.51</v>
      </c>
      <c r="I144" s="259">
        <v>31</v>
      </c>
      <c r="J144" s="257">
        <v>1</v>
      </c>
      <c r="K144" s="257">
        <v>352</v>
      </c>
      <c r="L144" s="259">
        <v>1</v>
      </c>
      <c r="M144" s="266">
        <f t="shared" si="23"/>
        <v>39.133333333333333</v>
      </c>
      <c r="N144" s="257">
        <f>'CDM Activity '!H225</f>
        <v>10331438.932598166</v>
      </c>
      <c r="O144" s="431">
        <v>142</v>
      </c>
      <c r="P144" s="257">
        <v>705.6</v>
      </c>
      <c r="Q144" s="261">
        <v>167.93492121547615</v>
      </c>
      <c r="R144" s="263"/>
      <c r="S144" s="259">
        <f t="shared" si="24"/>
        <v>134849720.33292517</v>
      </c>
      <c r="T144" s="48"/>
      <c r="U144"/>
      <c r="V144"/>
      <c r="W144"/>
      <c r="X144"/>
    </row>
    <row r="145" spans="1:24" x14ac:dyDescent="0.2">
      <c r="A145" s="256">
        <v>43799</v>
      </c>
      <c r="B145" s="264"/>
      <c r="C145" s="256"/>
      <c r="D145" s="264"/>
      <c r="E145" s="264"/>
      <c r="F145" s="264"/>
      <c r="G145" s="265">
        <f t="shared" si="26"/>
        <v>439.9</v>
      </c>
      <c r="H145" s="265">
        <f t="shared" si="26"/>
        <v>0</v>
      </c>
      <c r="I145" s="259">
        <v>30</v>
      </c>
      <c r="J145" s="257">
        <v>1</v>
      </c>
      <c r="K145" s="257">
        <v>320</v>
      </c>
      <c r="L145" s="259">
        <v>1</v>
      </c>
      <c r="M145" s="266">
        <f t="shared" si="23"/>
        <v>39.133333333333333</v>
      </c>
      <c r="N145" s="257">
        <f>'CDM Activity '!H226</f>
        <v>10260050.401755836</v>
      </c>
      <c r="O145" s="431">
        <v>143</v>
      </c>
      <c r="P145" s="257">
        <v>705.6</v>
      </c>
      <c r="Q145" s="261">
        <v>168.21227939129508</v>
      </c>
      <c r="R145" s="263"/>
      <c r="S145" s="259">
        <f t="shared" si="24"/>
        <v>133330186.44605233</v>
      </c>
      <c r="T145" s="48"/>
      <c r="W145"/>
      <c r="X145"/>
    </row>
    <row r="146" spans="1:24" x14ac:dyDescent="0.2">
      <c r="A146" s="256">
        <v>43830</v>
      </c>
      <c r="B146" s="264"/>
      <c r="C146" s="256"/>
      <c r="D146" s="264"/>
      <c r="E146" s="264"/>
      <c r="F146" s="264"/>
      <c r="G146" s="265">
        <f t="shared" si="26"/>
        <v>640.46</v>
      </c>
      <c r="H146" s="265">
        <f t="shared" si="26"/>
        <v>0</v>
      </c>
      <c r="I146" s="259">
        <v>31</v>
      </c>
      <c r="J146" s="257">
        <v>0</v>
      </c>
      <c r="K146" s="257">
        <v>320</v>
      </c>
      <c r="L146" s="259">
        <v>1</v>
      </c>
      <c r="M146" s="266">
        <f t="shared" si="23"/>
        <v>39.133333333333333</v>
      </c>
      <c r="N146" s="257">
        <f>'CDM Activity '!H227</f>
        <v>10188661.870913506</v>
      </c>
      <c r="O146" s="431">
        <v>144</v>
      </c>
      <c r="P146" s="257">
        <v>705.6</v>
      </c>
      <c r="Q146" s="261">
        <v>168.49009564669103</v>
      </c>
      <c r="R146" s="263"/>
      <c r="S146" s="259">
        <f t="shared" si="24"/>
        <v>143871505.47198525</v>
      </c>
      <c r="T146" s="48"/>
      <c r="W146"/>
      <c r="X146"/>
    </row>
    <row r="147" spans="1:24" x14ac:dyDescent="0.2">
      <c r="A147" s="49"/>
      <c r="C147" s="49"/>
      <c r="I147" s="10"/>
      <c r="J147" s="10"/>
      <c r="L147" s="10"/>
      <c r="W147"/>
      <c r="X147"/>
    </row>
    <row r="148" spans="1:24" x14ac:dyDescent="0.2">
      <c r="A148" s="49"/>
      <c r="C148" s="49"/>
      <c r="I148" s="10"/>
      <c r="J148" s="10"/>
      <c r="L148" s="10"/>
      <c r="W148"/>
      <c r="X148"/>
    </row>
    <row r="149" spans="1:24" x14ac:dyDescent="0.2">
      <c r="A149" s="49"/>
      <c r="C149" s="49"/>
      <c r="I149" s="10"/>
      <c r="J149" s="10"/>
      <c r="L149" s="10"/>
      <c r="W149"/>
      <c r="X149"/>
    </row>
    <row r="150" spans="1:24" x14ac:dyDescent="0.2">
      <c r="A150" s="49"/>
      <c r="C150" s="49"/>
      <c r="G150" s="16"/>
      <c r="H150" s="54" t="s">
        <v>70</v>
      </c>
      <c r="I150" s="10"/>
      <c r="J150" s="10"/>
      <c r="L150" s="10"/>
      <c r="N150"/>
      <c r="S150" s="48">
        <f>SUM(S2:S146)</f>
        <v>20873506676.468288</v>
      </c>
      <c r="W150"/>
      <c r="X150"/>
    </row>
    <row r="151" spans="1:24" x14ac:dyDescent="0.2">
      <c r="A151" s="49"/>
      <c r="C151" s="49"/>
      <c r="I151" s="10"/>
      <c r="J151" s="10"/>
      <c r="L151" s="10"/>
      <c r="W151"/>
      <c r="X151"/>
    </row>
    <row r="152" spans="1:24" x14ac:dyDescent="0.2">
      <c r="A152" s="40">
        <v>2008</v>
      </c>
      <c r="D152" s="6">
        <f>SUM(D3:D14)</f>
        <v>1515917474.9300001</v>
      </c>
      <c r="E152" s="6">
        <f>SUM(E3:E14)</f>
        <v>297492850</v>
      </c>
      <c r="F152" s="6">
        <f>SUM(F3:F14)</f>
        <v>1813410324.9300001</v>
      </c>
      <c r="S152" s="6">
        <f>SUM(S3:S14)</f>
        <v>1795206440.2228432</v>
      </c>
      <c r="T152" s="36">
        <f t="shared" ref="T152:T161" si="27">S152-F152</f>
        <v>-18203884.707156897</v>
      </c>
      <c r="U152" s="5">
        <f t="shared" ref="U152:U161" si="28">T152/D152</f>
        <v>-1.200849321167532E-2</v>
      </c>
      <c r="V152" s="5">
        <f t="shared" ref="V152:V156" si="29">ABS(U152)</f>
        <v>1.200849321167532E-2</v>
      </c>
      <c r="W152" s="55">
        <f>'Purchased Power Model WN'!R152</f>
        <v>1798471338.075866</v>
      </c>
      <c r="X152" s="434">
        <f>S152/W152</f>
        <v>0.99818462614115622</v>
      </c>
    </row>
    <row r="153" spans="1:24" x14ac:dyDescent="0.2">
      <c r="A153" s="50">
        <v>2009</v>
      </c>
      <c r="C153" s="50"/>
      <c r="D153" s="6">
        <f>SUM(D15:D26)</f>
        <v>1408643619.3199999</v>
      </c>
      <c r="E153" s="6">
        <f>SUM(E15:E26)</f>
        <v>285044124</v>
      </c>
      <c r="F153" s="6">
        <f>SUM(F15:F26)</f>
        <v>1693687743.3199999</v>
      </c>
      <c r="S153" s="6">
        <f>SUM(S15:S26)</f>
        <v>1710874100.0131142</v>
      </c>
      <c r="T153" s="36">
        <f t="shared" si="27"/>
        <v>17186356.693114281</v>
      </c>
      <c r="U153" s="5">
        <f t="shared" si="28"/>
        <v>1.2200642133608441E-2</v>
      </c>
      <c r="V153" s="5">
        <f t="shared" si="29"/>
        <v>1.2200642133608441E-2</v>
      </c>
      <c r="W153" s="55">
        <f>'Purchased Power Model WN'!R153</f>
        <v>1732475705.2379763</v>
      </c>
      <c r="X153" s="434">
        <f t="shared" ref="X153:X163" si="30">S153/W153</f>
        <v>0.98753136614871329</v>
      </c>
    </row>
    <row r="154" spans="1:24" x14ac:dyDescent="0.2">
      <c r="A154" s="40">
        <v>2010</v>
      </c>
      <c r="D154" s="6">
        <f>SUM(D27:D38)</f>
        <v>1470488791.4399998</v>
      </c>
      <c r="E154" s="6">
        <f>SUM(E27:E38)</f>
        <v>291433060</v>
      </c>
      <c r="F154" s="6">
        <f>SUM(F27:F38)</f>
        <v>1761921851.4400001</v>
      </c>
      <c r="S154" s="6">
        <f>SUM(S27:S38)</f>
        <v>1748395386.5384984</v>
      </c>
      <c r="T154" s="36">
        <f t="shared" si="27"/>
        <v>-13526464.901501656</v>
      </c>
      <c r="U154" s="5">
        <f t="shared" si="28"/>
        <v>-9.1986181603299719E-3</v>
      </c>
      <c r="V154" s="5">
        <f t="shared" si="29"/>
        <v>9.1986181603299719E-3</v>
      </c>
      <c r="W154" s="55">
        <f>'Purchased Power Model WN'!R154</f>
        <v>1741077819.2609749</v>
      </c>
      <c r="X154" s="434">
        <f t="shared" si="30"/>
        <v>1.0042028950093853</v>
      </c>
    </row>
    <row r="155" spans="1:24" x14ac:dyDescent="0.2">
      <c r="A155" s="40">
        <v>2011</v>
      </c>
      <c r="D155" s="6">
        <f>SUM(D39:D50)</f>
        <v>1473294837.73</v>
      </c>
      <c r="E155" s="6">
        <f>SUM(E39:E50)</f>
        <v>293737263</v>
      </c>
      <c r="F155" s="6">
        <f>SUM(F39:F50)</f>
        <v>1767032100.7299995</v>
      </c>
      <c r="S155" s="6">
        <f>SUM(S39:S50)</f>
        <v>1768963448.1354213</v>
      </c>
      <c r="T155" s="36">
        <f t="shared" si="27"/>
        <v>1931347.4054217339</v>
      </c>
      <c r="U155" s="5">
        <f t="shared" si="28"/>
        <v>1.3109035312968888E-3</v>
      </c>
      <c r="V155" s="5">
        <f t="shared" si="29"/>
        <v>1.3109035312968888E-3</v>
      </c>
      <c r="W155" s="55">
        <f>'Purchased Power Model WN'!R155</f>
        <v>1762530082.2400632</v>
      </c>
      <c r="X155" s="434">
        <f t="shared" si="30"/>
        <v>1.0036500743789756</v>
      </c>
    </row>
    <row r="156" spans="1:24" x14ac:dyDescent="0.2">
      <c r="A156" s="40">
        <v>2012</v>
      </c>
      <c r="D156" s="6">
        <f>SUM(D51:D62)</f>
        <v>1481727956.7770286</v>
      </c>
      <c r="E156" s="6">
        <f>SUM(E51:E62)</f>
        <v>293429507</v>
      </c>
      <c r="F156" s="6">
        <f>SUM(F51:F62)</f>
        <v>1775157463.7770281</v>
      </c>
      <c r="S156" s="6">
        <f>SUM(S51:S62)</f>
        <v>1787204459.9350173</v>
      </c>
      <c r="T156" s="36">
        <f t="shared" si="27"/>
        <v>12046996.157989264</v>
      </c>
      <c r="U156" s="5">
        <f t="shared" si="28"/>
        <v>8.1303697503239489E-3</v>
      </c>
      <c r="V156" s="5">
        <f t="shared" si="29"/>
        <v>8.1303697503239489E-3</v>
      </c>
      <c r="W156" s="55">
        <f>'Purchased Power Model WN'!R156</f>
        <v>1776049314.0252881</v>
      </c>
      <c r="X156" s="434">
        <f t="shared" si="30"/>
        <v>1.0062808762243469</v>
      </c>
    </row>
    <row r="157" spans="1:24" x14ac:dyDescent="0.2">
      <c r="A157" s="40">
        <v>2013</v>
      </c>
      <c r="D157" s="6">
        <f>SUM(D63:D74)</f>
        <v>1479631641</v>
      </c>
      <c r="E157" s="6">
        <f>SUM(E63:E74)</f>
        <v>301042483</v>
      </c>
      <c r="F157" s="6">
        <f>SUM(F63:F74)</f>
        <v>1780674124</v>
      </c>
      <c r="S157" s="6">
        <f>SUM(S63:S74)</f>
        <v>1778351375.4538741</v>
      </c>
      <c r="T157" s="36">
        <f t="shared" si="27"/>
        <v>-2322748.5461258888</v>
      </c>
      <c r="U157" s="5">
        <f t="shared" si="28"/>
        <v>-1.5698154065940855E-3</v>
      </c>
      <c r="V157" s="5">
        <f>ABS(U157)</f>
        <v>1.5698154065940855E-3</v>
      </c>
      <c r="W157" s="55">
        <f>'Purchased Power Model WN'!R157</f>
        <v>1773430879.6186125</v>
      </c>
      <c r="X157" s="434">
        <f t="shared" si="30"/>
        <v>1.0027745630753422</v>
      </c>
    </row>
    <row r="158" spans="1:24" x14ac:dyDescent="0.2">
      <c r="A158" s="40">
        <v>2014</v>
      </c>
      <c r="D158" s="6">
        <f>SUM(D75:D86)</f>
        <v>1478604265.9999998</v>
      </c>
      <c r="E158" s="6">
        <f>SUM(E75:E86)</f>
        <v>303815429</v>
      </c>
      <c r="F158" s="6">
        <f>SUM(F75:F86)</f>
        <v>1782419695</v>
      </c>
      <c r="S158" s="6">
        <f>SUM(S75:S86)</f>
        <v>1769039132.9827464</v>
      </c>
      <c r="T158" s="36">
        <f t="shared" si="27"/>
        <v>-13380562.017253637</v>
      </c>
      <c r="U158" s="5">
        <f t="shared" si="28"/>
        <v>-9.0494544922770023E-3</v>
      </c>
      <c r="V158" s="5">
        <f>ABS(U158)</f>
        <v>9.0494544922770023E-3</v>
      </c>
      <c r="W158" s="55">
        <f>'Purchased Power Model WN'!R158</f>
        <v>1783769164.5564604</v>
      </c>
      <c r="X158" s="434">
        <f t="shared" si="30"/>
        <v>0.99174218734890129</v>
      </c>
    </row>
    <row r="159" spans="1:24" x14ac:dyDescent="0.2">
      <c r="A159" s="50">
        <v>2015</v>
      </c>
      <c r="D159" s="6">
        <f>SUM(D87:D98)</f>
        <v>1483863362.230386</v>
      </c>
      <c r="E159" s="6">
        <f>SUM(E87:E98)</f>
        <v>293516037.00000006</v>
      </c>
      <c r="F159" s="6">
        <f>SUM(F87:F98)</f>
        <v>1777379399.230386</v>
      </c>
      <c r="S159" s="6">
        <f>SUM(S87:S98)</f>
        <v>1793648359.1459024</v>
      </c>
      <c r="T159" s="36">
        <f t="shared" si="27"/>
        <v>16268959.915516376</v>
      </c>
      <c r="U159" s="5">
        <f t="shared" si="28"/>
        <v>1.0963920485955393E-2</v>
      </c>
      <c r="V159" s="5">
        <f>ABS(U159)</f>
        <v>1.0963920485955393E-2</v>
      </c>
      <c r="W159" s="55">
        <f>'Purchased Power Model WN'!R159</f>
        <v>1794699582.5477185</v>
      </c>
      <c r="X159" s="434">
        <f t="shared" si="30"/>
        <v>0.9994142621907095</v>
      </c>
    </row>
    <row r="160" spans="1:24" x14ac:dyDescent="0.2">
      <c r="A160" s="40">
        <v>2016</v>
      </c>
      <c r="D160" s="6">
        <f>SUM(D99:D110)</f>
        <v>1424060763</v>
      </c>
      <c r="E160" s="6">
        <f>SUM(E99:E110)</f>
        <v>298126493</v>
      </c>
      <c r="F160" s="6">
        <f>SUM(F99:F110)</f>
        <v>1722187256.0000002</v>
      </c>
      <c r="S160" s="6">
        <f>SUM(S99:S110)</f>
        <v>1699432505.2365861</v>
      </c>
      <c r="T160" s="36">
        <f t="shared" si="27"/>
        <v>-22754750.763414145</v>
      </c>
      <c r="U160" s="5">
        <f t="shared" si="28"/>
        <v>-1.5978777980988543E-2</v>
      </c>
      <c r="V160" s="5">
        <f>ABS(U160)</f>
        <v>1.5978777980988543E-2</v>
      </c>
      <c r="W160" s="55">
        <f>'Purchased Power Model WN'!R160</f>
        <v>1676921233.6718524</v>
      </c>
      <c r="X160" s="434">
        <f t="shared" si="30"/>
        <v>1.0134241675236244</v>
      </c>
    </row>
    <row r="161" spans="1:26" x14ac:dyDescent="0.2">
      <c r="A161" s="50">
        <v>2017</v>
      </c>
      <c r="D161" s="6">
        <f>SUM(D111:D122)</f>
        <v>1357075175</v>
      </c>
      <c r="E161" s="6">
        <f>SUM(E111:E122)</f>
        <v>286507171.5518769</v>
      </c>
      <c r="F161" s="6">
        <f>SUM(F111:F122)</f>
        <v>1643582346.551877</v>
      </c>
      <c r="S161" s="6">
        <f>SUM(S111:S122)</f>
        <v>1666337097.3152921</v>
      </c>
      <c r="T161" s="36">
        <f t="shared" si="27"/>
        <v>22754750.763415098</v>
      </c>
      <c r="U161" s="5">
        <f t="shared" si="28"/>
        <v>1.6767494669862409E-2</v>
      </c>
      <c r="V161" s="5">
        <f>ABS(U161)</f>
        <v>1.6767494669862409E-2</v>
      </c>
      <c r="W161" s="55">
        <f>'Purchased Power Model WN'!R161</f>
        <v>1678027185.7444844</v>
      </c>
      <c r="X161" s="434">
        <f t="shared" si="30"/>
        <v>0.99303343323129423</v>
      </c>
    </row>
    <row r="162" spans="1:26" x14ac:dyDescent="0.2">
      <c r="A162" s="40">
        <v>2018</v>
      </c>
      <c r="S162" s="6">
        <f>SUM(S123:S134)</f>
        <v>1678027185.7444842</v>
      </c>
      <c r="T162" s="36"/>
      <c r="U162" s="5"/>
      <c r="V162" s="5"/>
      <c r="W162" s="55">
        <f>'Purchased Power Model WN'!R162</f>
        <v>1678027185.7444842</v>
      </c>
      <c r="X162" s="434">
        <f t="shared" si="30"/>
        <v>1</v>
      </c>
    </row>
    <row r="163" spans="1:26" x14ac:dyDescent="0.2">
      <c r="A163" s="50">
        <v>2019</v>
      </c>
      <c r="M163" s="25"/>
      <c r="O163" s="25"/>
      <c r="S163" s="6">
        <f>SUM(S135:S146)</f>
        <v>1678027185.7444842</v>
      </c>
      <c r="T163" s="36"/>
      <c r="U163" s="5"/>
      <c r="V163" s="5"/>
      <c r="W163" s="55">
        <f>'Purchased Power Model WN'!R163</f>
        <v>1678027185.7444842</v>
      </c>
      <c r="X163" s="434">
        <f t="shared" si="30"/>
        <v>1</v>
      </c>
      <c r="Y163" s="6"/>
      <c r="Z163" s="55"/>
    </row>
    <row r="164" spans="1:26" x14ac:dyDescent="0.2">
      <c r="S164" s="6"/>
      <c r="W164" s="5"/>
      <c r="X164" s="5"/>
      <c r="Y164" s="6"/>
      <c r="Z164" s="55"/>
    </row>
    <row r="165" spans="1:26" x14ac:dyDescent="0.2">
      <c r="A165" s="110" t="s">
        <v>12</v>
      </c>
      <c r="D165" s="6">
        <f>SUM(D152:D161)</f>
        <v>14573307887.427416</v>
      </c>
      <c r="E165" s="6">
        <f t="shared" ref="E165:F165" si="31">SUM(E152:E161)</f>
        <v>2944144417.551877</v>
      </c>
      <c r="F165" s="6">
        <f t="shared" si="31"/>
        <v>17517452304.979294</v>
      </c>
      <c r="S165" s="6">
        <f t="shared" ref="S165" si="32">SUM(S152:S161)</f>
        <v>17517452304.979294</v>
      </c>
      <c r="T165" s="48">
        <f>S165-F165</f>
        <v>0</v>
      </c>
      <c r="W165" s="5"/>
      <c r="X165" s="5"/>
      <c r="Y165" s="6"/>
      <c r="Z165" s="55"/>
    </row>
    <row r="166" spans="1:26" x14ac:dyDescent="0.2">
      <c r="W166" s="5"/>
      <c r="X166" s="5"/>
      <c r="Y166" s="6"/>
      <c r="Z166" s="55"/>
    </row>
    <row r="167" spans="1:26" x14ac:dyDescent="0.2">
      <c r="S167" s="6">
        <f>SUM(S152:S163)</f>
        <v>20873506676.468262</v>
      </c>
      <c r="T167" s="48">
        <f>S150-S167</f>
        <v>0</v>
      </c>
      <c r="W167" s="5"/>
      <c r="X167" s="5"/>
      <c r="Y167" s="6"/>
      <c r="Z167" s="55"/>
    </row>
    <row r="168" spans="1:26" x14ac:dyDescent="0.2">
      <c r="S168" s="16"/>
      <c r="T168" s="16" t="s">
        <v>65</v>
      </c>
      <c r="U168" s="16"/>
      <c r="V168" s="16"/>
      <c r="W168" s="5"/>
      <c r="X168" s="5"/>
      <c r="Y168" s="6"/>
      <c r="Z168" s="55"/>
    </row>
    <row r="169" spans="1:26" x14ac:dyDescent="0.2">
      <c r="W169" s="6"/>
      <c r="X169" s="5"/>
      <c r="Y169" s="6"/>
      <c r="Z169" s="55"/>
    </row>
    <row r="170" spans="1:26" x14ac:dyDescent="0.2">
      <c r="W170" s="6"/>
      <c r="X170" s="5"/>
      <c r="Y170" s="6"/>
      <c r="Z170" s="55"/>
    </row>
    <row r="171" spans="1:26" x14ac:dyDescent="0.2">
      <c r="B171" s="40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W171" s="6"/>
      <c r="X171" s="5"/>
      <c r="Y171" s="6"/>
      <c r="Z171" s="55"/>
    </row>
    <row r="172" spans="1:26" x14ac:dyDescent="0.2">
      <c r="A172" s="49">
        <v>43496</v>
      </c>
      <c r="C172" s="15"/>
      <c r="G172" s="132">
        <f>'Weather Analysis '!AA8</f>
        <v>728.58541353383453</v>
      </c>
      <c r="H172" s="132">
        <f>'Weather Analysis '!AA28</f>
        <v>0</v>
      </c>
      <c r="I172" s="10">
        <f>I135</f>
        <v>31</v>
      </c>
      <c r="J172" s="10">
        <f t="shared" ref="J172:L172" si="33">J135</f>
        <v>0</v>
      </c>
      <c r="K172" s="10">
        <f t="shared" si="33"/>
        <v>352</v>
      </c>
      <c r="L172" s="10">
        <f t="shared" si="33"/>
        <v>1</v>
      </c>
      <c r="M172" s="248">
        <f>M135</f>
        <v>39.133333333333333</v>
      </c>
      <c r="N172" s="15">
        <f>N135</f>
        <v>10973935.710179139</v>
      </c>
      <c r="O172" s="248"/>
      <c r="P172" s="15">
        <v>705.6</v>
      </c>
      <c r="Q172" s="105">
        <v>165.45918699825475</v>
      </c>
      <c r="R172" s="30"/>
      <c r="S172" s="15">
        <f t="shared" ref="S172:S183" si="34">$Z$18+$Z$19*G172+$Z$20*H172+$Z$21*I172+$Z$22*J172+$Z$23*K172+$Z$24*L172+$Z$25*M172+N172*$Z$26</f>
        <v>148811072.54373759</v>
      </c>
      <c r="T172" s="48"/>
      <c r="U172"/>
      <c r="V172"/>
      <c r="W172" s="15"/>
      <c r="X172"/>
    </row>
    <row r="173" spans="1:26" x14ac:dyDescent="0.2">
      <c r="A173" s="49">
        <v>43524</v>
      </c>
      <c r="C173" s="15"/>
      <c r="G173" s="132">
        <f>'Weather Analysis '!AA9</f>
        <v>711.62060150376055</v>
      </c>
      <c r="H173" s="132">
        <f>'Weather Analysis '!AA29</f>
        <v>0</v>
      </c>
      <c r="I173" s="10">
        <f t="shared" ref="I173:L183" si="35">I136</f>
        <v>28</v>
      </c>
      <c r="J173" s="10">
        <f t="shared" si="35"/>
        <v>0</v>
      </c>
      <c r="K173" s="10">
        <f t="shared" si="35"/>
        <v>304</v>
      </c>
      <c r="L173" s="10">
        <f t="shared" si="35"/>
        <v>1</v>
      </c>
      <c r="M173" s="248">
        <f t="shared" ref="M173:M183" si="36">M172</f>
        <v>39.133333333333333</v>
      </c>
      <c r="N173" s="15">
        <f t="shared" ref="N173:N183" si="37">N136</f>
        <v>10902547.179336809</v>
      </c>
      <c r="O173" s="248"/>
      <c r="P173" s="15">
        <v>705.6</v>
      </c>
      <c r="Q173" s="105">
        <v>165.732456297732</v>
      </c>
      <c r="R173" s="30"/>
      <c r="S173" s="15">
        <f t="shared" si="34"/>
        <v>136952856.52795035</v>
      </c>
      <c r="T173" s="48"/>
      <c r="U173"/>
      <c r="V173"/>
      <c r="W173" s="15"/>
      <c r="X173"/>
    </row>
    <row r="174" spans="1:26" x14ac:dyDescent="0.2">
      <c r="A174" s="49">
        <v>43555</v>
      </c>
      <c r="C174" s="15"/>
      <c r="G174" s="132">
        <f>'Weather Analysis '!AA10</f>
        <v>577.69691729323313</v>
      </c>
      <c r="H174" s="132">
        <f>'Weather Analysis '!AA30</f>
        <v>0</v>
      </c>
      <c r="I174" s="10">
        <f t="shared" si="35"/>
        <v>31</v>
      </c>
      <c r="J174" s="10">
        <f t="shared" si="35"/>
        <v>1</v>
      </c>
      <c r="K174" s="10">
        <f t="shared" si="35"/>
        <v>336</v>
      </c>
      <c r="L174" s="10">
        <f t="shared" si="35"/>
        <v>1</v>
      </c>
      <c r="M174" s="248">
        <f t="shared" si="36"/>
        <v>39.133333333333333</v>
      </c>
      <c r="N174" s="15">
        <f t="shared" si="37"/>
        <v>10831158.648494478</v>
      </c>
      <c r="O174" s="248"/>
      <c r="P174" s="15">
        <v>705.6</v>
      </c>
      <c r="Q174" s="105">
        <v>166.00617692367464</v>
      </c>
      <c r="R174" s="30"/>
      <c r="S174" s="15">
        <f t="shared" si="34"/>
        <v>140374676.6381588</v>
      </c>
      <c r="T174" s="48"/>
      <c r="U174"/>
      <c r="V174"/>
      <c r="W174" s="15"/>
      <c r="X174"/>
    </row>
    <row r="175" spans="1:26" x14ac:dyDescent="0.2">
      <c r="A175" s="49">
        <v>43585</v>
      </c>
      <c r="C175" s="15"/>
      <c r="G175" s="132">
        <f>'Weather Analysis '!AA11</f>
        <v>350.66067669172912</v>
      </c>
      <c r="H175" s="132">
        <f>'Weather Analysis '!AA31</f>
        <v>-2.210526315788286E-2</v>
      </c>
      <c r="I175" s="10">
        <f t="shared" si="35"/>
        <v>30</v>
      </c>
      <c r="J175" s="10">
        <f t="shared" si="35"/>
        <v>1</v>
      </c>
      <c r="K175" s="10">
        <f t="shared" si="35"/>
        <v>336</v>
      </c>
      <c r="L175" s="10">
        <f t="shared" si="35"/>
        <v>1</v>
      </c>
      <c r="M175" s="248">
        <f t="shared" si="36"/>
        <v>39.133333333333333</v>
      </c>
      <c r="N175" s="15">
        <f t="shared" si="37"/>
        <v>10759770.117652148</v>
      </c>
      <c r="O175" s="248"/>
      <c r="P175" s="15">
        <v>705.6</v>
      </c>
      <c r="Q175" s="105">
        <v>166.28034962148504</v>
      </c>
      <c r="R175" s="30"/>
      <c r="S175" s="15">
        <f t="shared" si="34"/>
        <v>132674390.35180752</v>
      </c>
      <c r="T175" s="48"/>
      <c r="U175"/>
      <c r="V175"/>
      <c r="W175" s="15"/>
      <c r="X175"/>
    </row>
    <row r="176" spans="1:26" x14ac:dyDescent="0.2">
      <c r="A176" s="49">
        <v>43616</v>
      </c>
      <c r="C176" s="15"/>
      <c r="G176" s="132">
        <f>'Weather Analysis '!AA12</f>
        <v>168.09691729323305</v>
      </c>
      <c r="H176" s="132">
        <f>'Weather Analysis '!AA32</f>
        <v>14.639999999999873</v>
      </c>
      <c r="I176" s="10">
        <f t="shared" si="35"/>
        <v>31</v>
      </c>
      <c r="J176" s="10">
        <f t="shared" si="35"/>
        <v>1</v>
      </c>
      <c r="K176" s="10">
        <f t="shared" si="35"/>
        <v>352</v>
      </c>
      <c r="L176" s="10">
        <f t="shared" si="35"/>
        <v>1</v>
      </c>
      <c r="M176" s="248">
        <f t="shared" si="36"/>
        <v>39.133333333333333</v>
      </c>
      <c r="N176" s="15">
        <f t="shared" si="37"/>
        <v>10688381.586809818</v>
      </c>
      <c r="O176" s="248"/>
      <c r="P176" s="15">
        <v>705.6</v>
      </c>
      <c r="Q176" s="105">
        <v>166.55497513779665</v>
      </c>
      <c r="R176" s="30"/>
      <c r="S176" s="15">
        <f t="shared" si="34"/>
        <v>136658195.51927334</v>
      </c>
      <c r="T176" s="48"/>
      <c r="U176"/>
      <c r="V176"/>
      <c r="W176" s="15"/>
      <c r="X176"/>
    </row>
    <row r="177" spans="1:24" x14ac:dyDescent="0.2">
      <c r="A177" s="49">
        <v>43646</v>
      </c>
      <c r="C177" s="15"/>
      <c r="G177" s="132">
        <f>'Weather Analysis '!AA13</f>
        <v>44.168571428571454</v>
      </c>
      <c r="H177" s="132">
        <f>'Weather Analysis '!AA33</f>
        <v>28.525789473684199</v>
      </c>
      <c r="I177" s="10">
        <f t="shared" si="35"/>
        <v>30</v>
      </c>
      <c r="J177" s="10">
        <f t="shared" si="35"/>
        <v>0</v>
      </c>
      <c r="K177" s="10">
        <f t="shared" si="35"/>
        <v>320</v>
      </c>
      <c r="L177" s="10">
        <f t="shared" si="35"/>
        <v>1</v>
      </c>
      <c r="M177" s="248">
        <f t="shared" si="36"/>
        <v>39.133333333333333</v>
      </c>
      <c r="N177" s="15">
        <f t="shared" si="37"/>
        <v>10616993.055967487</v>
      </c>
      <c r="O177" s="248"/>
      <c r="P177" s="15">
        <v>705.6</v>
      </c>
      <c r="Q177" s="105">
        <v>166.83005422047603</v>
      </c>
      <c r="R177" s="30"/>
      <c r="S177" s="15">
        <f t="shared" si="34"/>
        <v>136166582.92594531</v>
      </c>
      <c r="T177" s="48"/>
      <c r="U177"/>
      <c r="V177"/>
      <c r="W177" s="15"/>
      <c r="X177"/>
    </row>
    <row r="178" spans="1:24" x14ac:dyDescent="0.2">
      <c r="A178" s="49">
        <v>43677</v>
      </c>
      <c r="C178" s="15"/>
      <c r="G178" s="132">
        <f>'Weather Analysis '!AA14</f>
        <v>13.884661654135343</v>
      </c>
      <c r="H178" s="132">
        <f>'Weather Analysis '!AA34</f>
        <v>74.357894736842013</v>
      </c>
      <c r="I178" s="10">
        <f t="shared" si="35"/>
        <v>31</v>
      </c>
      <c r="J178" s="10">
        <f t="shared" si="35"/>
        <v>0</v>
      </c>
      <c r="K178" s="10">
        <f t="shared" si="35"/>
        <v>352</v>
      </c>
      <c r="L178" s="10">
        <f t="shared" si="35"/>
        <v>1</v>
      </c>
      <c r="M178" s="248">
        <f t="shared" si="36"/>
        <v>39.133333333333333</v>
      </c>
      <c r="N178" s="15">
        <f t="shared" si="37"/>
        <v>10545604.525125157</v>
      </c>
      <c r="O178" s="248"/>
      <c r="P178" s="15">
        <v>705.6</v>
      </c>
      <c r="Q178" s="105">
        <v>167.1055876186249</v>
      </c>
      <c r="R178" s="30"/>
      <c r="S178" s="15">
        <f t="shared" si="34"/>
        <v>154580157.81201991</v>
      </c>
      <c r="T178" s="48"/>
      <c r="U178"/>
      <c r="V178"/>
      <c r="W178" s="15"/>
      <c r="X178"/>
    </row>
    <row r="179" spans="1:24" x14ac:dyDescent="0.2">
      <c r="A179" s="49">
        <v>43708</v>
      </c>
      <c r="C179" s="15"/>
      <c r="G179" s="132">
        <f>'Weather Analysis '!AA15</f>
        <v>25.054736842105285</v>
      </c>
      <c r="H179" s="132">
        <f>'Weather Analysis '!AA35</f>
        <v>49.661578947368298</v>
      </c>
      <c r="I179" s="10">
        <f t="shared" si="35"/>
        <v>31</v>
      </c>
      <c r="J179" s="10">
        <f t="shared" si="35"/>
        <v>0</v>
      </c>
      <c r="K179" s="10">
        <f t="shared" si="35"/>
        <v>336</v>
      </c>
      <c r="L179" s="10">
        <f t="shared" si="35"/>
        <v>1</v>
      </c>
      <c r="M179" s="248">
        <f t="shared" si="36"/>
        <v>39.133333333333333</v>
      </c>
      <c r="N179" s="15">
        <f t="shared" si="37"/>
        <v>10474215.994282827</v>
      </c>
      <c r="O179" s="248"/>
      <c r="P179" s="15">
        <v>705.6</v>
      </c>
      <c r="Q179" s="105">
        <v>167.3815760825822</v>
      </c>
      <c r="R179" s="30"/>
      <c r="S179" s="15">
        <f t="shared" si="34"/>
        <v>145932756.83905181</v>
      </c>
      <c r="T179" s="48"/>
      <c r="U179"/>
      <c r="V179"/>
      <c r="W179" s="15"/>
      <c r="X179"/>
    </row>
    <row r="180" spans="1:24" x14ac:dyDescent="0.2">
      <c r="A180" s="49">
        <v>43738</v>
      </c>
      <c r="C180" s="49"/>
      <c r="G180" s="132">
        <f>'Weather Analysis '!AA16</f>
        <v>94.78315789473686</v>
      </c>
      <c r="H180" s="132">
        <f>'Weather Analysis '!AA36</f>
        <v>22.606842105263183</v>
      </c>
      <c r="I180" s="10">
        <f t="shared" si="35"/>
        <v>30</v>
      </c>
      <c r="J180" s="10">
        <f t="shared" si="35"/>
        <v>1</v>
      </c>
      <c r="K180" s="10">
        <f t="shared" si="35"/>
        <v>320</v>
      </c>
      <c r="L180" s="10">
        <f t="shared" si="35"/>
        <v>1</v>
      </c>
      <c r="M180" s="248">
        <f t="shared" si="36"/>
        <v>39.133333333333333</v>
      </c>
      <c r="N180" s="15">
        <f t="shared" si="37"/>
        <v>10402827.463440496</v>
      </c>
      <c r="O180" s="248"/>
      <c r="P180" s="15">
        <v>705.6</v>
      </c>
      <c r="Q180" s="105">
        <v>167.65802036392614</v>
      </c>
      <c r="S180" s="15">
        <f t="shared" si="34"/>
        <v>132093325.96829058</v>
      </c>
      <c r="T180" s="48"/>
      <c r="U180"/>
      <c r="V180"/>
      <c r="W180" s="15"/>
      <c r="X180"/>
    </row>
    <row r="181" spans="1:24" x14ac:dyDescent="0.2">
      <c r="A181" s="49">
        <v>43769</v>
      </c>
      <c r="C181" s="49"/>
      <c r="G181" s="132">
        <f>'Weather Analysis '!AA17</f>
        <v>250.08022556391006</v>
      </c>
      <c r="H181" s="132">
        <f>'Weather Analysis '!AA37</f>
        <v>1.2442105263157892</v>
      </c>
      <c r="I181" s="10">
        <f t="shared" si="35"/>
        <v>31</v>
      </c>
      <c r="J181" s="10">
        <f t="shared" si="35"/>
        <v>1</v>
      </c>
      <c r="K181" s="10">
        <f t="shared" si="35"/>
        <v>352</v>
      </c>
      <c r="L181" s="10">
        <f t="shared" si="35"/>
        <v>1</v>
      </c>
      <c r="M181" s="248">
        <f t="shared" si="36"/>
        <v>39.133333333333333</v>
      </c>
      <c r="N181" s="15">
        <f t="shared" si="37"/>
        <v>10331438.932598166</v>
      </c>
      <c r="O181" s="248"/>
      <c r="P181" s="15">
        <v>705.6</v>
      </c>
      <c r="Q181" s="105">
        <v>167.93492121547615</v>
      </c>
      <c r="S181" s="15">
        <f t="shared" si="34"/>
        <v>134524542.34746647</v>
      </c>
      <c r="T181" s="48"/>
      <c r="U181"/>
      <c r="V181"/>
      <c r="W181" s="15"/>
      <c r="X181"/>
    </row>
    <row r="182" spans="1:24" x14ac:dyDescent="0.2">
      <c r="A182" s="49">
        <v>43799</v>
      </c>
      <c r="C182" s="49"/>
      <c r="G182" s="132">
        <f>'Weather Analysis '!AA18</f>
        <v>449.75090225563918</v>
      </c>
      <c r="H182" s="132">
        <f>'Weather Analysis '!AA38</f>
        <v>0</v>
      </c>
      <c r="I182" s="10">
        <f t="shared" si="35"/>
        <v>30</v>
      </c>
      <c r="J182" s="10">
        <f t="shared" si="35"/>
        <v>1</v>
      </c>
      <c r="K182" s="10">
        <f t="shared" si="35"/>
        <v>320</v>
      </c>
      <c r="L182" s="10">
        <f t="shared" si="35"/>
        <v>1</v>
      </c>
      <c r="M182" s="248">
        <f t="shared" si="36"/>
        <v>39.133333333333333</v>
      </c>
      <c r="N182" s="15">
        <f t="shared" si="37"/>
        <v>10260050.401755836</v>
      </c>
      <c r="O182" s="248"/>
      <c r="P182" s="15">
        <v>705.6</v>
      </c>
      <c r="Q182" s="105">
        <v>168.21227939129508</v>
      </c>
      <c r="S182" s="15">
        <f t="shared" si="34"/>
        <v>133560669.91569267</v>
      </c>
      <c r="T182" s="48"/>
      <c r="W182" s="15"/>
      <c r="X182"/>
    </row>
    <row r="183" spans="1:24" x14ac:dyDescent="0.2">
      <c r="A183" s="49">
        <v>43830</v>
      </c>
      <c r="C183" s="49"/>
      <c r="G183" s="132">
        <f>'Weather Analysis '!AA19</f>
        <v>632.64684210526275</v>
      </c>
      <c r="H183" s="132">
        <f>'Weather Analysis '!AA39</f>
        <v>0</v>
      </c>
      <c r="I183" s="10">
        <f t="shared" si="35"/>
        <v>31</v>
      </c>
      <c r="J183" s="10">
        <f t="shared" si="35"/>
        <v>0</v>
      </c>
      <c r="K183" s="10">
        <f t="shared" si="35"/>
        <v>320</v>
      </c>
      <c r="L183" s="10">
        <f t="shared" si="35"/>
        <v>1</v>
      </c>
      <c r="M183" s="248">
        <f t="shared" si="36"/>
        <v>39.133333333333333</v>
      </c>
      <c r="N183" s="15">
        <f t="shared" si="37"/>
        <v>10188661.870913506</v>
      </c>
      <c r="O183" s="248"/>
      <c r="P183" s="15">
        <v>705.6</v>
      </c>
      <c r="Q183" s="105">
        <v>168.49009564669103</v>
      </c>
      <c r="S183" s="15">
        <f t="shared" si="34"/>
        <v>143688699.50216702</v>
      </c>
      <c r="T183" s="48">
        <f>SUM(S172:S183)</f>
        <v>1676017926.8915613</v>
      </c>
      <c r="W183" s="15"/>
      <c r="X183"/>
    </row>
    <row r="184" spans="1:24" x14ac:dyDescent="0.2">
      <c r="A184"/>
    </row>
    <row r="185" spans="1:24" x14ac:dyDescent="0.2">
      <c r="A185"/>
      <c r="B185" s="4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4" x14ac:dyDescent="0.2">
      <c r="A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4" x14ac:dyDescent="0.2">
      <c r="A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4" x14ac:dyDescent="0.2">
      <c r="A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4" x14ac:dyDescent="0.2">
      <c r="A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4" x14ac:dyDescent="0.2">
      <c r="A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4" x14ac:dyDescent="0.2">
      <c r="A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4" x14ac:dyDescent="0.2">
      <c r="A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/>
      <c r="B198"/>
      <c r="C198"/>
      <c r="U198"/>
      <c r="V198"/>
      <c r="W198"/>
      <c r="X198"/>
    </row>
    <row r="199" spans="1:24" x14ac:dyDescent="0.2">
      <c r="A199"/>
      <c r="B199"/>
      <c r="C199"/>
      <c r="U199"/>
      <c r="V199"/>
      <c r="W199"/>
      <c r="X199"/>
    </row>
    <row r="200" spans="1:24" x14ac:dyDescent="0.2">
      <c r="A200"/>
      <c r="B200"/>
      <c r="C200"/>
      <c r="U200"/>
      <c r="V200"/>
      <c r="W200"/>
      <c r="X200"/>
    </row>
    <row r="201" spans="1:24" x14ac:dyDescent="0.2">
      <c r="A201"/>
      <c r="B201"/>
      <c r="C201"/>
      <c r="U201"/>
      <c r="V201"/>
      <c r="W201"/>
      <c r="X201"/>
    </row>
    <row r="202" spans="1:24" x14ac:dyDescent="0.2">
      <c r="A202"/>
      <c r="B202"/>
      <c r="C202"/>
      <c r="U202"/>
      <c r="V202"/>
      <c r="W202"/>
      <c r="X202"/>
    </row>
    <row r="203" spans="1:24" x14ac:dyDescent="0.2">
      <c r="A203"/>
      <c r="B203"/>
      <c r="C203"/>
      <c r="U203"/>
      <c r="V203"/>
      <c r="W203"/>
      <c r="X203"/>
    </row>
    <row r="204" spans="1:24" x14ac:dyDescent="0.2">
      <c r="A204"/>
      <c r="B204"/>
      <c r="C204"/>
      <c r="U204"/>
      <c r="V204"/>
      <c r="W204"/>
      <c r="X204"/>
    </row>
    <row r="205" spans="1:24" x14ac:dyDescent="0.2">
      <c r="A205"/>
      <c r="B205"/>
      <c r="C205"/>
      <c r="U205"/>
      <c r="V205"/>
      <c r="W205"/>
      <c r="X205"/>
    </row>
    <row r="206" spans="1:24" x14ac:dyDescent="0.2">
      <c r="A206"/>
      <c r="B206"/>
      <c r="C206"/>
      <c r="U206"/>
      <c r="V206"/>
      <c r="W206"/>
      <c r="X206"/>
    </row>
    <row r="207" spans="1:24" x14ac:dyDescent="0.2">
      <c r="A207"/>
      <c r="B207"/>
      <c r="C207"/>
      <c r="U207"/>
      <c r="V207"/>
      <c r="W207"/>
      <c r="X207"/>
    </row>
    <row r="208" spans="1:24" x14ac:dyDescent="0.2">
      <c r="A208"/>
      <c r="B208"/>
      <c r="C208"/>
      <c r="U208"/>
      <c r="V208"/>
      <c r="W208"/>
      <c r="X208"/>
    </row>
    <row r="209" spans="1:2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</sheetData>
  <printOptions gridLines="1"/>
  <pageMargins left="0.38" right="0.75" top="0.73" bottom="0.74" header="0.5" footer="0.5"/>
  <pageSetup scale="15" orientation="landscape" r:id="rId1"/>
  <headerFooter alignWithMargins="0">
    <oddFooter>&amp;L&amp;Z&amp;F</oddFooter>
  </headerFooter>
  <ignoredErrors>
    <ignoredError sqref="E152:E160 M123" formulaRange="1"/>
    <ignoredError sqref="M173:M18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B1:J96"/>
  <sheetViews>
    <sheetView workbookViewId="0"/>
  </sheetViews>
  <sheetFormatPr defaultRowHeight="12.75" x14ac:dyDescent="0.2"/>
  <cols>
    <col min="1" max="1" width="11.7109375" customWidth="1"/>
    <col min="2" max="2" width="14" customWidth="1"/>
    <col min="3" max="3" width="16.28515625" customWidth="1"/>
    <col min="4" max="5" width="11.7109375" customWidth="1"/>
    <col min="6" max="6" width="10.7109375" customWidth="1"/>
    <col min="7" max="7" width="14" customWidth="1"/>
    <col min="8" max="8" width="16.28515625" customWidth="1"/>
    <col min="9" max="10" width="11.7109375" customWidth="1"/>
    <col min="11" max="11" width="11.7109375" bestFit="1" customWidth="1"/>
  </cols>
  <sheetData>
    <row r="1" spans="2:10" ht="13.5" thickBot="1" x14ac:dyDescent="0.25"/>
    <row r="2" spans="2:10" ht="13.5" thickBot="1" x14ac:dyDescent="0.25">
      <c r="G2" s="184" t="s">
        <v>166</v>
      </c>
      <c r="H2" s="185"/>
      <c r="I2" s="185"/>
      <c r="J2" s="186"/>
    </row>
    <row r="3" spans="2:10" x14ac:dyDescent="0.2">
      <c r="B3" s="175" t="s">
        <v>164</v>
      </c>
      <c r="C3" s="175" t="s">
        <v>163</v>
      </c>
      <c r="G3" s="187" t="s">
        <v>164</v>
      </c>
      <c r="H3" s="188" t="s">
        <v>163</v>
      </c>
      <c r="I3" s="57"/>
      <c r="J3" s="158"/>
    </row>
    <row r="4" spans="2:10" x14ac:dyDescent="0.2">
      <c r="B4" s="175" t="s">
        <v>161</v>
      </c>
      <c r="C4" t="s">
        <v>158</v>
      </c>
      <c r="D4" t="s">
        <v>146</v>
      </c>
      <c r="E4" t="s">
        <v>162</v>
      </c>
      <c r="G4" s="187" t="s">
        <v>161</v>
      </c>
      <c r="H4" s="57" t="s">
        <v>158</v>
      </c>
      <c r="I4" s="57" t="s">
        <v>146</v>
      </c>
      <c r="J4" s="158" t="s">
        <v>162</v>
      </c>
    </row>
    <row r="5" spans="2:10" x14ac:dyDescent="0.2">
      <c r="B5" s="40">
        <v>2006</v>
      </c>
      <c r="C5" s="176">
        <v>10983655.91</v>
      </c>
      <c r="D5" s="176">
        <v>28895186.34</v>
      </c>
      <c r="E5" s="176">
        <v>39878842.25</v>
      </c>
      <c r="G5" s="189">
        <v>2006</v>
      </c>
      <c r="H5" s="190">
        <v>10983655.91</v>
      </c>
      <c r="I5" s="190">
        <v>28895186.34</v>
      </c>
      <c r="J5" s="191">
        <v>39878842.25</v>
      </c>
    </row>
    <row r="6" spans="2:10" x14ac:dyDescent="0.2">
      <c r="B6" s="177">
        <v>1</v>
      </c>
      <c r="C6" s="176">
        <v>652776.65</v>
      </c>
      <c r="D6" s="176">
        <v>2352629.7799999998</v>
      </c>
      <c r="E6" s="176">
        <v>3005406.4299999997</v>
      </c>
      <c r="G6" s="192">
        <v>1</v>
      </c>
      <c r="H6" s="190">
        <v>652776.65</v>
      </c>
      <c r="I6" s="190">
        <v>2352629.7799999998</v>
      </c>
      <c r="J6" s="191">
        <v>3005406.4299999997</v>
      </c>
    </row>
    <row r="7" spans="2:10" x14ac:dyDescent="0.2">
      <c r="B7" s="177">
        <v>2</v>
      </c>
      <c r="C7" s="176">
        <v>561230.96</v>
      </c>
      <c r="D7" s="176">
        <v>2111513.52</v>
      </c>
      <c r="E7" s="176">
        <v>2672744.48</v>
      </c>
      <c r="G7" s="192">
        <v>2</v>
      </c>
      <c r="H7" s="190">
        <v>561230.96</v>
      </c>
      <c r="I7" s="190">
        <v>2111513.52</v>
      </c>
      <c r="J7" s="191">
        <v>2672744.48</v>
      </c>
    </row>
    <row r="8" spans="2:10" x14ac:dyDescent="0.2">
      <c r="B8" s="177">
        <v>3</v>
      </c>
      <c r="C8" s="176">
        <v>662890.46</v>
      </c>
      <c r="D8" s="176">
        <v>2336512.73</v>
      </c>
      <c r="E8" s="176">
        <v>2999403.19</v>
      </c>
      <c r="G8" s="192">
        <v>3</v>
      </c>
      <c r="H8" s="190">
        <v>662890.46</v>
      </c>
      <c r="I8" s="190">
        <v>2336512.73</v>
      </c>
      <c r="J8" s="191">
        <v>2999403.19</v>
      </c>
    </row>
    <row r="9" spans="2:10" x14ac:dyDescent="0.2">
      <c r="B9" s="177">
        <v>4</v>
      </c>
      <c r="C9" s="176">
        <v>657244.67999999993</v>
      </c>
      <c r="D9" s="176">
        <v>2282493.7000000002</v>
      </c>
      <c r="E9" s="176">
        <v>2939738.38</v>
      </c>
      <c r="G9" s="192">
        <v>4</v>
      </c>
      <c r="H9" s="190">
        <v>657244.67999999993</v>
      </c>
      <c r="I9" s="190">
        <v>2282493.7000000002</v>
      </c>
      <c r="J9" s="191">
        <v>2939738.38</v>
      </c>
    </row>
    <row r="10" spans="2:10" x14ac:dyDescent="0.2">
      <c r="B10" s="177">
        <v>5</v>
      </c>
      <c r="C10" s="176">
        <v>927719.11</v>
      </c>
      <c r="D10" s="176">
        <v>2496581.63</v>
      </c>
      <c r="E10" s="176">
        <v>3424300.7399999998</v>
      </c>
      <c r="G10" s="192">
        <v>5</v>
      </c>
      <c r="H10" s="190">
        <v>927719.11</v>
      </c>
      <c r="I10" s="190">
        <v>2496581.63</v>
      </c>
      <c r="J10" s="191">
        <v>3424300.7399999998</v>
      </c>
    </row>
    <row r="11" spans="2:10" x14ac:dyDescent="0.2">
      <c r="B11" s="177">
        <v>6</v>
      </c>
      <c r="C11" s="176">
        <v>1116678.9100000001</v>
      </c>
      <c r="D11" s="176">
        <v>2557542.91</v>
      </c>
      <c r="E11" s="176">
        <v>3674221.8200000003</v>
      </c>
      <c r="G11" s="192">
        <v>6</v>
      </c>
      <c r="H11" s="190">
        <v>1116678.9100000001</v>
      </c>
      <c r="I11" s="190">
        <v>2557542.91</v>
      </c>
      <c r="J11" s="191">
        <v>3674221.8200000003</v>
      </c>
    </row>
    <row r="12" spans="2:10" x14ac:dyDescent="0.2">
      <c r="B12" s="177">
        <v>7</v>
      </c>
      <c r="C12" s="176">
        <v>1203425.8900000001</v>
      </c>
      <c r="D12" s="176">
        <v>2820256.11</v>
      </c>
      <c r="E12" s="176">
        <v>4023682</v>
      </c>
      <c r="G12" s="192">
        <v>7</v>
      </c>
      <c r="H12" s="190">
        <v>1203425.8900000001</v>
      </c>
      <c r="I12" s="190">
        <v>2820256.11</v>
      </c>
      <c r="J12" s="191">
        <v>4023682</v>
      </c>
    </row>
    <row r="13" spans="2:10" x14ac:dyDescent="0.2">
      <c r="B13" s="177">
        <v>8</v>
      </c>
      <c r="C13" s="176">
        <v>1172014.6299999999</v>
      </c>
      <c r="D13" s="176">
        <v>2676935.79</v>
      </c>
      <c r="E13" s="176">
        <v>3848950.42</v>
      </c>
      <c r="G13" s="192">
        <v>8</v>
      </c>
      <c r="H13" s="190">
        <v>1172014.6299999999</v>
      </c>
      <c r="I13" s="190">
        <v>2676935.79</v>
      </c>
      <c r="J13" s="191">
        <v>3848950.42</v>
      </c>
    </row>
    <row r="14" spans="2:10" x14ac:dyDescent="0.2">
      <c r="B14" s="177">
        <v>9</v>
      </c>
      <c r="C14" s="176">
        <v>1047357.85</v>
      </c>
      <c r="D14" s="176">
        <v>2425889.27</v>
      </c>
      <c r="E14" s="176">
        <v>3473247.12</v>
      </c>
      <c r="G14" s="192">
        <v>9</v>
      </c>
      <c r="H14" s="190">
        <v>1047357.85</v>
      </c>
      <c r="I14" s="190">
        <v>2425889.27</v>
      </c>
      <c r="J14" s="191">
        <v>3473247.12</v>
      </c>
    </row>
    <row r="15" spans="2:10" x14ac:dyDescent="0.2">
      <c r="B15" s="177">
        <v>10</v>
      </c>
      <c r="C15" s="176">
        <v>1009860.3200000001</v>
      </c>
      <c r="D15" s="176">
        <v>2369985.73</v>
      </c>
      <c r="E15" s="176">
        <v>3379846.05</v>
      </c>
      <c r="G15" s="192">
        <v>10</v>
      </c>
      <c r="H15" s="190">
        <v>1009860.3200000001</v>
      </c>
      <c r="I15" s="190">
        <v>2369985.73</v>
      </c>
      <c r="J15" s="191">
        <v>3379846.05</v>
      </c>
    </row>
    <row r="16" spans="2:10" x14ac:dyDescent="0.2">
      <c r="B16" s="177">
        <v>11</v>
      </c>
      <c r="C16" s="176">
        <v>975918.23</v>
      </c>
      <c r="D16" s="176">
        <v>2209706.0699999998</v>
      </c>
      <c r="E16" s="176">
        <v>3185624.3</v>
      </c>
      <c r="G16" s="192">
        <v>11</v>
      </c>
      <c r="H16" s="190">
        <v>975918.23</v>
      </c>
      <c r="I16" s="190">
        <v>2209706.0699999998</v>
      </c>
      <c r="J16" s="191">
        <v>3185624.3</v>
      </c>
    </row>
    <row r="17" spans="2:10" x14ac:dyDescent="0.2">
      <c r="B17" s="177">
        <v>12</v>
      </c>
      <c r="C17" s="176">
        <v>996538.22</v>
      </c>
      <c r="D17" s="176">
        <v>2255139.1</v>
      </c>
      <c r="E17" s="176">
        <v>3251677.3200000003</v>
      </c>
      <c r="G17" s="192">
        <v>12</v>
      </c>
      <c r="H17" s="190">
        <v>996538.22</v>
      </c>
      <c r="I17" s="190">
        <v>2255139.1</v>
      </c>
      <c r="J17" s="191">
        <v>3251677.3200000003</v>
      </c>
    </row>
    <row r="18" spans="2:10" x14ac:dyDescent="0.2">
      <c r="B18" s="40">
        <v>2007</v>
      </c>
      <c r="C18" s="176">
        <v>12658522.370000001</v>
      </c>
      <c r="D18" s="176">
        <v>28728216.75</v>
      </c>
      <c r="E18" s="176">
        <v>41386739.119999997</v>
      </c>
      <c r="G18" s="189">
        <v>2007</v>
      </c>
      <c r="H18" s="190">
        <v>12658522.370000001</v>
      </c>
      <c r="I18" s="190">
        <v>28728216.75</v>
      </c>
      <c r="J18" s="191">
        <v>41386739.119999997</v>
      </c>
    </row>
    <row r="19" spans="2:10" x14ac:dyDescent="0.2">
      <c r="B19" s="177">
        <v>1</v>
      </c>
      <c r="C19" s="176">
        <v>986345.73</v>
      </c>
      <c r="D19" s="176">
        <v>2251091.42</v>
      </c>
      <c r="E19" s="176">
        <v>3237437.15</v>
      </c>
      <c r="G19" s="192">
        <v>1</v>
      </c>
      <c r="H19" s="190">
        <v>986345.73</v>
      </c>
      <c r="I19" s="190">
        <v>2251091.42</v>
      </c>
      <c r="J19" s="191">
        <v>3237437.15</v>
      </c>
    </row>
    <row r="20" spans="2:10" x14ac:dyDescent="0.2">
      <c r="B20" s="177">
        <v>2</v>
      </c>
      <c r="C20" s="176">
        <v>886214.18000000017</v>
      </c>
      <c r="D20" s="176">
        <v>2016992.14</v>
      </c>
      <c r="E20" s="176">
        <v>2903206.3200000003</v>
      </c>
      <c r="G20" s="192">
        <v>2</v>
      </c>
      <c r="H20" s="190">
        <v>886214.18000000017</v>
      </c>
      <c r="I20" s="190">
        <v>2016992.14</v>
      </c>
      <c r="J20" s="191">
        <v>2903206.3200000003</v>
      </c>
    </row>
    <row r="21" spans="2:10" x14ac:dyDescent="0.2">
      <c r="B21" s="177">
        <v>3</v>
      </c>
      <c r="C21" s="176">
        <v>988850.3600000001</v>
      </c>
      <c r="D21" s="176">
        <v>2301318.81</v>
      </c>
      <c r="E21" s="176">
        <v>3290169.17</v>
      </c>
      <c r="G21" s="192">
        <v>3</v>
      </c>
      <c r="H21" s="190">
        <v>988850.3600000001</v>
      </c>
      <c r="I21" s="190">
        <v>2301318.81</v>
      </c>
      <c r="J21" s="191">
        <v>3290169.17</v>
      </c>
    </row>
    <row r="22" spans="2:10" x14ac:dyDescent="0.2">
      <c r="B22" s="177">
        <v>4</v>
      </c>
      <c r="C22" s="176">
        <v>975433.52</v>
      </c>
      <c r="D22" s="176">
        <v>2216954.69</v>
      </c>
      <c r="E22" s="176">
        <v>3192388.21</v>
      </c>
      <c r="G22" s="192">
        <v>4</v>
      </c>
      <c r="H22" s="190">
        <v>975433.52</v>
      </c>
      <c r="I22" s="190">
        <v>2216954.69</v>
      </c>
      <c r="J22" s="191">
        <v>3192388.21</v>
      </c>
    </row>
    <row r="23" spans="2:10" x14ac:dyDescent="0.2">
      <c r="B23" s="177">
        <v>5</v>
      </c>
      <c r="C23" s="176">
        <v>1096851.94</v>
      </c>
      <c r="D23" s="176">
        <v>2383481.1</v>
      </c>
      <c r="E23" s="176">
        <v>3480333.04</v>
      </c>
      <c r="G23" s="192">
        <v>5</v>
      </c>
      <c r="H23" s="190">
        <v>1096851.94</v>
      </c>
      <c r="I23" s="190">
        <v>2383481.1</v>
      </c>
      <c r="J23" s="191">
        <v>3480333.04</v>
      </c>
    </row>
    <row r="24" spans="2:10" x14ac:dyDescent="0.2">
      <c r="B24" s="177">
        <v>6</v>
      </c>
      <c r="C24" s="176">
        <v>1158494.74</v>
      </c>
      <c r="D24" s="176">
        <v>2564032.9300000002</v>
      </c>
      <c r="E24" s="176">
        <v>3722527.67</v>
      </c>
      <c r="G24" s="192">
        <v>6</v>
      </c>
      <c r="H24" s="190">
        <v>1158494.74</v>
      </c>
      <c r="I24" s="190">
        <v>2564032.9300000002</v>
      </c>
      <c r="J24" s="191">
        <v>3722527.67</v>
      </c>
    </row>
    <row r="25" spans="2:10" x14ac:dyDescent="0.2">
      <c r="B25" s="177">
        <v>7</v>
      </c>
      <c r="C25" s="176">
        <v>1151661.77</v>
      </c>
      <c r="D25" s="176">
        <v>2653374.13</v>
      </c>
      <c r="E25" s="176">
        <v>3805035.9</v>
      </c>
      <c r="G25" s="192">
        <v>7</v>
      </c>
      <c r="H25" s="190">
        <v>1151661.77</v>
      </c>
      <c r="I25" s="190">
        <v>2653374.13</v>
      </c>
      <c r="J25" s="191">
        <v>3805035.9</v>
      </c>
    </row>
    <row r="26" spans="2:10" x14ac:dyDescent="0.2">
      <c r="B26" s="177">
        <v>8</v>
      </c>
      <c r="C26" s="176">
        <v>1191437.76</v>
      </c>
      <c r="D26" s="176">
        <v>2770716.71</v>
      </c>
      <c r="E26" s="176">
        <v>3962154.4699999997</v>
      </c>
      <c r="G26" s="192">
        <v>8</v>
      </c>
      <c r="H26" s="190">
        <v>1191437.76</v>
      </c>
      <c r="I26" s="190">
        <v>2770716.71</v>
      </c>
      <c r="J26" s="191">
        <v>3962154.4699999997</v>
      </c>
    </row>
    <row r="27" spans="2:10" x14ac:dyDescent="0.2">
      <c r="B27" s="177">
        <v>9</v>
      </c>
      <c r="C27" s="176">
        <v>1106190.92</v>
      </c>
      <c r="D27" s="176">
        <v>2535396.9700000002</v>
      </c>
      <c r="E27" s="176">
        <v>3641587.89</v>
      </c>
      <c r="G27" s="192">
        <v>9</v>
      </c>
      <c r="H27" s="190">
        <v>1106190.92</v>
      </c>
      <c r="I27" s="190">
        <v>2535396.9700000002</v>
      </c>
      <c r="J27" s="191">
        <v>3641587.89</v>
      </c>
    </row>
    <row r="28" spans="2:10" x14ac:dyDescent="0.2">
      <c r="B28" s="177">
        <v>10</v>
      </c>
      <c r="C28" s="176">
        <v>1099430.3999999999</v>
      </c>
      <c r="D28" s="176">
        <v>2509946.52</v>
      </c>
      <c r="E28" s="176">
        <v>3609376.92</v>
      </c>
      <c r="G28" s="192">
        <v>10</v>
      </c>
      <c r="H28" s="190">
        <v>1099430.3999999999</v>
      </c>
      <c r="I28" s="190">
        <v>2509946.52</v>
      </c>
      <c r="J28" s="191">
        <v>3609376.92</v>
      </c>
    </row>
    <row r="29" spans="2:10" x14ac:dyDescent="0.2">
      <c r="B29" s="177">
        <v>11</v>
      </c>
      <c r="C29" s="176">
        <v>992246.33000000007</v>
      </c>
      <c r="D29" s="176">
        <v>2250196</v>
      </c>
      <c r="E29" s="176">
        <v>3242442.33</v>
      </c>
      <c r="G29" s="192">
        <v>11</v>
      </c>
      <c r="H29" s="190">
        <v>992246.33000000007</v>
      </c>
      <c r="I29" s="190">
        <v>2250196</v>
      </c>
      <c r="J29" s="191">
        <v>3242442.33</v>
      </c>
    </row>
    <row r="30" spans="2:10" x14ac:dyDescent="0.2">
      <c r="B30" s="177">
        <v>12</v>
      </c>
      <c r="C30" s="176">
        <v>1025364.72</v>
      </c>
      <c r="D30" s="176">
        <v>2274715.33</v>
      </c>
      <c r="E30" s="176">
        <v>3300080.05</v>
      </c>
      <c r="G30" s="192">
        <v>12</v>
      </c>
      <c r="H30" s="190">
        <v>1025364.72</v>
      </c>
      <c r="I30" s="190">
        <v>2274715.33</v>
      </c>
      <c r="J30" s="191">
        <v>3300080.05</v>
      </c>
    </row>
    <row r="31" spans="2:10" x14ac:dyDescent="0.2">
      <c r="B31" s="40">
        <v>2008</v>
      </c>
      <c r="C31" s="176">
        <v>12753302.910000002</v>
      </c>
      <c r="D31" s="176">
        <v>28852451.160000004</v>
      </c>
      <c r="E31" s="176">
        <v>41605754.07</v>
      </c>
      <c r="G31" s="189">
        <v>2008</v>
      </c>
      <c r="H31" s="190">
        <v>12753302.910000002</v>
      </c>
      <c r="I31" s="190">
        <v>28852451.160000004</v>
      </c>
      <c r="J31" s="191">
        <v>41605754.07</v>
      </c>
    </row>
    <row r="32" spans="2:10" x14ac:dyDescent="0.2">
      <c r="B32" s="177">
        <v>1</v>
      </c>
      <c r="C32" s="176">
        <v>1017042.25</v>
      </c>
      <c r="D32" s="176">
        <v>2302524.36</v>
      </c>
      <c r="E32" s="176">
        <v>3319566.61</v>
      </c>
      <c r="G32" s="192">
        <v>1</v>
      </c>
      <c r="H32" s="190">
        <v>1017042.25</v>
      </c>
      <c r="I32" s="190">
        <v>2302524.36</v>
      </c>
      <c r="J32" s="191">
        <v>3319566.61</v>
      </c>
    </row>
    <row r="33" spans="2:10" x14ac:dyDescent="0.2">
      <c r="B33" s="177">
        <v>2</v>
      </c>
      <c r="C33" s="176">
        <v>929790.98</v>
      </c>
      <c r="D33" s="176">
        <v>2098246.88</v>
      </c>
      <c r="E33" s="176">
        <v>3028037.86</v>
      </c>
      <c r="G33" s="192">
        <v>2</v>
      </c>
      <c r="H33" s="190">
        <v>929790.98</v>
      </c>
      <c r="I33" s="190">
        <v>2098246.88</v>
      </c>
      <c r="J33" s="191">
        <v>3028037.86</v>
      </c>
    </row>
    <row r="34" spans="2:10" x14ac:dyDescent="0.2">
      <c r="B34" s="177">
        <v>3</v>
      </c>
      <c r="C34" s="176">
        <v>987893.02</v>
      </c>
      <c r="D34" s="176">
        <v>2226410.83</v>
      </c>
      <c r="E34" s="176">
        <v>3214303.85</v>
      </c>
      <c r="G34" s="192">
        <v>3</v>
      </c>
      <c r="H34" s="190">
        <v>987893.02</v>
      </c>
      <c r="I34" s="190">
        <v>2226410.83</v>
      </c>
      <c r="J34" s="191">
        <v>3214303.85</v>
      </c>
    </row>
    <row r="35" spans="2:10" x14ac:dyDescent="0.2">
      <c r="B35" s="177">
        <v>4</v>
      </c>
      <c r="C35" s="176">
        <v>1015647.5700000001</v>
      </c>
      <c r="D35" s="176">
        <v>2254963.5299999998</v>
      </c>
      <c r="E35" s="176">
        <v>3270611.0999999996</v>
      </c>
      <c r="G35" s="192">
        <v>4</v>
      </c>
      <c r="H35" s="190">
        <v>1015647.5700000001</v>
      </c>
      <c r="I35" s="190">
        <v>2254963.5299999998</v>
      </c>
      <c r="J35" s="191">
        <v>3270611.0999999996</v>
      </c>
    </row>
    <row r="36" spans="2:10" x14ac:dyDescent="0.2">
      <c r="B36" s="177">
        <v>5</v>
      </c>
      <c r="C36" s="176">
        <v>1064061.3</v>
      </c>
      <c r="D36" s="176">
        <v>2401306.35</v>
      </c>
      <c r="E36" s="176">
        <v>3465367.6500000004</v>
      </c>
      <c r="G36" s="192">
        <v>5</v>
      </c>
      <c r="H36" s="190">
        <v>1064061.3</v>
      </c>
      <c r="I36" s="190">
        <v>2401306.35</v>
      </c>
      <c r="J36" s="191">
        <v>3465367.6500000004</v>
      </c>
    </row>
    <row r="37" spans="2:10" x14ac:dyDescent="0.2">
      <c r="B37" s="177">
        <v>6</v>
      </c>
      <c r="C37" s="176">
        <v>1158591.1599999999</v>
      </c>
      <c r="D37" s="176">
        <v>2550283.7200000002</v>
      </c>
      <c r="E37" s="176">
        <v>3708874.88</v>
      </c>
      <c r="G37" s="192">
        <v>6</v>
      </c>
      <c r="H37" s="190">
        <v>1158591.1599999999</v>
      </c>
      <c r="I37" s="190">
        <v>2550283.7200000002</v>
      </c>
      <c r="J37" s="191">
        <v>3708874.88</v>
      </c>
    </row>
    <row r="38" spans="2:10" x14ac:dyDescent="0.2">
      <c r="B38" s="177">
        <v>7</v>
      </c>
      <c r="C38" s="176">
        <v>1216029.9300000002</v>
      </c>
      <c r="D38" s="176">
        <v>2718027.7</v>
      </c>
      <c r="E38" s="176">
        <v>3934057.6300000004</v>
      </c>
      <c r="G38" s="192">
        <v>7</v>
      </c>
      <c r="H38" s="190">
        <v>1216029.9300000002</v>
      </c>
      <c r="I38" s="190">
        <v>2718027.7</v>
      </c>
      <c r="J38" s="191">
        <v>3934057.6300000004</v>
      </c>
    </row>
    <row r="39" spans="2:10" x14ac:dyDescent="0.2">
      <c r="B39" s="177">
        <v>8</v>
      </c>
      <c r="C39" s="176">
        <v>1159348.76</v>
      </c>
      <c r="D39" s="176">
        <v>2691122.83</v>
      </c>
      <c r="E39" s="176">
        <v>3850471.59</v>
      </c>
      <c r="G39" s="192">
        <v>8</v>
      </c>
      <c r="H39" s="190">
        <v>1159348.76</v>
      </c>
      <c r="I39" s="190">
        <v>2691122.83</v>
      </c>
      <c r="J39" s="191">
        <v>3850471.59</v>
      </c>
    </row>
    <row r="40" spans="2:10" x14ac:dyDescent="0.2">
      <c r="B40" s="177">
        <v>9</v>
      </c>
      <c r="C40" s="176">
        <v>1108848.43</v>
      </c>
      <c r="D40" s="176">
        <v>2516322.0299999998</v>
      </c>
      <c r="E40" s="176">
        <v>3625170.46</v>
      </c>
      <c r="G40" s="192">
        <v>9</v>
      </c>
      <c r="H40" s="190">
        <v>1108848.43</v>
      </c>
      <c r="I40" s="190">
        <v>2516322.0299999998</v>
      </c>
      <c r="J40" s="191">
        <v>3625170.46</v>
      </c>
    </row>
    <row r="41" spans="2:10" x14ac:dyDescent="0.2">
      <c r="B41" s="177">
        <v>10</v>
      </c>
      <c r="C41" s="176">
        <v>1050115.55</v>
      </c>
      <c r="D41" s="176">
        <v>2431597.2000000002</v>
      </c>
      <c r="E41" s="176">
        <v>3481712.75</v>
      </c>
      <c r="G41" s="192">
        <v>10</v>
      </c>
      <c r="H41" s="190">
        <v>1050115.55</v>
      </c>
      <c r="I41" s="190">
        <v>2431597.2000000002</v>
      </c>
      <c r="J41" s="191">
        <v>3481712.75</v>
      </c>
    </row>
    <row r="42" spans="2:10" x14ac:dyDescent="0.2">
      <c r="B42" s="177">
        <v>11</v>
      </c>
      <c r="C42" s="176">
        <v>1003846.99</v>
      </c>
      <c r="D42" s="176">
        <v>2295109.1</v>
      </c>
      <c r="E42" s="176">
        <v>3298956.09</v>
      </c>
      <c r="G42" s="192">
        <v>11</v>
      </c>
      <c r="H42" s="190">
        <v>1003846.99</v>
      </c>
      <c r="I42" s="190">
        <v>2295109.1</v>
      </c>
      <c r="J42" s="191">
        <v>3298956.09</v>
      </c>
    </row>
    <row r="43" spans="2:10" x14ac:dyDescent="0.2">
      <c r="B43" s="177">
        <v>12</v>
      </c>
      <c r="C43" s="176">
        <v>1042086.97</v>
      </c>
      <c r="D43" s="176">
        <v>2366536.63</v>
      </c>
      <c r="E43" s="176">
        <v>3408623.5999999996</v>
      </c>
      <c r="G43" s="192">
        <v>12</v>
      </c>
      <c r="H43" s="190">
        <v>1042086.97</v>
      </c>
      <c r="I43" s="190">
        <v>2366536.63</v>
      </c>
      <c r="J43" s="191">
        <v>3408623.5999999996</v>
      </c>
    </row>
    <row r="44" spans="2:10" x14ac:dyDescent="0.2">
      <c r="B44" s="40">
        <v>2009</v>
      </c>
      <c r="C44" s="176">
        <v>12766388.01</v>
      </c>
      <c r="D44" s="176">
        <v>28944838.669999998</v>
      </c>
      <c r="E44" s="176">
        <v>41711226.68</v>
      </c>
      <c r="G44" s="189">
        <v>2009</v>
      </c>
      <c r="H44" s="190">
        <v>12766388.01</v>
      </c>
      <c r="I44" s="190">
        <v>28944838.669999998</v>
      </c>
      <c r="J44" s="191">
        <v>41711226.68</v>
      </c>
    </row>
    <row r="45" spans="2:10" x14ac:dyDescent="0.2">
      <c r="B45" s="177">
        <v>1</v>
      </c>
      <c r="C45" s="176">
        <v>1020621.25</v>
      </c>
      <c r="D45" s="176">
        <v>2278971.1</v>
      </c>
      <c r="E45" s="176">
        <v>3299592.35</v>
      </c>
      <c r="G45" s="192">
        <v>1</v>
      </c>
      <c r="H45" s="190">
        <v>1020621.25</v>
      </c>
      <c r="I45" s="190">
        <v>2278971.1</v>
      </c>
      <c r="J45" s="191">
        <v>3299592.35</v>
      </c>
    </row>
    <row r="46" spans="2:10" x14ac:dyDescent="0.2">
      <c r="B46" s="177">
        <v>2</v>
      </c>
      <c r="C46" s="176">
        <v>924348.58000000007</v>
      </c>
      <c r="D46" s="176">
        <v>2108440.7599999998</v>
      </c>
      <c r="E46" s="176">
        <v>3032789.34</v>
      </c>
      <c r="G46" s="192">
        <v>2</v>
      </c>
      <c r="H46" s="190">
        <v>924348.58000000007</v>
      </c>
      <c r="I46" s="190">
        <v>2108440.7599999998</v>
      </c>
      <c r="J46" s="191">
        <v>3032789.34</v>
      </c>
    </row>
    <row r="47" spans="2:10" x14ac:dyDescent="0.2">
      <c r="B47" s="177">
        <v>3</v>
      </c>
      <c r="C47" s="176">
        <v>1025895.6400000001</v>
      </c>
      <c r="D47" s="176">
        <v>2411364.08</v>
      </c>
      <c r="E47" s="176">
        <v>3437259.72</v>
      </c>
      <c r="G47" s="192">
        <v>3</v>
      </c>
      <c r="H47" s="190">
        <v>1025895.6400000001</v>
      </c>
      <c r="I47" s="190">
        <v>2411364.08</v>
      </c>
      <c r="J47" s="191">
        <v>3437259.72</v>
      </c>
    </row>
    <row r="48" spans="2:10" x14ac:dyDescent="0.2">
      <c r="B48" s="177">
        <v>4</v>
      </c>
      <c r="C48" s="176">
        <v>1012638.71</v>
      </c>
      <c r="D48" s="176">
        <v>2326534.0499999998</v>
      </c>
      <c r="E48" s="176">
        <v>3339172.76</v>
      </c>
      <c r="G48" s="192">
        <v>4</v>
      </c>
      <c r="H48" s="190">
        <v>1012638.71</v>
      </c>
      <c r="I48" s="190">
        <v>2326534.0499999998</v>
      </c>
      <c r="J48" s="191">
        <v>3339172.76</v>
      </c>
    </row>
    <row r="49" spans="2:10" x14ac:dyDescent="0.2">
      <c r="B49" s="177">
        <v>5</v>
      </c>
      <c r="C49" s="176">
        <v>1091644.27</v>
      </c>
      <c r="D49" s="176">
        <v>2504926.83</v>
      </c>
      <c r="E49" s="176">
        <v>3596571.1</v>
      </c>
      <c r="G49" s="192">
        <v>5</v>
      </c>
      <c r="H49" s="190">
        <v>1091644.27</v>
      </c>
      <c r="I49" s="190">
        <v>2504926.83</v>
      </c>
      <c r="J49" s="191">
        <v>3596571.1</v>
      </c>
    </row>
    <row r="50" spans="2:10" x14ac:dyDescent="0.2">
      <c r="B50" s="177">
        <v>6</v>
      </c>
      <c r="C50" s="176">
        <v>1132126.5</v>
      </c>
      <c r="D50" s="176">
        <v>2490087.52</v>
      </c>
      <c r="E50" s="176">
        <v>3622214.02</v>
      </c>
      <c r="G50" s="192">
        <v>6</v>
      </c>
      <c r="H50" s="190">
        <v>1132126.5</v>
      </c>
      <c r="I50" s="190">
        <v>2490087.52</v>
      </c>
      <c r="J50" s="191">
        <v>3622214.02</v>
      </c>
    </row>
    <row r="51" spans="2:10" x14ac:dyDescent="0.2">
      <c r="B51" s="177">
        <v>7</v>
      </c>
      <c r="C51" s="176">
        <v>1176945.01</v>
      </c>
      <c r="D51" s="176">
        <v>2575656.87</v>
      </c>
      <c r="E51" s="176">
        <v>3752601.88</v>
      </c>
      <c r="G51" s="192">
        <v>7</v>
      </c>
      <c r="H51" s="190">
        <v>1176945.01</v>
      </c>
      <c r="I51" s="190">
        <v>2575656.87</v>
      </c>
      <c r="J51" s="191">
        <v>3752601.88</v>
      </c>
    </row>
    <row r="52" spans="2:10" x14ac:dyDescent="0.2">
      <c r="B52" s="177">
        <v>8</v>
      </c>
      <c r="C52" s="176">
        <v>1203543.79</v>
      </c>
      <c r="D52" s="176">
        <v>2637078.38</v>
      </c>
      <c r="E52" s="176">
        <v>3840622.17</v>
      </c>
      <c r="G52" s="192">
        <v>8</v>
      </c>
      <c r="H52" s="190">
        <v>1203543.79</v>
      </c>
      <c r="I52" s="190">
        <v>2637078.38</v>
      </c>
      <c r="J52" s="191">
        <v>3840622.17</v>
      </c>
    </row>
    <row r="53" spans="2:10" x14ac:dyDescent="0.2">
      <c r="B53" s="177">
        <v>9</v>
      </c>
      <c r="C53" s="176">
        <v>1097844.48</v>
      </c>
      <c r="D53" s="176">
        <v>2473082.14</v>
      </c>
      <c r="E53" s="176">
        <v>3570926.62</v>
      </c>
      <c r="G53" s="192">
        <v>9</v>
      </c>
      <c r="H53" s="190">
        <v>1097844.48</v>
      </c>
      <c r="I53" s="190">
        <v>2473082.14</v>
      </c>
      <c r="J53" s="191">
        <v>3570926.62</v>
      </c>
    </row>
    <row r="54" spans="2:10" x14ac:dyDescent="0.2">
      <c r="B54" s="177">
        <v>10</v>
      </c>
      <c r="C54" s="176">
        <v>1053868.01</v>
      </c>
      <c r="D54" s="176">
        <v>2436162.34</v>
      </c>
      <c r="E54" s="176">
        <v>3490030.3499999996</v>
      </c>
      <c r="G54" s="192">
        <v>10</v>
      </c>
      <c r="H54" s="190">
        <v>1053868.01</v>
      </c>
      <c r="I54" s="190">
        <v>2436162.34</v>
      </c>
      <c r="J54" s="191">
        <v>3490030.3499999996</v>
      </c>
    </row>
    <row r="55" spans="2:10" x14ac:dyDescent="0.2">
      <c r="B55" s="177">
        <v>11</v>
      </c>
      <c r="C55" s="176">
        <v>1013487.3499999999</v>
      </c>
      <c r="D55" s="176">
        <v>2354430.6</v>
      </c>
      <c r="E55" s="176">
        <v>3367917.95</v>
      </c>
      <c r="G55" s="192">
        <v>11</v>
      </c>
      <c r="H55" s="190">
        <v>1013487.3499999999</v>
      </c>
      <c r="I55" s="190">
        <v>2354430.6</v>
      </c>
      <c r="J55" s="191">
        <v>3367917.95</v>
      </c>
    </row>
    <row r="56" spans="2:10" x14ac:dyDescent="0.2">
      <c r="B56" s="177">
        <v>12</v>
      </c>
      <c r="C56" s="176">
        <v>1013424.42</v>
      </c>
      <c r="D56" s="176">
        <v>2348104</v>
      </c>
      <c r="E56" s="176">
        <v>3361528.42</v>
      </c>
      <c r="G56" s="192">
        <v>12</v>
      </c>
      <c r="H56" s="190">
        <v>1013424.42</v>
      </c>
      <c r="I56" s="190">
        <v>2348104</v>
      </c>
      <c r="J56" s="191">
        <v>3361528.42</v>
      </c>
    </row>
    <row r="57" spans="2:10" x14ac:dyDescent="0.2">
      <c r="B57" s="40">
        <v>2010</v>
      </c>
      <c r="C57" s="176">
        <v>13074528.029999999</v>
      </c>
      <c r="D57" s="176">
        <v>29602310.529999997</v>
      </c>
      <c r="E57" s="176">
        <v>42676838.560000002</v>
      </c>
      <c r="G57" s="189">
        <v>2010</v>
      </c>
      <c r="H57" s="190">
        <v>13074528.029999999</v>
      </c>
      <c r="I57" s="190">
        <v>29602310.529999997</v>
      </c>
      <c r="J57" s="191">
        <v>42676838.560000002</v>
      </c>
    </row>
    <row r="58" spans="2:10" x14ac:dyDescent="0.2">
      <c r="B58" s="177">
        <v>1</v>
      </c>
      <c r="C58" s="176">
        <v>997111.48</v>
      </c>
      <c r="D58" s="176">
        <v>2350374.13</v>
      </c>
      <c r="E58" s="176">
        <v>3347485.61</v>
      </c>
      <c r="G58" s="192">
        <v>1</v>
      </c>
      <c r="H58" s="190">
        <v>997111.48</v>
      </c>
      <c r="I58" s="190">
        <v>2350374.13</v>
      </c>
      <c r="J58" s="191">
        <v>3347485.61</v>
      </c>
    </row>
    <row r="59" spans="2:10" x14ac:dyDescent="0.2">
      <c r="B59" s="177">
        <v>2</v>
      </c>
      <c r="C59" s="176">
        <v>908478.2</v>
      </c>
      <c r="D59" s="176">
        <v>2080664.34</v>
      </c>
      <c r="E59" s="176">
        <v>2989142.54</v>
      </c>
      <c r="G59" s="192">
        <v>2</v>
      </c>
      <c r="H59" s="190">
        <v>908478.2</v>
      </c>
      <c r="I59" s="190">
        <v>2080664.34</v>
      </c>
      <c r="J59" s="191">
        <v>2989142.54</v>
      </c>
    </row>
    <row r="60" spans="2:10" x14ac:dyDescent="0.2">
      <c r="B60" s="177">
        <v>3</v>
      </c>
      <c r="C60" s="176">
        <v>1045743.93</v>
      </c>
      <c r="D60" s="176">
        <v>2324860.14</v>
      </c>
      <c r="E60" s="176">
        <v>3370604.0700000003</v>
      </c>
      <c r="G60" s="192">
        <v>3</v>
      </c>
      <c r="H60" s="190">
        <v>1045743.93</v>
      </c>
      <c r="I60" s="190">
        <v>2324860.14</v>
      </c>
      <c r="J60" s="191">
        <v>3370604.0700000003</v>
      </c>
    </row>
    <row r="61" spans="2:10" x14ac:dyDescent="0.2">
      <c r="B61" s="177">
        <v>4</v>
      </c>
      <c r="C61" s="176">
        <v>1035524.74</v>
      </c>
      <c r="D61" s="176">
        <v>2359545.69</v>
      </c>
      <c r="E61" s="176">
        <v>3395070.4299999997</v>
      </c>
      <c r="G61" s="192">
        <v>4</v>
      </c>
      <c r="H61" s="190">
        <v>1035524.74</v>
      </c>
      <c r="I61" s="190">
        <v>2359545.69</v>
      </c>
      <c r="J61" s="191">
        <v>3395070.4299999997</v>
      </c>
    </row>
    <row r="62" spans="2:10" x14ac:dyDescent="0.2">
      <c r="B62" s="177">
        <v>5</v>
      </c>
      <c r="C62" s="176">
        <v>1116813.8399999999</v>
      </c>
      <c r="D62" s="176">
        <v>2511761.23</v>
      </c>
      <c r="E62" s="176">
        <v>3628575.07</v>
      </c>
      <c r="G62" s="192">
        <v>5</v>
      </c>
      <c r="H62" s="190">
        <v>1116813.8399999999</v>
      </c>
      <c r="I62" s="190">
        <v>2511761.23</v>
      </c>
      <c r="J62" s="191">
        <v>3628575.07</v>
      </c>
    </row>
    <row r="63" spans="2:10" x14ac:dyDescent="0.2">
      <c r="B63" s="177">
        <v>6</v>
      </c>
      <c r="C63" s="176">
        <v>1180760.08</v>
      </c>
      <c r="D63" s="176">
        <v>2580321.14</v>
      </c>
      <c r="E63" s="176">
        <v>3761081.22</v>
      </c>
      <c r="G63" s="192">
        <v>6</v>
      </c>
      <c r="H63" s="190">
        <v>1180760.08</v>
      </c>
      <c r="I63" s="190">
        <v>2580321.14</v>
      </c>
      <c r="J63" s="191">
        <v>3761081.22</v>
      </c>
    </row>
    <row r="64" spans="2:10" x14ac:dyDescent="0.2">
      <c r="B64" s="177">
        <v>7</v>
      </c>
      <c r="C64" s="176">
        <v>1293367.52</v>
      </c>
      <c r="D64" s="176">
        <v>2833027.69</v>
      </c>
      <c r="E64" s="176">
        <v>4126395.21</v>
      </c>
      <c r="G64" s="192">
        <v>7</v>
      </c>
      <c r="H64" s="190">
        <v>1293367.52</v>
      </c>
      <c r="I64" s="190">
        <v>2833027.69</v>
      </c>
      <c r="J64" s="191">
        <v>4126395.21</v>
      </c>
    </row>
    <row r="65" spans="2:10" x14ac:dyDescent="0.2">
      <c r="B65" s="177">
        <v>8</v>
      </c>
      <c r="C65" s="176">
        <v>1256509.49</v>
      </c>
      <c r="D65" s="176">
        <v>2796046.35</v>
      </c>
      <c r="E65" s="176">
        <v>4052555.84</v>
      </c>
      <c r="G65" s="192">
        <v>8</v>
      </c>
      <c r="H65" s="190">
        <v>1256509.49</v>
      </c>
      <c r="I65" s="190">
        <v>2796046.35</v>
      </c>
      <c r="J65" s="191">
        <v>4052555.84</v>
      </c>
    </row>
    <row r="66" spans="2:10" x14ac:dyDescent="0.2">
      <c r="B66" s="177">
        <v>9</v>
      </c>
      <c r="C66" s="176">
        <v>1127893.99</v>
      </c>
      <c r="D66" s="176">
        <v>2567970.4500000002</v>
      </c>
      <c r="E66" s="176">
        <v>3695864.4400000004</v>
      </c>
      <c r="G66" s="192">
        <v>9</v>
      </c>
      <c r="H66" s="190">
        <v>1127893.99</v>
      </c>
      <c r="I66" s="190">
        <v>2567970.4500000002</v>
      </c>
      <c r="J66" s="191">
        <v>3695864.4400000004</v>
      </c>
    </row>
    <row r="67" spans="2:10" x14ac:dyDescent="0.2">
      <c r="B67" s="177">
        <v>10</v>
      </c>
      <c r="C67" s="176">
        <v>1082575.5299999998</v>
      </c>
      <c r="D67" s="176">
        <v>2502291.86</v>
      </c>
      <c r="E67" s="176">
        <v>3584867.3899999997</v>
      </c>
      <c r="G67" s="192">
        <v>10</v>
      </c>
      <c r="H67" s="190">
        <v>1082575.5299999998</v>
      </c>
      <c r="I67" s="190">
        <v>2502291.86</v>
      </c>
      <c r="J67" s="191">
        <v>3584867.3899999997</v>
      </c>
    </row>
    <row r="68" spans="2:10" x14ac:dyDescent="0.2">
      <c r="B68" s="177">
        <v>11</v>
      </c>
      <c r="C68" s="176">
        <v>1010390.31</v>
      </c>
      <c r="D68" s="176">
        <v>2340013.4</v>
      </c>
      <c r="E68" s="176">
        <v>3350403.71</v>
      </c>
      <c r="G68" s="192">
        <v>11</v>
      </c>
      <c r="H68" s="190">
        <v>1010390.31</v>
      </c>
      <c r="I68" s="190">
        <v>2340013.4</v>
      </c>
      <c r="J68" s="191">
        <v>3350403.71</v>
      </c>
    </row>
    <row r="69" spans="2:10" x14ac:dyDescent="0.2">
      <c r="B69" s="177">
        <v>12</v>
      </c>
      <c r="C69" s="176">
        <v>1019358.92</v>
      </c>
      <c r="D69" s="176">
        <v>2355434.11</v>
      </c>
      <c r="E69" s="176">
        <v>3374793.03</v>
      </c>
      <c r="G69" s="192">
        <v>12</v>
      </c>
      <c r="H69" s="190">
        <v>1019358.92</v>
      </c>
      <c r="I69" s="190">
        <v>2355434.11</v>
      </c>
      <c r="J69" s="191">
        <v>3374793.03</v>
      </c>
    </row>
    <row r="70" spans="2:10" x14ac:dyDescent="0.2">
      <c r="B70" s="40">
        <v>2011</v>
      </c>
      <c r="C70" s="176">
        <v>13608650.189999999</v>
      </c>
      <c r="D70" s="176">
        <v>32535779.789999995</v>
      </c>
      <c r="E70" s="176">
        <v>46144429.980000004</v>
      </c>
      <c r="G70" s="189">
        <v>2011</v>
      </c>
      <c r="H70" s="190">
        <v>13608650.189999999</v>
      </c>
      <c r="I70" s="190">
        <v>32535779.789999995</v>
      </c>
      <c r="J70" s="191">
        <v>46144429.980000004</v>
      </c>
    </row>
    <row r="71" spans="2:10" x14ac:dyDescent="0.2">
      <c r="B71" s="177">
        <v>1</v>
      </c>
      <c r="C71" s="176">
        <v>1012288.91</v>
      </c>
      <c r="D71" s="176">
        <v>2257049.94</v>
      </c>
      <c r="E71" s="176">
        <v>3269338.85</v>
      </c>
      <c r="G71" s="192">
        <v>1</v>
      </c>
      <c r="H71" s="190">
        <v>1012288.91</v>
      </c>
      <c r="I71" s="190">
        <v>2257049.94</v>
      </c>
      <c r="J71" s="191">
        <v>3269338.85</v>
      </c>
    </row>
    <row r="72" spans="2:10" x14ac:dyDescent="0.2">
      <c r="B72" s="177">
        <v>2</v>
      </c>
      <c r="C72" s="176">
        <v>918056.53</v>
      </c>
      <c r="D72" s="176">
        <v>2190041.08</v>
      </c>
      <c r="E72" s="176">
        <v>3108097.6100000003</v>
      </c>
      <c r="G72" s="192">
        <v>2</v>
      </c>
      <c r="H72" s="190">
        <v>918056.53</v>
      </c>
      <c r="I72" s="190">
        <v>2190041.08</v>
      </c>
      <c r="J72" s="191">
        <v>3108097.6100000003</v>
      </c>
    </row>
    <row r="73" spans="2:10" x14ac:dyDescent="0.2">
      <c r="B73" s="177">
        <v>3</v>
      </c>
      <c r="C73" s="176">
        <v>1026943.0399999999</v>
      </c>
      <c r="D73" s="176">
        <v>2594560.65</v>
      </c>
      <c r="E73" s="176">
        <v>3621503.69</v>
      </c>
      <c r="G73" s="192">
        <v>3</v>
      </c>
      <c r="H73" s="190">
        <v>1026943.0399999999</v>
      </c>
      <c r="I73" s="190">
        <v>2594560.65</v>
      </c>
      <c r="J73" s="191">
        <v>3621503.69</v>
      </c>
    </row>
    <row r="74" spans="2:10" x14ac:dyDescent="0.2">
      <c r="B74" s="177">
        <v>4</v>
      </c>
      <c r="C74" s="176">
        <v>1011631.3</v>
      </c>
      <c r="D74" s="176">
        <v>2567441.42</v>
      </c>
      <c r="E74" s="176">
        <v>3579072.7199999997</v>
      </c>
      <c r="G74" s="192">
        <v>4</v>
      </c>
      <c r="H74" s="190">
        <v>1011631.3</v>
      </c>
      <c r="I74" s="190">
        <v>2567441.42</v>
      </c>
      <c r="J74" s="191">
        <v>3579072.7199999997</v>
      </c>
    </row>
    <row r="75" spans="2:10" x14ac:dyDescent="0.2">
      <c r="B75" s="177">
        <v>5</v>
      </c>
      <c r="C75" s="176">
        <v>1123381.3700000001</v>
      </c>
      <c r="D75" s="176">
        <v>2857072.18</v>
      </c>
      <c r="E75" s="176">
        <v>3980453.5500000003</v>
      </c>
      <c r="G75" s="192">
        <v>5</v>
      </c>
      <c r="H75" s="190">
        <v>1123381.3700000001</v>
      </c>
      <c r="I75" s="190">
        <v>2857072.18</v>
      </c>
      <c r="J75" s="191">
        <v>3980453.5500000003</v>
      </c>
    </row>
    <row r="76" spans="2:10" x14ac:dyDescent="0.2">
      <c r="B76" s="177">
        <v>6</v>
      </c>
      <c r="C76" s="176">
        <v>1175010.04</v>
      </c>
      <c r="D76" s="176">
        <v>2998378.76</v>
      </c>
      <c r="E76" s="176">
        <v>4173388.8</v>
      </c>
      <c r="G76" s="192">
        <v>6</v>
      </c>
      <c r="H76" s="190">
        <v>1175010.04</v>
      </c>
      <c r="I76" s="190">
        <v>2998378.76</v>
      </c>
      <c r="J76" s="191">
        <v>4173388.8</v>
      </c>
    </row>
    <row r="77" spans="2:10" x14ac:dyDescent="0.2">
      <c r="B77" s="177">
        <v>7</v>
      </c>
      <c r="C77" s="176">
        <v>1405000.54</v>
      </c>
      <c r="D77" s="176">
        <v>3318222.39</v>
      </c>
      <c r="E77" s="176">
        <v>4723222.93</v>
      </c>
      <c r="G77" s="192">
        <v>7</v>
      </c>
      <c r="H77" s="190">
        <v>1405000.54</v>
      </c>
      <c r="I77" s="190">
        <v>3318222.39</v>
      </c>
      <c r="J77" s="191">
        <v>4723222.93</v>
      </c>
    </row>
    <row r="78" spans="2:10" x14ac:dyDescent="0.2">
      <c r="B78" s="177">
        <v>8</v>
      </c>
      <c r="C78" s="176">
        <v>1342993.08</v>
      </c>
      <c r="D78" s="176">
        <v>3197649.61</v>
      </c>
      <c r="E78" s="176">
        <v>4540642.6899999995</v>
      </c>
      <c r="G78" s="192">
        <v>8</v>
      </c>
      <c r="H78" s="190">
        <v>1342993.08</v>
      </c>
      <c r="I78" s="190">
        <v>3197649.61</v>
      </c>
      <c r="J78" s="191">
        <v>4540642.6899999995</v>
      </c>
    </row>
    <row r="79" spans="2:10" x14ac:dyDescent="0.2">
      <c r="B79" s="177">
        <v>9</v>
      </c>
      <c r="C79" s="176">
        <v>1231904.92</v>
      </c>
      <c r="D79" s="176">
        <v>2864394.01</v>
      </c>
      <c r="E79" s="176">
        <v>4096298.9299999997</v>
      </c>
      <c r="G79" s="192">
        <v>9</v>
      </c>
      <c r="H79" s="190">
        <v>1231904.92</v>
      </c>
      <c r="I79" s="190">
        <v>2864394.01</v>
      </c>
      <c r="J79" s="191">
        <v>4096298.9299999997</v>
      </c>
    </row>
    <row r="80" spans="2:10" x14ac:dyDescent="0.2">
      <c r="B80" s="177">
        <v>10</v>
      </c>
      <c r="C80" s="176">
        <v>1161619.68</v>
      </c>
      <c r="D80" s="176">
        <v>2642556.7000000002</v>
      </c>
      <c r="E80" s="176">
        <v>3804176.38</v>
      </c>
      <c r="G80" s="192">
        <v>10</v>
      </c>
      <c r="H80" s="190">
        <v>1161619.68</v>
      </c>
      <c r="I80" s="190">
        <v>2642556.7000000002</v>
      </c>
      <c r="J80" s="191">
        <v>3804176.38</v>
      </c>
    </row>
    <row r="81" spans="2:10" x14ac:dyDescent="0.2">
      <c r="B81" s="177">
        <v>11</v>
      </c>
      <c r="C81" s="176">
        <v>1091067.83</v>
      </c>
      <c r="D81" s="176">
        <v>2505724.2400000002</v>
      </c>
      <c r="E81" s="176">
        <v>3596792.0700000003</v>
      </c>
      <c r="G81" s="192">
        <v>11</v>
      </c>
      <c r="H81" s="190">
        <v>1091067.83</v>
      </c>
      <c r="I81" s="190">
        <v>2505724.2400000002</v>
      </c>
      <c r="J81" s="191">
        <v>3596792.0700000003</v>
      </c>
    </row>
    <row r="82" spans="2:10" x14ac:dyDescent="0.2">
      <c r="B82" s="177">
        <v>12</v>
      </c>
      <c r="C82" s="176">
        <v>1108752.95</v>
      </c>
      <c r="D82" s="176">
        <v>2542688.81</v>
      </c>
      <c r="E82" s="176">
        <v>3651441.76</v>
      </c>
      <c r="G82" s="192">
        <v>12</v>
      </c>
      <c r="H82" s="190">
        <v>1108752.95</v>
      </c>
      <c r="I82" s="190">
        <v>2542688.81</v>
      </c>
      <c r="J82" s="191">
        <v>3651441.76</v>
      </c>
    </row>
    <row r="83" spans="2:10" x14ac:dyDescent="0.2">
      <c r="B83" s="40">
        <v>2012</v>
      </c>
      <c r="C83" s="176">
        <v>13017089.180972196</v>
      </c>
      <c r="D83" s="176">
        <v>31846290.331999402</v>
      </c>
      <c r="E83" s="176">
        <v>44863379.512971595</v>
      </c>
      <c r="G83" s="189">
        <v>2012</v>
      </c>
      <c r="H83" s="190">
        <v>13017089.180972196</v>
      </c>
      <c r="I83" s="190">
        <v>31846290.331999402</v>
      </c>
      <c r="J83" s="191">
        <v>44863379.512971595</v>
      </c>
    </row>
    <row r="84" spans="2:10" x14ac:dyDescent="0.2">
      <c r="B84" s="177">
        <v>1</v>
      </c>
      <c r="C84" s="176">
        <v>1079068.83</v>
      </c>
      <c r="D84" s="176">
        <v>2468359.02</v>
      </c>
      <c r="E84" s="176">
        <v>3547427.85</v>
      </c>
      <c r="G84" s="192">
        <v>1</v>
      </c>
      <c r="H84" s="190">
        <v>1079068.83</v>
      </c>
      <c r="I84" s="190">
        <v>2468359.02</v>
      </c>
      <c r="J84" s="191">
        <v>3547427.85</v>
      </c>
    </row>
    <row r="85" spans="2:10" x14ac:dyDescent="0.2">
      <c r="B85" s="177">
        <v>2</v>
      </c>
      <c r="C85" s="176">
        <v>992604.71</v>
      </c>
      <c r="D85" s="176">
        <v>2270361.7999999998</v>
      </c>
      <c r="E85" s="176">
        <v>3262966.51</v>
      </c>
      <c r="G85" s="192">
        <v>2</v>
      </c>
      <c r="H85" s="190">
        <v>992604.71</v>
      </c>
      <c r="I85" s="190">
        <v>2270361.7999999998</v>
      </c>
      <c r="J85" s="191">
        <v>3262966.51</v>
      </c>
    </row>
    <row r="86" spans="2:10" x14ac:dyDescent="0.2">
      <c r="B86" s="177">
        <v>3</v>
      </c>
      <c r="C86" s="176">
        <v>1091720.22</v>
      </c>
      <c r="D86" s="176">
        <v>2554749.11</v>
      </c>
      <c r="E86" s="176">
        <v>3646469.33</v>
      </c>
      <c r="G86" s="192">
        <v>3</v>
      </c>
      <c r="H86" s="190">
        <v>1091720.22</v>
      </c>
      <c r="I86" s="190">
        <v>2554749.11</v>
      </c>
      <c r="J86" s="191">
        <v>3646469.33</v>
      </c>
    </row>
    <row r="87" spans="2:10" x14ac:dyDescent="0.2">
      <c r="B87" s="177">
        <v>4</v>
      </c>
      <c r="C87" s="176">
        <v>945450.45</v>
      </c>
      <c r="D87" s="176">
        <v>2122659.12</v>
      </c>
      <c r="E87" s="176">
        <v>3068109.5700000003</v>
      </c>
      <c r="G87" s="192">
        <v>4</v>
      </c>
      <c r="H87" s="190">
        <v>945450.45</v>
      </c>
      <c r="I87" s="190">
        <v>2122659.12</v>
      </c>
      <c r="J87" s="191">
        <v>3068109.5700000003</v>
      </c>
    </row>
    <row r="88" spans="2:10" x14ac:dyDescent="0.2">
      <c r="B88" s="177">
        <v>5</v>
      </c>
      <c r="C88" s="176">
        <v>1266346.9099999999</v>
      </c>
      <c r="D88" s="176">
        <v>3014442.9971008701</v>
      </c>
      <c r="E88" s="176">
        <v>4280789.9071008703</v>
      </c>
      <c r="G88" s="192">
        <v>5</v>
      </c>
      <c r="H88" s="190">
        <v>1266346.9099999999</v>
      </c>
      <c r="I88" s="190">
        <v>3014442.9971008701</v>
      </c>
      <c r="J88" s="191">
        <v>4280789.9071008703</v>
      </c>
    </row>
    <row r="89" spans="2:10" x14ac:dyDescent="0.2">
      <c r="B89" s="177">
        <v>6</v>
      </c>
      <c r="C89" s="176">
        <v>1113139.4291250245</v>
      </c>
      <c r="D89" s="176">
        <v>2889801.28</v>
      </c>
      <c r="E89" s="176">
        <v>4002940.7091250243</v>
      </c>
      <c r="G89" s="192">
        <v>6</v>
      </c>
      <c r="H89" s="190">
        <v>1113139.4291250245</v>
      </c>
      <c r="I89" s="190">
        <v>2889801.28</v>
      </c>
      <c r="J89" s="191">
        <v>4002940.7091250243</v>
      </c>
    </row>
    <row r="90" spans="2:10" x14ac:dyDescent="0.2">
      <c r="B90" s="177">
        <v>7</v>
      </c>
      <c r="C90" s="176">
        <v>1341362.8907602567</v>
      </c>
      <c r="D90" s="176">
        <v>3114912.7461761474</v>
      </c>
      <c r="E90" s="176">
        <v>4456275.6369364038</v>
      </c>
      <c r="G90" s="192">
        <v>7</v>
      </c>
      <c r="H90" s="190">
        <v>1341362.8907602567</v>
      </c>
      <c r="I90" s="190">
        <v>3114912.7461761474</v>
      </c>
      <c r="J90" s="191">
        <v>4456275.6369364038</v>
      </c>
    </row>
    <row r="91" spans="2:10" x14ac:dyDescent="0.2">
      <c r="B91" s="177">
        <v>8</v>
      </c>
      <c r="C91" s="176">
        <v>1186013.0569434182</v>
      </c>
      <c r="D91" s="176">
        <v>3018456.0731780464</v>
      </c>
      <c r="E91" s="176">
        <v>4204469.1301214648</v>
      </c>
      <c r="G91" s="192">
        <v>8</v>
      </c>
      <c r="H91" s="190">
        <v>1186013.0569434182</v>
      </c>
      <c r="I91" s="190">
        <v>3018456.0731780464</v>
      </c>
      <c r="J91" s="191">
        <v>4204469.1301214648</v>
      </c>
    </row>
    <row r="92" spans="2:10" x14ac:dyDescent="0.2">
      <c r="B92" s="177">
        <v>9</v>
      </c>
      <c r="C92" s="176">
        <v>1066381.8972622985</v>
      </c>
      <c r="D92" s="176">
        <v>2757059.9720083973</v>
      </c>
      <c r="E92" s="176">
        <v>3823441.8692706958</v>
      </c>
      <c r="G92" s="192">
        <v>9</v>
      </c>
      <c r="H92" s="190">
        <v>1066381.8972622985</v>
      </c>
      <c r="I92" s="190">
        <v>2757059.9720083973</v>
      </c>
      <c r="J92" s="191">
        <v>3823441.8692706958</v>
      </c>
    </row>
    <row r="93" spans="2:10" x14ac:dyDescent="0.2">
      <c r="B93" s="177">
        <v>10</v>
      </c>
      <c r="C93" s="176">
        <v>1032299.0682267159</v>
      </c>
      <c r="D93" s="176">
        <v>2654281.6854943521</v>
      </c>
      <c r="E93" s="176">
        <v>3686580.7537210681</v>
      </c>
      <c r="G93" s="192">
        <v>10</v>
      </c>
      <c r="H93" s="190">
        <v>1032299.0682267159</v>
      </c>
      <c r="I93" s="190">
        <v>2654281.6854943521</v>
      </c>
      <c r="J93" s="191">
        <v>3686580.7537210681</v>
      </c>
    </row>
    <row r="94" spans="2:10" x14ac:dyDescent="0.2">
      <c r="B94" s="177">
        <v>11</v>
      </c>
      <c r="C94" s="176">
        <v>950888.46108496981</v>
      </c>
      <c r="D94" s="176">
        <v>2484508.7973607918</v>
      </c>
      <c r="E94" s="176">
        <v>3435397.2584457616</v>
      </c>
      <c r="G94" s="192">
        <v>11</v>
      </c>
      <c r="H94" s="190">
        <v>950888.46108496981</v>
      </c>
      <c r="I94" s="190">
        <v>2484508.7973607918</v>
      </c>
      <c r="J94" s="191">
        <v>3435397.2584457616</v>
      </c>
    </row>
    <row r="95" spans="2:10" x14ac:dyDescent="0.2">
      <c r="B95" s="177">
        <v>12</v>
      </c>
      <c r="C95" s="176">
        <v>951813.257569512</v>
      </c>
      <c r="D95" s="176">
        <v>2496697.7306807959</v>
      </c>
      <c r="E95" s="176">
        <v>3448510.9882503077</v>
      </c>
      <c r="G95" s="192">
        <v>12</v>
      </c>
      <c r="H95" s="190">
        <v>951813.257569512</v>
      </c>
      <c r="I95" s="190">
        <v>2496697.7306807959</v>
      </c>
      <c r="J95" s="191">
        <v>3448510.9882503077</v>
      </c>
    </row>
    <row r="96" spans="2:10" ht="13.5" thickBot="1" x14ac:dyDescent="0.25">
      <c r="B96" s="40" t="s">
        <v>162</v>
      </c>
      <c r="C96" s="176">
        <v>88862136.60097222</v>
      </c>
      <c r="D96" s="176">
        <v>209405073.57199946</v>
      </c>
      <c r="E96" s="176">
        <v>298267210.17297155</v>
      </c>
      <c r="G96" s="193" t="s">
        <v>162</v>
      </c>
      <c r="H96" s="194">
        <v>88862136.60097222</v>
      </c>
      <c r="I96" s="194">
        <v>209405073.57199946</v>
      </c>
      <c r="J96" s="195">
        <v>298267210.17297155</v>
      </c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</sheetPr>
  <dimension ref="A1:H1047487"/>
  <sheetViews>
    <sheetView workbookViewId="0"/>
  </sheetViews>
  <sheetFormatPr defaultRowHeight="12.75" x14ac:dyDescent="0.2"/>
  <cols>
    <col min="1" max="1" width="17.28515625" bestFit="1" customWidth="1"/>
    <col min="2" max="4" width="16.28515625" customWidth="1"/>
    <col min="5" max="5" width="9.28515625" bestFit="1" customWidth="1"/>
    <col min="7" max="7" width="10.28515625" bestFit="1" customWidth="1"/>
  </cols>
  <sheetData>
    <row r="1" spans="1:8" x14ac:dyDescent="0.2">
      <c r="A1" t="s">
        <v>151</v>
      </c>
      <c r="B1" t="s">
        <v>157</v>
      </c>
      <c r="C1" t="s">
        <v>160</v>
      </c>
      <c r="D1" t="s">
        <v>159</v>
      </c>
      <c r="E1" t="s">
        <v>150</v>
      </c>
      <c r="F1" t="s">
        <v>148</v>
      </c>
      <c r="G1" t="s">
        <v>149</v>
      </c>
      <c r="H1" t="s">
        <v>153</v>
      </c>
    </row>
    <row r="2" spans="1:8" x14ac:dyDescent="0.2">
      <c r="A2" t="s">
        <v>156</v>
      </c>
      <c r="B2" t="s">
        <v>146</v>
      </c>
      <c r="C2">
        <v>2005</v>
      </c>
      <c r="D2">
        <v>12</v>
      </c>
      <c r="E2" s="174">
        <v>38718</v>
      </c>
      <c r="F2">
        <v>2381295.56</v>
      </c>
      <c r="G2">
        <v>45485</v>
      </c>
      <c r="H2">
        <v>2440351.69</v>
      </c>
    </row>
    <row r="3" spans="1:8" x14ac:dyDescent="0.2">
      <c r="A3" t="s">
        <v>156</v>
      </c>
      <c r="B3" t="s">
        <v>146</v>
      </c>
      <c r="C3">
        <v>2006</v>
      </c>
      <c r="D3">
        <v>1</v>
      </c>
      <c r="E3" s="174">
        <v>38749</v>
      </c>
      <c r="F3">
        <v>2352629.7799999998</v>
      </c>
      <c r="G3">
        <v>45485</v>
      </c>
      <c r="H3">
        <v>2410974.9900000002</v>
      </c>
    </row>
    <row r="4" spans="1:8" x14ac:dyDescent="0.2">
      <c r="A4" t="s">
        <v>156</v>
      </c>
      <c r="B4" t="s">
        <v>146</v>
      </c>
      <c r="C4">
        <v>2006</v>
      </c>
      <c r="D4">
        <v>2</v>
      </c>
      <c r="E4" s="174">
        <v>38777</v>
      </c>
      <c r="F4">
        <v>2111513.52</v>
      </c>
      <c r="G4">
        <v>45485</v>
      </c>
      <c r="H4">
        <v>2163879.06</v>
      </c>
    </row>
    <row r="5" spans="1:8" x14ac:dyDescent="0.2">
      <c r="A5" t="s">
        <v>156</v>
      </c>
      <c r="B5" t="s">
        <v>146</v>
      </c>
      <c r="C5">
        <v>2006</v>
      </c>
      <c r="D5">
        <v>3</v>
      </c>
      <c r="E5" s="174">
        <v>38808</v>
      </c>
      <c r="F5">
        <v>2336512.73</v>
      </c>
      <c r="G5">
        <v>45485</v>
      </c>
      <c r="H5">
        <v>2394458.25</v>
      </c>
    </row>
    <row r="6" spans="1:8" x14ac:dyDescent="0.2">
      <c r="A6" t="s">
        <v>156</v>
      </c>
      <c r="B6" t="s">
        <v>146</v>
      </c>
      <c r="C6">
        <v>2006</v>
      </c>
      <c r="D6">
        <v>4</v>
      </c>
      <c r="E6" s="174">
        <v>38838</v>
      </c>
      <c r="F6">
        <v>2282493.7000000002</v>
      </c>
      <c r="G6">
        <v>45485</v>
      </c>
      <c r="H6">
        <v>2339099.54</v>
      </c>
    </row>
    <row r="7" spans="1:8" x14ac:dyDescent="0.2">
      <c r="A7" t="s">
        <v>156</v>
      </c>
      <c r="B7" t="s">
        <v>146</v>
      </c>
      <c r="C7">
        <v>2006</v>
      </c>
      <c r="D7">
        <v>5</v>
      </c>
      <c r="E7" s="174">
        <v>38869</v>
      </c>
      <c r="F7">
        <v>2496581.63</v>
      </c>
      <c r="G7">
        <v>45485</v>
      </c>
      <c r="H7">
        <v>2575223.9500000002</v>
      </c>
    </row>
    <row r="8" spans="1:8" x14ac:dyDescent="0.2">
      <c r="A8" t="s">
        <v>156</v>
      </c>
      <c r="B8" t="s">
        <v>146</v>
      </c>
      <c r="C8">
        <v>2006</v>
      </c>
      <c r="D8">
        <v>6</v>
      </c>
      <c r="E8" s="174">
        <v>38899</v>
      </c>
      <c r="F8">
        <v>2557542.91</v>
      </c>
      <c r="G8">
        <v>45485</v>
      </c>
      <c r="H8">
        <v>2638105.5099999998</v>
      </c>
    </row>
    <row r="9" spans="1:8" x14ac:dyDescent="0.2">
      <c r="A9" t="s">
        <v>156</v>
      </c>
      <c r="B9" t="s">
        <v>146</v>
      </c>
      <c r="C9">
        <v>2006</v>
      </c>
      <c r="D9">
        <v>7</v>
      </c>
      <c r="E9" s="174">
        <v>38930</v>
      </c>
      <c r="F9">
        <v>2820256.11</v>
      </c>
      <c r="G9">
        <v>45485</v>
      </c>
      <c r="H9">
        <v>2909094.18</v>
      </c>
    </row>
    <row r="10" spans="1:8" x14ac:dyDescent="0.2">
      <c r="A10" t="s">
        <v>156</v>
      </c>
      <c r="B10" t="s">
        <v>146</v>
      </c>
      <c r="C10">
        <v>2006</v>
      </c>
      <c r="D10">
        <v>8</v>
      </c>
      <c r="E10" s="174">
        <v>38961</v>
      </c>
      <c r="F10">
        <v>2676935.79</v>
      </c>
      <c r="G10">
        <v>45485</v>
      </c>
      <c r="H10">
        <v>2761259.27</v>
      </c>
    </row>
    <row r="11" spans="1:8" x14ac:dyDescent="0.2">
      <c r="A11" t="s">
        <v>156</v>
      </c>
      <c r="B11" t="s">
        <v>146</v>
      </c>
      <c r="C11">
        <v>2006</v>
      </c>
      <c r="D11">
        <v>9</v>
      </c>
      <c r="E11" s="174">
        <v>38991</v>
      </c>
      <c r="F11">
        <v>2425889.27</v>
      </c>
      <c r="G11">
        <v>45485</v>
      </c>
      <c r="H11">
        <v>2502304.7799999998</v>
      </c>
    </row>
    <row r="12" spans="1:8" x14ac:dyDescent="0.2">
      <c r="A12" t="s">
        <v>156</v>
      </c>
      <c r="B12" t="s">
        <v>146</v>
      </c>
      <c r="C12">
        <v>2006</v>
      </c>
      <c r="D12">
        <v>10</v>
      </c>
      <c r="E12" s="174">
        <v>39022</v>
      </c>
      <c r="F12">
        <v>2369985.73</v>
      </c>
      <c r="G12">
        <v>45485</v>
      </c>
      <c r="H12">
        <v>2444640.2799999998</v>
      </c>
    </row>
    <row r="13" spans="1:8" x14ac:dyDescent="0.2">
      <c r="A13" t="s">
        <v>156</v>
      </c>
      <c r="B13" t="s">
        <v>146</v>
      </c>
      <c r="C13">
        <v>2006</v>
      </c>
      <c r="D13">
        <v>11</v>
      </c>
      <c r="E13" s="174">
        <v>39052</v>
      </c>
      <c r="F13">
        <v>2209706.0699999998</v>
      </c>
      <c r="G13">
        <v>45485</v>
      </c>
      <c r="H13">
        <v>2279311.81</v>
      </c>
    </row>
    <row r="14" spans="1:8" x14ac:dyDescent="0.2">
      <c r="A14" t="s">
        <v>156</v>
      </c>
      <c r="B14" t="s">
        <v>146</v>
      </c>
      <c r="C14">
        <v>2006</v>
      </c>
      <c r="D14">
        <v>12</v>
      </c>
      <c r="E14" s="174">
        <v>39083</v>
      </c>
      <c r="F14">
        <v>2255139.1</v>
      </c>
      <c r="G14">
        <v>45485</v>
      </c>
      <c r="H14">
        <v>2326175.98</v>
      </c>
    </row>
    <row r="15" spans="1:8" x14ac:dyDescent="0.2">
      <c r="A15" t="s">
        <v>156</v>
      </c>
      <c r="B15" t="s">
        <v>146</v>
      </c>
      <c r="C15">
        <v>2007</v>
      </c>
      <c r="D15">
        <v>1</v>
      </c>
      <c r="E15" s="174">
        <v>39114</v>
      </c>
      <c r="F15">
        <v>2251091.42</v>
      </c>
      <c r="G15">
        <v>45485</v>
      </c>
      <c r="H15">
        <v>2322000.7999999998</v>
      </c>
    </row>
    <row r="16" spans="1:8" x14ac:dyDescent="0.2">
      <c r="A16" t="s">
        <v>156</v>
      </c>
      <c r="B16" t="s">
        <v>146</v>
      </c>
      <c r="C16">
        <v>2007</v>
      </c>
      <c r="D16">
        <v>2</v>
      </c>
      <c r="E16" s="174">
        <v>39142</v>
      </c>
      <c r="F16">
        <v>2016992.14</v>
      </c>
      <c r="G16">
        <v>45485</v>
      </c>
      <c r="H16">
        <v>2080527.39</v>
      </c>
    </row>
    <row r="17" spans="1:8" x14ac:dyDescent="0.2">
      <c r="A17" t="s">
        <v>156</v>
      </c>
      <c r="B17" t="s">
        <v>146</v>
      </c>
      <c r="C17">
        <v>2007</v>
      </c>
      <c r="D17">
        <v>3</v>
      </c>
      <c r="E17" s="174">
        <v>39173</v>
      </c>
      <c r="F17">
        <v>2301318.81</v>
      </c>
      <c r="G17">
        <v>45485</v>
      </c>
      <c r="H17">
        <v>2373810.35</v>
      </c>
    </row>
    <row r="18" spans="1:8" x14ac:dyDescent="0.2">
      <c r="A18" t="s">
        <v>156</v>
      </c>
      <c r="B18" t="s">
        <v>146</v>
      </c>
      <c r="C18">
        <v>2007</v>
      </c>
      <c r="D18">
        <v>4</v>
      </c>
      <c r="E18" s="174">
        <v>39203</v>
      </c>
      <c r="F18">
        <v>2216954.69</v>
      </c>
      <c r="G18">
        <v>45485</v>
      </c>
      <c r="H18">
        <v>2286788.7599999998</v>
      </c>
    </row>
    <row r="19" spans="1:8" x14ac:dyDescent="0.2">
      <c r="A19" t="s">
        <v>156</v>
      </c>
      <c r="B19" t="s">
        <v>146</v>
      </c>
      <c r="C19">
        <v>2007</v>
      </c>
      <c r="D19">
        <v>5</v>
      </c>
      <c r="E19" s="174">
        <v>39234</v>
      </c>
      <c r="F19">
        <v>2383481.1</v>
      </c>
      <c r="G19">
        <v>45485</v>
      </c>
      <c r="H19">
        <v>2458560.75</v>
      </c>
    </row>
    <row r="20" spans="1:8" x14ac:dyDescent="0.2">
      <c r="A20" t="s">
        <v>156</v>
      </c>
      <c r="B20" t="s">
        <v>146</v>
      </c>
      <c r="C20">
        <v>2007</v>
      </c>
      <c r="D20">
        <v>6</v>
      </c>
      <c r="E20" s="174">
        <v>39264</v>
      </c>
      <c r="F20">
        <v>2564032.9300000002</v>
      </c>
      <c r="G20">
        <v>45485</v>
      </c>
      <c r="H20">
        <v>2644799.9700000002</v>
      </c>
    </row>
    <row r="21" spans="1:8" x14ac:dyDescent="0.2">
      <c r="A21" t="s">
        <v>156</v>
      </c>
      <c r="B21" t="s">
        <v>146</v>
      </c>
      <c r="C21">
        <v>2007</v>
      </c>
      <c r="D21">
        <v>7</v>
      </c>
      <c r="E21" s="174">
        <v>39295</v>
      </c>
      <c r="F21">
        <v>2653374.13</v>
      </c>
      <c r="G21">
        <v>45485</v>
      </c>
      <c r="H21">
        <v>2736955.42</v>
      </c>
    </row>
    <row r="22" spans="1:8" x14ac:dyDescent="0.2">
      <c r="A22" t="s">
        <v>156</v>
      </c>
      <c r="B22" t="s">
        <v>146</v>
      </c>
      <c r="C22">
        <v>2007</v>
      </c>
      <c r="D22">
        <v>8</v>
      </c>
      <c r="E22" s="174">
        <v>39326</v>
      </c>
      <c r="F22">
        <v>2770716.71</v>
      </c>
      <c r="G22">
        <v>45485</v>
      </c>
      <c r="H22">
        <v>2857994.29</v>
      </c>
    </row>
    <row r="23" spans="1:8" x14ac:dyDescent="0.2">
      <c r="A23" t="s">
        <v>156</v>
      </c>
      <c r="B23" t="s">
        <v>146</v>
      </c>
      <c r="C23">
        <v>2007</v>
      </c>
      <c r="D23">
        <v>9</v>
      </c>
      <c r="E23" s="174">
        <v>39356</v>
      </c>
      <c r="F23">
        <v>2535396.9700000002</v>
      </c>
      <c r="G23">
        <v>45485</v>
      </c>
      <c r="H23">
        <v>2615261.9700000002</v>
      </c>
    </row>
    <row r="24" spans="1:8" x14ac:dyDescent="0.2">
      <c r="A24" t="s">
        <v>156</v>
      </c>
      <c r="B24" t="s">
        <v>146</v>
      </c>
      <c r="C24">
        <v>2007</v>
      </c>
      <c r="D24">
        <v>10</v>
      </c>
      <c r="E24" s="174">
        <v>39387</v>
      </c>
      <c r="F24">
        <v>2509946.52</v>
      </c>
      <c r="G24">
        <v>45485</v>
      </c>
      <c r="H24">
        <v>2589009.84</v>
      </c>
    </row>
    <row r="25" spans="1:8" x14ac:dyDescent="0.2">
      <c r="A25" t="s">
        <v>156</v>
      </c>
      <c r="B25" t="s">
        <v>146</v>
      </c>
      <c r="C25">
        <v>2007</v>
      </c>
      <c r="D25">
        <v>11</v>
      </c>
      <c r="E25" s="174">
        <v>39417</v>
      </c>
      <c r="F25">
        <v>2250196</v>
      </c>
      <c r="G25">
        <v>45485</v>
      </c>
      <c r="H25">
        <v>2321077.17</v>
      </c>
    </row>
    <row r="26" spans="1:8" x14ac:dyDescent="0.2">
      <c r="A26" t="s">
        <v>156</v>
      </c>
      <c r="B26" t="s">
        <v>146</v>
      </c>
      <c r="C26">
        <v>2007</v>
      </c>
      <c r="D26">
        <v>12</v>
      </c>
      <c r="E26" s="174">
        <v>39448</v>
      </c>
      <c r="F26">
        <v>2274715.33</v>
      </c>
      <c r="G26">
        <v>45485</v>
      </c>
      <c r="H26">
        <v>2346368.86</v>
      </c>
    </row>
    <row r="27" spans="1:8" x14ac:dyDescent="0.2">
      <c r="A27" t="s">
        <v>156</v>
      </c>
      <c r="B27" t="s">
        <v>146</v>
      </c>
      <c r="C27">
        <v>2008</v>
      </c>
      <c r="D27">
        <v>1</v>
      </c>
      <c r="E27" s="174">
        <v>39479</v>
      </c>
      <c r="F27">
        <v>2302524.36</v>
      </c>
      <c r="G27">
        <v>45485</v>
      </c>
      <c r="H27">
        <v>2375053.88</v>
      </c>
    </row>
    <row r="28" spans="1:8" x14ac:dyDescent="0.2">
      <c r="A28" t="s">
        <v>156</v>
      </c>
      <c r="B28" t="s">
        <v>146</v>
      </c>
      <c r="C28">
        <v>2008</v>
      </c>
      <c r="D28">
        <v>2</v>
      </c>
      <c r="E28" s="174">
        <v>39508</v>
      </c>
      <c r="F28">
        <v>2098246.88</v>
      </c>
      <c r="G28">
        <v>45485</v>
      </c>
      <c r="H28">
        <v>2164341.66</v>
      </c>
    </row>
    <row r="29" spans="1:8" x14ac:dyDescent="0.2">
      <c r="A29" t="s">
        <v>156</v>
      </c>
      <c r="B29" t="s">
        <v>146</v>
      </c>
      <c r="C29">
        <v>2008</v>
      </c>
      <c r="D29">
        <v>3</v>
      </c>
      <c r="E29" s="174">
        <v>39539</v>
      </c>
      <c r="F29">
        <v>2226410.83</v>
      </c>
      <c r="G29">
        <v>45485</v>
      </c>
      <c r="H29">
        <v>2296542.77</v>
      </c>
    </row>
    <row r="30" spans="1:8" x14ac:dyDescent="0.2">
      <c r="A30" t="s">
        <v>156</v>
      </c>
      <c r="B30" t="s">
        <v>146</v>
      </c>
      <c r="C30">
        <v>2008</v>
      </c>
      <c r="D30">
        <v>4</v>
      </c>
      <c r="E30" s="174">
        <v>39569</v>
      </c>
      <c r="F30">
        <v>2254963.5299999998</v>
      </c>
      <c r="G30">
        <v>45485</v>
      </c>
      <c r="H30">
        <v>2325994.88</v>
      </c>
    </row>
    <row r="31" spans="1:8" x14ac:dyDescent="0.2">
      <c r="A31" t="s">
        <v>156</v>
      </c>
      <c r="B31" t="s">
        <v>146</v>
      </c>
      <c r="C31">
        <v>2008</v>
      </c>
      <c r="D31">
        <v>5</v>
      </c>
      <c r="E31" s="174">
        <v>39600</v>
      </c>
      <c r="F31">
        <v>2401306.35</v>
      </c>
      <c r="G31">
        <v>45485</v>
      </c>
      <c r="H31">
        <v>2476947.5</v>
      </c>
    </row>
    <row r="32" spans="1:8" x14ac:dyDescent="0.2">
      <c r="A32" t="s">
        <v>156</v>
      </c>
      <c r="B32" t="s">
        <v>146</v>
      </c>
      <c r="C32">
        <v>2008</v>
      </c>
      <c r="D32">
        <v>6</v>
      </c>
      <c r="E32" s="174">
        <v>39630</v>
      </c>
      <c r="F32">
        <v>2550283.7200000002</v>
      </c>
      <c r="G32">
        <v>45485</v>
      </c>
      <c r="H32">
        <v>2630617.66</v>
      </c>
    </row>
    <row r="33" spans="1:8" x14ac:dyDescent="0.2">
      <c r="A33" t="s">
        <v>156</v>
      </c>
      <c r="B33" t="s">
        <v>146</v>
      </c>
      <c r="C33">
        <v>2008</v>
      </c>
      <c r="D33">
        <v>7</v>
      </c>
      <c r="E33" s="174">
        <v>39661</v>
      </c>
      <c r="F33">
        <v>2718027.7</v>
      </c>
      <c r="G33">
        <v>45485</v>
      </c>
      <c r="H33">
        <v>2803645.57</v>
      </c>
    </row>
    <row r="34" spans="1:8" x14ac:dyDescent="0.2">
      <c r="A34" t="s">
        <v>156</v>
      </c>
      <c r="B34" t="s">
        <v>146</v>
      </c>
      <c r="C34">
        <v>2008</v>
      </c>
      <c r="D34">
        <v>8</v>
      </c>
      <c r="E34" s="174">
        <v>39692</v>
      </c>
      <c r="F34">
        <v>2691122.83</v>
      </c>
      <c r="G34">
        <v>45485</v>
      </c>
      <c r="H34">
        <v>2775893.2</v>
      </c>
    </row>
    <row r="35" spans="1:8" x14ac:dyDescent="0.2">
      <c r="A35" t="s">
        <v>156</v>
      </c>
      <c r="B35" t="s">
        <v>146</v>
      </c>
      <c r="C35">
        <v>2008</v>
      </c>
      <c r="D35">
        <v>9</v>
      </c>
      <c r="E35" s="174">
        <v>39722</v>
      </c>
      <c r="F35">
        <v>2516322.0299999998</v>
      </c>
      <c r="G35">
        <v>45485</v>
      </c>
      <c r="H35">
        <v>2595586.17</v>
      </c>
    </row>
    <row r="36" spans="1:8" x14ac:dyDescent="0.2">
      <c r="A36" t="s">
        <v>156</v>
      </c>
      <c r="B36" t="s">
        <v>146</v>
      </c>
      <c r="C36">
        <v>2008</v>
      </c>
      <c r="D36">
        <v>10</v>
      </c>
      <c r="E36" s="174">
        <v>39753</v>
      </c>
      <c r="F36">
        <v>2431597.2000000002</v>
      </c>
      <c r="G36">
        <v>45485</v>
      </c>
      <c r="H36">
        <v>2508192.5099999998</v>
      </c>
    </row>
    <row r="37" spans="1:8" x14ac:dyDescent="0.2">
      <c r="A37" t="s">
        <v>156</v>
      </c>
      <c r="B37" t="s">
        <v>146</v>
      </c>
      <c r="C37">
        <v>2008</v>
      </c>
      <c r="D37">
        <v>11</v>
      </c>
      <c r="E37" s="174">
        <v>39783</v>
      </c>
      <c r="F37">
        <v>2295109.1</v>
      </c>
      <c r="G37">
        <v>45485</v>
      </c>
      <c r="H37">
        <v>2367405.04</v>
      </c>
    </row>
    <row r="38" spans="1:8" x14ac:dyDescent="0.2">
      <c r="A38" t="s">
        <v>156</v>
      </c>
      <c r="B38" t="s">
        <v>146</v>
      </c>
      <c r="C38">
        <v>2008</v>
      </c>
      <c r="D38">
        <v>12</v>
      </c>
      <c r="E38" s="174">
        <v>39814</v>
      </c>
      <c r="F38">
        <v>2366536.63</v>
      </c>
      <c r="G38">
        <v>45485</v>
      </c>
      <c r="H38">
        <v>2441082.5299999998</v>
      </c>
    </row>
    <row r="39" spans="1:8" x14ac:dyDescent="0.2">
      <c r="A39" t="s">
        <v>156</v>
      </c>
      <c r="B39" t="s">
        <v>146</v>
      </c>
      <c r="C39">
        <v>2009</v>
      </c>
      <c r="D39">
        <v>1</v>
      </c>
      <c r="E39" s="174">
        <v>39845</v>
      </c>
      <c r="F39">
        <v>2278971.1</v>
      </c>
      <c r="G39">
        <v>45485</v>
      </c>
      <c r="H39">
        <v>2350758.69</v>
      </c>
    </row>
    <row r="40" spans="1:8" x14ac:dyDescent="0.2">
      <c r="A40" t="s">
        <v>156</v>
      </c>
      <c r="B40" t="s">
        <v>146</v>
      </c>
      <c r="C40">
        <v>2009</v>
      </c>
      <c r="D40">
        <v>2</v>
      </c>
      <c r="E40" s="174">
        <v>39873</v>
      </c>
      <c r="F40">
        <v>2108440.7599999998</v>
      </c>
      <c r="G40">
        <v>45485</v>
      </c>
      <c r="H40">
        <v>2174856.64</v>
      </c>
    </row>
    <row r="41" spans="1:8" x14ac:dyDescent="0.2">
      <c r="A41" t="s">
        <v>156</v>
      </c>
      <c r="B41" t="s">
        <v>146</v>
      </c>
      <c r="C41">
        <v>2009</v>
      </c>
      <c r="D41">
        <v>3</v>
      </c>
      <c r="E41" s="174">
        <v>39904</v>
      </c>
      <c r="F41">
        <v>2411364.08</v>
      </c>
      <c r="G41">
        <v>45485</v>
      </c>
      <c r="H41">
        <v>2487322.0499999998</v>
      </c>
    </row>
    <row r="42" spans="1:8" x14ac:dyDescent="0.2">
      <c r="A42" t="s">
        <v>156</v>
      </c>
      <c r="B42" t="s">
        <v>146</v>
      </c>
      <c r="C42">
        <v>2009</v>
      </c>
      <c r="D42">
        <v>4</v>
      </c>
      <c r="E42" s="174">
        <v>39934</v>
      </c>
      <c r="F42">
        <v>2326534.0499999998</v>
      </c>
      <c r="G42">
        <v>45485</v>
      </c>
      <c r="H42">
        <v>2399819.87</v>
      </c>
    </row>
    <row r="43" spans="1:8" x14ac:dyDescent="0.2">
      <c r="A43" t="s">
        <v>156</v>
      </c>
      <c r="B43" t="s">
        <v>146</v>
      </c>
      <c r="C43">
        <v>2009</v>
      </c>
      <c r="D43">
        <v>5</v>
      </c>
      <c r="E43" s="174">
        <v>39965</v>
      </c>
      <c r="F43">
        <v>2504926.83</v>
      </c>
      <c r="G43">
        <v>45485</v>
      </c>
      <c r="H43">
        <v>2583832.0299999998</v>
      </c>
    </row>
    <row r="44" spans="1:8" x14ac:dyDescent="0.2">
      <c r="A44" t="s">
        <v>156</v>
      </c>
      <c r="B44" t="s">
        <v>146</v>
      </c>
      <c r="C44">
        <v>2009</v>
      </c>
      <c r="D44">
        <v>6</v>
      </c>
      <c r="E44" s="174">
        <v>39995</v>
      </c>
      <c r="F44">
        <v>2490087.52</v>
      </c>
      <c r="G44">
        <v>45485</v>
      </c>
      <c r="H44">
        <v>2568525.2799999998</v>
      </c>
    </row>
    <row r="45" spans="1:8" x14ac:dyDescent="0.2">
      <c r="A45" t="s">
        <v>156</v>
      </c>
      <c r="B45" t="s">
        <v>146</v>
      </c>
      <c r="C45">
        <v>2009</v>
      </c>
      <c r="D45">
        <v>7</v>
      </c>
      <c r="E45" s="174">
        <v>40026</v>
      </c>
      <c r="F45">
        <v>2575656.87</v>
      </c>
      <c r="G45">
        <v>45485</v>
      </c>
      <c r="H45">
        <v>2656790.06</v>
      </c>
    </row>
    <row r="46" spans="1:8" x14ac:dyDescent="0.2">
      <c r="A46" t="s">
        <v>156</v>
      </c>
      <c r="B46" t="s">
        <v>146</v>
      </c>
      <c r="C46">
        <v>2009</v>
      </c>
      <c r="D46">
        <v>8</v>
      </c>
      <c r="E46" s="174">
        <v>40057</v>
      </c>
      <c r="F46">
        <v>2637078.38</v>
      </c>
      <c r="G46">
        <v>45485</v>
      </c>
      <c r="H46">
        <v>2720146.35</v>
      </c>
    </row>
    <row r="47" spans="1:8" x14ac:dyDescent="0.2">
      <c r="A47" t="s">
        <v>156</v>
      </c>
      <c r="B47" t="s">
        <v>146</v>
      </c>
      <c r="C47">
        <v>2009</v>
      </c>
      <c r="D47">
        <v>9</v>
      </c>
      <c r="E47" s="174">
        <v>40087</v>
      </c>
      <c r="F47">
        <v>2473082.14</v>
      </c>
      <c r="G47">
        <v>45485</v>
      </c>
      <c r="H47">
        <v>2550984.23</v>
      </c>
    </row>
    <row r="48" spans="1:8" x14ac:dyDescent="0.2">
      <c r="A48" t="s">
        <v>156</v>
      </c>
      <c r="B48" t="s">
        <v>146</v>
      </c>
      <c r="C48">
        <v>2009</v>
      </c>
      <c r="D48">
        <v>10</v>
      </c>
      <c r="E48" s="174">
        <v>40118</v>
      </c>
      <c r="F48">
        <v>2436162.34</v>
      </c>
      <c r="G48">
        <v>45485</v>
      </c>
      <c r="H48">
        <v>2512901.4500000002</v>
      </c>
    </row>
    <row r="49" spans="1:8" x14ac:dyDescent="0.2">
      <c r="A49" t="s">
        <v>156</v>
      </c>
      <c r="B49" t="s">
        <v>146</v>
      </c>
      <c r="C49">
        <v>2009</v>
      </c>
      <c r="D49">
        <v>11</v>
      </c>
      <c r="E49" s="174">
        <v>40148</v>
      </c>
      <c r="F49">
        <v>2354430.6</v>
      </c>
      <c r="G49">
        <v>45485</v>
      </c>
      <c r="H49">
        <v>2428595.16</v>
      </c>
    </row>
    <row r="50" spans="1:8" x14ac:dyDescent="0.2">
      <c r="A50" t="s">
        <v>156</v>
      </c>
      <c r="B50" t="s">
        <v>146</v>
      </c>
      <c r="C50">
        <v>2009</v>
      </c>
      <c r="D50">
        <v>12</v>
      </c>
      <c r="E50" s="174">
        <v>40179</v>
      </c>
      <c r="F50">
        <v>2348104</v>
      </c>
      <c r="G50">
        <v>45485</v>
      </c>
      <c r="H50">
        <v>2422069.2799999998</v>
      </c>
    </row>
    <row r="51" spans="1:8" x14ac:dyDescent="0.2">
      <c r="A51" t="s">
        <v>156</v>
      </c>
      <c r="B51" t="s">
        <v>146</v>
      </c>
      <c r="C51">
        <v>2010</v>
      </c>
      <c r="D51">
        <v>1</v>
      </c>
      <c r="E51" s="174">
        <v>40210</v>
      </c>
      <c r="F51">
        <v>2350374.13</v>
      </c>
      <c r="G51">
        <v>45485</v>
      </c>
      <c r="H51">
        <v>2424410.92</v>
      </c>
    </row>
    <row r="52" spans="1:8" x14ac:dyDescent="0.2">
      <c r="A52" t="s">
        <v>156</v>
      </c>
      <c r="B52" t="s">
        <v>146</v>
      </c>
      <c r="C52">
        <v>2010</v>
      </c>
      <c r="D52">
        <v>2</v>
      </c>
      <c r="E52" s="174">
        <v>40238</v>
      </c>
      <c r="F52">
        <v>2080664.34</v>
      </c>
      <c r="G52">
        <v>45485</v>
      </c>
      <c r="H52">
        <v>2146205.27</v>
      </c>
    </row>
    <row r="53" spans="1:8" x14ac:dyDescent="0.2">
      <c r="A53" t="s">
        <v>156</v>
      </c>
      <c r="B53" t="s">
        <v>146</v>
      </c>
      <c r="C53">
        <v>2010</v>
      </c>
      <c r="D53">
        <v>3</v>
      </c>
      <c r="E53" s="174">
        <v>40269</v>
      </c>
      <c r="F53">
        <v>2324860.14</v>
      </c>
      <c r="G53">
        <v>45485</v>
      </c>
      <c r="H53">
        <v>2398093.23</v>
      </c>
    </row>
    <row r="54" spans="1:8" x14ac:dyDescent="0.2">
      <c r="A54" t="s">
        <v>156</v>
      </c>
      <c r="B54" t="s">
        <v>146</v>
      </c>
      <c r="C54">
        <v>2010</v>
      </c>
      <c r="D54">
        <v>4</v>
      </c>
      <c r="E54" s="174">
        <v>40299</v>
      </c>
      <c r="F54">
        <v>2359545.69</v>
      </c>
      <c r="G54">
        <v>45485</v>
      </c>
      <c r="H54">
        <v>2433871.38</v>
      </c>
    </row>
    <row r="55" spans="1:8" x14ac:dyDescent="0.2">
      <c r="A55" t="s">
        <v>156</v>
      </c>
      <c r="B55" t="s">
        <v>146</v>
      </c>
      <c r="C55">
        <v>2010</v>
      </c>
      <c r="D55">
        <v>5</v>
      </c>
      <c r="E55" s="174">
        <v>40330</v>
      </c>
      <c r="F55">
        <v>2511761.23</v>
      </c>
      <c r="G55">
        <v>45485</v>
      </c>
      <c r="H55">
        <v>2557726.46</v>
      </c>
    </row>
    <row r="56" spans="1:8" x14ac:dyDescent="0.2">
      <c r="A56" t="s">
        <v>156</v>
      </c>
      <c r="B56" t="s">
        <v>146</v>
      </c>
      <c r="C56">
        <v>2010</v>
      </c>
      <c r="D56">
        <v>6</v>
      </c>
      <c r="E56" s="174">
        <v>40360</v>
      </c>
      <c r="F56">
        <v>2580321.14</v>
      </c>
      <c r="G56">
        <v>45485</v>
      </c>
      <c r="H56">
        <v>2627541.02</v>
      </c>
    </row>
    <row r="57" spans="1:8" x14ac:dyDescent="0.2">
      <c r="A57" t="s">
        <v>156</v>
      </c>
      <c r="B57" t="s">
        <v>146</v>
      </c>
      <c r="C57">
        <v>2010</v>
      </c>
      <c r="D57">
        <v>7</v>
      </c>
      <c r="E57" s="174">
        <v>40391</v>
      </c>
      <c r="F57">
        <v>2833027.69</v>
      </c>
      <c r="G57">
        <v>45485</v>
      </c>
      <c r="H57">
        <v>2884872.1</v>
      </c>
    </row>
    <row r="58" spans="1:8" x14ac:dyDescent="0.2">
      <c r="A58" t="s">
        <v>156</v>
      </c>
      <c r="B58" t="s">
        <v>146</v>
      </c>
      <c r="C58">
        <v>2010</v>
      </c>
      <c r="D58">
        <v>8</v>
      </c>
      <c r="E58" s="174">
        <v>40422</v>
      </c>
      <c r="F58">
        <v>2796046.35</v>
      </c>
      <c r="G58">
        <v>45485</v>
      </c>
      <c r="H58">
        <v>2847214</v>
      </c>
    </row>
    <row r="59" spans="1:8" x14ac:dyDescent="0.2">
      <c r="A59" t="s">
        <v>156</v>
      </c>
      <c r="B59" t="s">
        <v>146</v>
      </c>
      <c r="C59">
        <v>2010</v>
      </c>
      <c r="D59">
        <v>9</v>
      </c>
      <c r="E59" s="174">
        <v>40452</v>
      </c>
      <c r="F59">
        <v>2567970.4500000002</v>
      </c>
      <c r="G59">
        <v>45485</v>
      </c>
      <c r="H59">
        <v>2614964.31</v>
      </c>
    </row>
    <row r="60" spans="1:8" x14ac:dyDescent="0.2">
      <c r="A60" t="s">
        <v>156</v>
      </c>
      <c r="B60" t="s">
        <v>146</v>
      </c>
      <c r="C60">
        <v>2010</v>
      </c>
      <c r="D60">
        <v>10</v>
      </c>
      <c r="E60" s="174">
        <v>40483</v>
      </c>
      <c r="F60">
        <v>2502291.86</v>
      </c>
      <c r="G60">
        <v>45485</v>
      </c>
      <c r="H60">
        <v>2548083.7999999998</v>
      </c>
    </row>
    <row r="61" spans="1:8" x14ac:dyDescent="0.2">
      <c r="A61" t="s">
        <v>156</v>
      </c>
      <c r="B61" t="s">
        <v>146</v>
      </c>
      <c r="C61">
        <v>2010</v>
      </c>
      <c r="D61">
        <v>11</v>
      </c>
      <c r="E61" s="174">
        <v>40513</v>
      </c>
      <c r="F61">
        <v>2340013.4</v>
      </c>
      <c r="G61">
        <v>45485</v>
      </c>
      <c r="H61">
        <v>2382835.65</v>
      </c>
    </row>
    <row r="62" spans="1:8" x14ac:dyDescent="0.2">
      <c r="A62" t="s">
        <v>156</v>
      </c>
      <c r="B62" t="s">
        <v>146</v>
      </c>
      <c r="C62">
        <v>2010</v>
      </c>
      <c r="D62">
        <v>12</v>
      </c>
      <c r="E62" s="174">
        <v>40544</v>
      </c>
      <c r="F62">
        <v>2355434.11</v>
      </c>
      <c r="G62">
        <v>45485</v>
      </c>
      <c r="H62">
        <v>2398538.5499999998</v>
      </c>
    </row>
    <row r="63" spans="1:8" x14ac:dyDescent="0.2">
      <c r="A63" t="s">
        <v>156</v>
      </c>
      <c r="B63" t="s">
        <v>146</v>
      </c>
      <c r="C63">
        <v>2011</v>
      </c>
      <c r="D63">
        <v>1</v>
      </c>
      <c r="E63" s="174">
        <v>40575</v>
      </c>
      <c r="F63">
        <v>2257049.94</v>
      </c>
      <c r="G63">
        <v>45485</v>
      </c>
      <c r="H63">
        <v>2298353.9500000002</v>
      </c>
    </row>
    <row r="64" spans="1:8" x14ac:dyDescent="0.2">
      <c r="A64" t="s">
        <v>156</v>
      </c>
      <c r="B64" t="s">
        <v>146</v>
      </c>
      <c r="C64">
        <v>2011</v>
      </c>
      <c r="D64">
        <v>2</v>
      </c>
      <c r="E64" s="174">
        <v>40603</v>
      </c>
      <c r="F64">
        <v>2190041.08</v>
      </c>
      <c r="G64">
        <v>45485</v>
      </c>
      <c r="H64">
        <v>2230118.83</v>
      </c>
    </row>
    <row r="65" spans="1:8" x14ac:dyDescent="0.2">
      <c r="A65" t="s">
        <v>156</v>
      </c>
      <c r="B65" t="s">
        <v>146</v>
      </c>
      <c r="C65">
        <v>2011</v>
      </c>
      <c r="D65">
        <v>3</v>
      </c>
      <c r="E65" s="174">
        <v>40634</v>
      </c>
      <c r="F65">
        <v>2594560.65</v>
      </c>
      <c r="G65">
        <v>45485</v>
      </c>
      <c r="H65">
        <v>2642041.11</v>
      </c>
    </row>
    <row r="66" spans="1:8" x14ac:dyDescent="0.2">
      <c r="A66" t="s">
        <v>156</v>
      </c>
      <c r="B66" t="s">
        <v>146</v>
      </c>
      <c r="C66">
        <v>2011</v>
      </c>
      <c r="D66">
        <v>4</v>
      </c>
      <c r="E66" s="174">
        <v>40664</v>
      </c>
      <c r="F66">
        <v>2567441.42</v>
      </c>
      <c r="G66">
        <v>45485</v>
      </c>
      <c r="H66">
        <v>2614425.6000000001</v>
      </c>
    </row>
    <row r="67" spans="1:8" x14ac:dyDescent="0.2">
      <c r="A67" t="s">
        <v>156</v>
      </c>
      <c r="B67" t="s">
        <v>146</v>
      </c>
      <c r="C67">
        <v>2011</v>
      </c>
      <c r="D67">
        <v>5</v>
      </c>
      <c r="E67" s="174">
        <v>40695</v>
      </c>
      <c r="F67">
        <v>2857072.18</v>
      </c>
      <c r="G67">
        <v>45485</v>
      </c>
      <c r="H67">
        <v>2909356.6</v>
      </c>
    </row>
    <row r="68" spans="1:8" x14ac:dyDescent="0.2">
      <c r="A68" t="s">
        <v>156</v>
      </c>
      <c r="B68" t="s">
        <v>146</v>
      </c>
      <c r="C68">
        <v>2011</v>
      </c>
      <c r="D68">
        <v>6</v>
      </c>
      <c r="E68" s="174">
        <v>40725</v>
      </c>
      <c r="F68">
        <v>2998378.76</v>
      </c>
      <c r="G68">
        <v>45485</v>
      </c>
      <c r="H68">
        <v>3053249.09</v>
      </c>
    </row>
    <row r="69" spans="1:8" x14ac:dyDescent="0.2">
      <c r="A69" t="s">
        <v>156</v>
      </c>
      <c r="B69" t="s">
        <v>146</v>
      </c>
      <c r="C69">
        <v>2011</v>
      </c>
      <c r="D69">
        <v>7</v>
      </c>
      <c r="E69" s="174">
        <v>40756</v>
      </c>
      <c r="F69">
        <v>3318222.39</v>
      </c>
      <c r="G69">
        <v>45485</v>
      </c>
      <c r="H69">
        <v>3378945.86</v>
      </c>
    </row>
    <row r="70" spans="1:8" x14ac:dyDescent="0.2">
      <c r="A70" t="s">
        <v>156</v>
      </c>
      <c r="B70" t="s">
        <v>146</v>
      </c>
      <c r="C70">
        <v>2011</v>
      </c>
      <c r="D70">
        <v>8</v>
      </c>
      <c r="E70" s="174">
        <v>40787</v>
      </c>
      <c r="F70">
        <v>3197649.61</v>
      </c>
      <c r="G70">
        <v>45485</v>
      </c>
      <c r="H70">
        <v>3256166.6</v>
      </c>
    </row>
    <row r="71" spans="1:8" x14ac:dyDescent="0.2">
      <c r="A71" t="s">
        <v>156</v>
      </c>
      <c r="B71" t="s">
        <v>146</v>
      </c>
      <c r="C71">
        <v>2011</v>
      </c>
      <c r="D71">
        <v>9</v>
      </c>
      <c r="E71" s="174">
        <v>40817</v>
      </c>
      <c r="F71">
        <v>2864394.01</v>
      </c>
      <c r="G71">
        <v>45485</v>
      </c>
      <c r="H71">
        <v>2916812.42</v>
      </c>
    </row>
    <row r="72" spans="1:8" x14ac:dyDescent="0.2">
      <c r="A72" t="s">
        <v>156</v>
      </c>
      <c r="B72" t="s">
        <v>146</v>
      </c>
      <c r="C72">
        <v>2011</v>
      </c>
      <c r="D72">
        <v>10</v>
      </c>
      <c r="E72" s="174">
        <v>40848</v>
      </c>
      <c r="F72">
        <v>2642556.7000000002</v>
      </c>
      <c r="G72">
        <v>45485</v>
      </c>
      <c r="H72">
        <v>2643349.4700000002</v>
      </c>
    </row>
    <row r="73" spans="1:8" x14ac:dyDescent="0.2">
      <c r="A73" t="s">
        <v>156</v>
      </c>
      <c r="B73" t="s">
        <v>146</v>
      </c>
      <c r="C73">
        <v>2011</v>
      </c>
      <c r="D73">
        <v>11</v>
      </c>
      <c r="E73" s="174">
        <v>40878</v>
      </c>
      <c r="F73">
        <v>2505724.2400000002</v>
      </c>
      <c r="G73">
        <v>45485</v>
      </c>
      <c r="H73">
        <v>2506475.96</v>
      </c>
    </row>
    <row r="74" spans="1:8" x14ac:dyDescent="0.2">
      <c r="A74" t="s">
        <v>156</v>
      </c>
      <c r="B74" t="s">
        <v>146</v>
      </c>
      <c r="C74">
        <v>2011</v>
      </c>
      <c r="D74">
        <v>12</v>
      </c>
      <c r="E74" s="174">
        <v>40909</v>
      </c>
      <c r="F74">
        <v>2542688.81</v>
      </c>
      <c r="G74">
        <v>45485</v>
      </c>
      <c r="H74">
        <v>2543451.62</v>
      </c>
    </row>
    <row r="75" spans="1:8" x14ac:dyDescent="0.2">
      <c r="A75" t="s">
        <v>156</v>
      </c>
      <c r="B75" t="s">
        <v>146</v>
      </c>
      <c r="C75">
        <v>2012</v>
      </c>
      <c r="D75">
        <v>1</v>
      </c>
      <c r="E75" s="174">
        <v>40940</v>
      </c>
      <c r="F75">
        <v>2468359.02</v>
      </c>
      <c r="G75">
        <v>45485</v>
      </c>
      <c r="H75">
        <v>2469099.5299999998</v>
      </c>
    </row>
    <row r="76" spans="1:8" x14ac:dyDescent="0.2">
      <c r="A76" t="s">
        <v>156</v>
      </c>
      <c r="B76" t="s">
        <v>146</v>
      </c>
      <c r="C76">
        <v>2012</v>
      </c>
      <c r="D76">
        <v>2</v>
      </c>
      <c r="E76" s="178">
        <v>40969</v>
      </c>
      <c r="F76" s="57">
        <v>2270361.7999999998</v>
      </c>
      <c r="G76" s="57">
        <v>45485</v>
      </c>
      <c r="H76" s="57">
        <v>2271042.91</v>
      </c>
    </row>
    <row r="77" spans="1:8" x14ac:dyDescent="0.2">
      <c r="A77" t="s">
        <v>156</v>
      </c>
      <c r="B77" t="s">
        <v>146</v>
      </c>
      <c r="C77">
        <v>2012</v>
      </c>
      <c r="D77">
        <v>3</v>
      </c>
      <c r="E77" s="178">
        <v>41000</v>
      </c>
      <c r="F77" s="57">
        <v>2554749.11</v>
      </c>
      <c r="G77" s="57">
        <v>45485</v>
      </c>
      <c r="H77" s="57">
        <v>2555515.5299999998</v>
      </c>
    </row>
    <row r="78" spans="1:8" x14ac:dyDescent="0.2">
      <c r="A78" t="s">
        <v>156</v>
      </c>
      <c r="B78" t="s">
        <v>146</v>
      </c>
      <c r="C78">
        <v>2012</v>
      </c>
      <c r="D78">
        <v>4</v>
      </c>
      <c r="E78" s="178">
        <v>41026</v>
      </c>
      <c r="F78" s="57">
        <v>2122659.12</v>
      </c>
      <c r="G78" s="57">
        <v>45485</v>
      </c>
      <c r="H78" s="57">
        <v>2123295.92</v>
      </c>
    </row>
    <row r="79" spans="1:8" x14ac:dyDescent="0.2">
      <c r="A79" s="179" t="s">
        <v>156</v>
      </c>
      <c r="B79" s="179" t="s">
        <v>146</v>
      </c>
      <c r="C79" s="179">
        <v>2012</v>
      </c>
      <c r="D79" s="179">
        <v>5</v>
      </c>
      <c r="E79" s="180">
        <v>41061</v>
      </c>
      <c r="F79" s="181">
        <v>3014442.9971008701</v>
      </c>
      <c r="G79" s="182">
        <v>45485</v>
      </c>
      <c r="H79" s="181">
        <v>3015347.33</v>
      </c>
    </row>
    <row r="80" spans="1:8" x14ac:dyDescent="0.2">
      <c r="A80" s="179" t="s">
        <v>156</v>
      </c>
      <c r="B80" s="179" t="s">
        <v>146</v>
      </c>
      <c r="C80" s="179">
        <v>2012</v>
      </c>
      <c r="D80" s="179">
        <v>6</v>
      </c>
      <c r="E80" s="180">
        <v>41091</v>
      </c>
      <c r="F80" s="181">
        <v>2889801.28</v>
      </c>
      <c r="G80" s="182">
        <v>45485</v>
      </c>
      <c r="H80" s="181">
        <v>2890668.22</v>
      </c>
    </row>
    <row r="81" spans="1:8" x14ac:dyDescent="0.2">
      <c r="A81" s="179" t="s">
        <v>156</v>
      </c>
      <c r="B81" s="179" t="s">
        <v>146</v>
      </c>
      <c r="C81" s="179">
        <v>2012</v>
      </c>
      <c r="D81" s="179">
        <v>7</v>
      </c>
      <c r="E81" s="180">
        <v>41122</v>
      </c>
      <c r="F81" s="181">
        <v>3114912.7461761474</v>
      </c>
      <c r="G81" s="182">
        <v>45485</v>
      </c>
      <c r="H81" s="181">
        <v>3115847.22</v>
      </c>
    </row>
    <row r="82" spans="1:8" x14ac:dyDescent="0.2">
      <c r="A82" s="179" t="s">
        <v>156</v>
      </c>
      <c r="B82" s="179" t="s">
        <v>146</v>
      </c>
      <c r="C82" s="179">
        <v>2012</v>
      </c>
      <c r="D82" s="179">
        <v>8</v>
      </c>
      <c r="E82" s="180">
        <v>41153</v>
      </c>
      <c r="F82" s="181">
        <v>3018456.0731780464</v>
      </c>
      <c r="G82" s="182">
        <v>45485</v>
      </c>
      <c r="H82" s="181">
        <v>3019361.61</v>
      </c>
    </row>
    <row r="83" spans="1:8" x14ac:dyDescent="0.2">
      <c r="A83" s="179" t="s">
        <v>156</v>
      </c>
      <c r="B83" s="179" t="s">
        <v>146</v>
      </c>
      <c r="C83" s="179">
        <v>2012</v>
      </c>
      <c r="D83" s="179">
        <v>9</v>
      </c>
      <c r="E83" s="180">
        <v>41183</v>
      </c>
      <c r="F83" s="181">
        <v>2757059.9720083973</v>
      </c>
      <c r="G83" s="182">
        <v>45485</v>
      </c>
      <c r="H83" s="181">
        <v>2757887.09</v>
      </c>
    </row>
    <row r="84" spans="1:8" x14ac:dyDescent="0.2">
      <c r="A84" s="179" t="s">
        <v>156</v>
      </c>
      <c r="B84" s="179" t="s">
        <v>146</v>
      </c>
      <c r="C84" s="179">
        <v>2012</v>
      </c>
      <c r="D84" s="179">
        <v>10</v>
      </c>
      <c r="E84" s="180">
        <v>41214</v>
      </c>
      <c r="F84" s="181">
        <v>2654281.6854943521</v>
      </c>
      <c r="G84" s="182">
        <v>45485</v>
      </c>
      <c r="H84" s="181">
        <v>2655077.9700000002</v>
      </c>
    </row>
    <row r="85" spans="1:8" x14ac:dyDescent="0.2">
      <c r="A85" s="179" t="s">
        <v>156</v>
      </c>
      <c r="B85" s="179" t="s">
        <v>146</v>
      </c>
      <c r="C85" s="179">
        <v>2012</v>
      </c>
      <c r="D85" s="179">
        <v>11</v>
      </c>
      <c r="E85" s="180">
        <v>41244</v>
      </c>
      <c r="F85" s="181">
        <v>2484508.7973607918</v>
      </c>
      <c r="G85" s="182">
        <v>45485</v>
      </c>
      <c r="H85" s="181">
        <v>2485254.15</v>
      </c>
    </row>
    <row r="86" spans="1:8" x14ac:dyDescent="0.2">
      <c r="A86" s="179" t="s">
        <v>156</v>
      </c>
      <c r="B86" s="179" t="s">
        <v>146</v>
      </c>
      <c r="C86" s="179">
        <v>2012</v>
      </c>
      <c r="D86" s="179">
        <v>12</v>
      </c>
      <c r="E86" s="180">
        <v>41275</v>
      </c>
      <c r="F86" s="181">
        <v>2496697.7306807959</v>
      </c>
      <c r="G86" s="182">
        <v>45485</v>
      </c>
      <c r="H86" s="181">
        <v>2497446.7400000002</v>
      </c>
    </row>
    <row r="87" spans="1:8" x14ac:dyDescent="0.2">
      <c r="A87" t="s">
        <v>152</v>
      </c>
      <c r="B87" t="s">
        <v>158</v>
      </c>
      <c r="C87">
        <v>2005</v>
      </c>
      <c r="D87">
        <v>12</v>
      </c>
      <c r="E87" s="178">
        <v>38718</v>
      </c>
      <c r="F87" s="57">
        <v>279174.76</v>
      </c>
      <c r="G87" s="57">
        <v>9743</v>
      </c>
      <c r="H87" s="57">
        <v>289001.71000000002</v>
      </c>
    </row>
    <row r="88" spans="1:8" x14ac:dyDescent="0.2">
      <c r="A88" t="s">
        <v>152</v>
      </c>
      <c r="B88" t="s">
        <v>158</v>
      </c>
      <c r="C88">
        <v>2006</v>
      </c>
      <c r="D88">
        <v>1</v>
      </c>
      <c r="E88" s="178">
        <v>38749</v>
      </c>
      <c r="F88" s="57">
        <v>278682.90000000002</v>
      </c>
      <c r="G88" s="57">
        <v>9743</v>
      </c>
      <c r="H88" s="57">
        <v>288492.53999999998</v>
      </c>
    </row>
    <row r="89" spans="1:8" x14ac:dyDescent="0.2">
      <c r="A89" t="s">
        <v>152</v>
      </c>
      <c r="B89" t="s">
        <v>158</v>
      </c>
      <c r="C89">
        <v>2006</v>
      </c>
      <c r="D89">
        <v>2</v>
      </c>
      <c r="E89" s="174">
        <v>38777</v>
      </c>
      <c r="F89">
        <v>249380.92</v>
      </c>
      <c r="G89">
        <v>9743</v>
      </c>
      <c r="H89">
        <v>258159.13</v>
      </c>
    </row>
    <row r="90" spans="1:8" x14ac:dyDescent="0.2">
      <c r="A90" t="s">
        <v>152</v>
      </c>
      <c r="B90" t="s">
        <v>158</v>
      </c>
      <c r="C90">
        <v>2006</v>
      </c>
      <c r="D90">
        <v>3</v>
      </c>
      <c r="E90" s="174">
        <v>38808</v>
      </c>
      <c r="F90">
        <v>276162.18</v>
      </c>
      <c r="G90">
        <v>9743</v>
      </c>
      <c r="H90">
        <v>285883.09000000003</v>
      </c>
    </row>
    <row r="91" spans="1:8" x14ac:dyDescent="0.2">
      <c r="A91" t="s">
        <v>152</v>
      </c>
      <c r="B91" t="s">
        <v>158</v>
      </c>
      <c r="C91">
        <v>2006</v>
      </c>
      <c r="D91">
        <v>4</v>
      </c>
      <c r="E91" s="174">
        <v>38838</v>
      </c>
      <c r="F91">
        <v>276803.63</v>
      </c>
      <c r="G91">
        <v>9743</v>
      </c>
      <c r="H91">
        <v>286547.12</v>
      </c>
    </row>
    <row r="92" spans="1:8" x14ac:dyDescent="0.2">
      <c r="A92" t="s">
        <v>152</v>
      </c>
      <c r="B92" t="s">
        <v>158</v>
      </c>
      <c r="C92">
        <v>2006</v>
      </c>
      <c r="D92">
        <v>5</v>
      </c>
      <c r="E92" s="174">
        <v>38869</v>
      </c>
      <c r="F92">
        <v>301716.74</v>
      </c>
      <c r="G92">
        <v>9743</v>
      </c>
      <c r="H92">
        <v>314358.67</v>
      </c>
    </row>
    <row r="93" spans="1:8" x14ac:dyDescent="0.2">
      <c r="A93" t="s">
        <v>152</v>
      </c>
      <c r="B93" t="s">
        <v>158</v>
      </c>
      <c r="C93">
        <v>2006</v>
      </c>
      <c r="D93">
        <v>6</v>
      </c>
      <c r="E93" s="174">
        <v>38899</v>
      </c>
      <c r="F93">
        <v>306513.96999999997</v>
      </c>
      <c r="G93">
        <v>9743</v>
      </c>
      <c r="H93">
        <v>319356.90999999997</v>
      </c>
    </row>
    <row r="94" spans="1:8" x14ac:dyDescent="0.2">
      <c r="A94" t="s">
        <v>152</v>
      </c>
      <c r="B94" t="s">
        <v>158</v>
      </c>
      <c r="C94">
        <v>2006</v>
      </c>
      <c r="D94">
        <v>7</v>
      </c>
      <c r="E94" s="174">
        <v>38930</v>
      </c>
      <c r="F94">
        <v>331165.63</v>
      </c>
      <c r="G94">
        <v>9743</v>
      </c>
      <c r="H94">
        <v>345041.47</v>
      </c>
    </row>
    <row r="95" spans="1:8" x14ac:dyDescent="0.2">
      <c r="A95" t="s">
        <v>152</v>
      </c>
      <c r="B95" t="s">
        <v>158</v>
      </c>
      <c r="C95">
        <v>2006</v>
      </c>
      <c r="D95">
        <v>8</v>
      </c>
      <c r="E95" s="174">
        <v>38961</v>
      </c>
      <c r="F95">
        <v>321343.68</v>
      </c>
      <c r="G95">
        <v>9743</v>
      </c>
      <c r="H95">
        <v>334807.98</v>
      </c>
    </row>
    <row r="96" spans="1:8" x14ac:dyDescent="0.2">
      <c r="A96" t="s">
        <v>152</v>
      </c>
      <c r="B96" t="s">
        <v>158</v>
      </c>
      <c r="C96">
        <v>2006</v>
      </c>
      <c r="D96">
        <v>9</v>
      </c>
      <c r="E96" s="174">
        <v>38991</v>
      </c>
      <c r="F96">
        <v>293668.73</v>
      </c>
      <c r="G96">
        <v>9743</v>
      </c>
      <c r="H96">
        <v>305973.45</v>
      </c>
    </row>
    <row r="97" spans="1:8" x14ac:dyDescent="0.2">
      <c r="A97" t="s">
        <v>152</v>
      </c>
      <c r="B97" t="s">
        <v>158</v>
      </c>
      <c r="C97">
        <v>2006</v>
      </c>
      <c r="D97">
        <v>10</v>
      </c>
      <c r="E97" s="174">
        <v>39022</v>
      </c>
      <c r="F97">
        <v>287289.94</v>
      </c>
      <c r="G97">
        <v>9743</v>
      </c>
      <c r="H97">
        <v>299327.39</v>
      </c>
    </row>
    <row r="98" spans="1:8" x14ac:dyDescent="0.2">
      <c r="A98" t="s">
        <v>152</v>
      </c>
      <c r="B98" t="s">
        <v>158</v>
      </c>
      <c r="C98">
        <v>2006</v>
      </c>
      <c r="D98">
        <v>11</v>
      </c>
      <c r="E98" s="174">
        <v>39052</v>
      </c>
      <c r="F98">
        <v>277101.09999999998</v>
      </c>
      <c r="G98">
        <v>9743</v>
      </c>
      <c r="H98">
        <v>288711.64</v>
      </c>
    </row>
    <row r="99" spans="1:8" x14ac:dyDescent="0.2">
      <c r="A99" t="s">
        <v>152</v>
      </c>
      <c r="B99" t="s">
        <v>158</v>
      </c>
      <c r="C99">
        <v>2006</v>
      </c>
      <c r="D99">
        <v>12</v>
      </c>
      <c r="E99" s="174">
        <v>39083</v>
      </c>
      <c r="F99">
        <v>282099.87</v>
      </c>
      <c r="G99">
        <v>9743</v>
      </c>
      <c r="H99">
        <v>293919.84999999998</v>
      </c>
    </row>
    <row r="100" spans="1:8" x14ac:dyDescent="0.2">
      <c r="A100" t="s">
        <v>152</v>
      </c>
      <c r="B100" t="s">
        <v>158</v>
      </c>
      <c r="C100">
        <v>2007</v>
      </c>
      <c r="D100">
        <v>1</v>
      </c>
      <c r="E100" s="174">
        <v>39114</v>
      </c>
      <c r="F100">
        <v>281710.09999999998</v>
      </c>
      <c r="G100">
        <v>9743</v>
      </c>
      <c r="H100">
        <v>293513.75</v>
      </c>
    </row>
    <row r="101" spans="1:8" x14ac:dyDescent="0.2">
      <c r="A101" t="s">
        <v>152</v>
      </c>
      <c r="B101" t="s">
        <v>158</v>
      </c>
      <c r="C101">
        <v>2007</v>
      </c>
      <c r="D101">
        <v>2</v>
      </c>
      <c r="E101" s="174">
        <v>39142</v>
      </c>
      <c r="F101">
        <v>251368.2</v>
      </c>
      <c r="G101">
        <v>9743</v>
      </c>
      <c r="H101">
        <v>261900.53</v>
      </c>
    </row>
    <row r="102" spans="1:8" x14ac:dyDescent="0.2">
      <c r="A102" t="s">
        <v>152</v>
      </c>
      <c r="B102" t="s">
        <v>158</v>
      </c>
      <c r="C102">
        <v>2007</v>
      </c>
      <c r="D102">
        <v>3</v>
      </c>
      <c r="E102" s="174">
        <v>39173</v>
      </c>
      <c r="F102">
        <v>280390.21000000002</v>
      </c>
      <c r="G102">
        <v>9743</v>
      </c>
      <c r="H102">
        <v>292138.56</v>
      </c>
    </row>
    <row r="103" spans="1:8" x14ac:dyDescent="0.2">
      <c r="A103" t="s">
        <v>152</v>
      </c>
      <c r="B103" t="s">
        <v>158</v>
      </c>
      <c r="C103">
        <v>2007</v>
      </c>
      <c r="D103">
        <v>4</v>
      </c>
      <c r="E103" s="174">
        <v>39203</v>
      </c>
      <c r="F103">
        <v>274614.34000000003</v>
      </c>
      <c r="G103">
        <v>9743</v>
      </c>
      <c r="H103">
        <v>286120.68</v>
      </c>
    </row>
    <row r="104" spans="1:8" x14ac:dyDescent="0.2">
      <c r="A104" t="s">
        <v>152</v>
      </c>
      <c r="B104" t="s">
        <v>158</v>
      </c>
      <c r="C104">
        <v>2007</v>
      </c>
      <c r="D104">
        <v>5</v>
      </c>
      <c r="E104" s="174">
        <v>39234</v>
      </c>
      <c r="F104">
        <v>301985.2</v>
      </c>
      <c r="G104">
        <v>9743</v>
      </c>
      <c r="H104">
        <v>314638.38</v>
      </c>
    </row>
    <row r="105" spans="1:8" x14ac:dyDescent="0.2">
      <c r="A105" t="s">
        <v>152</v>
      </c>
      <c r="B105" t="s">
        <v>158</v>
      </c>
      <c r="C105">
        <v>2007</v>
      </c>
      <c r="D105">
        <v>6</v>
      </c>
      <c r="E105" s="174">
        <v>39264</v>
      </c>
      <c r="F105">
        <v>314544.90999999997</v>
      </c>
      <c r="G105">
        <v>9743</v>
      </c>
      <c r="H105">
        <v>327724.34000000003</v>
      </c>
    </row>
    <row r="106" spans="1:8" x14ac:dyDescent="0.2">
      <c r="A106" t="s">
        <v>152</v>
      </c>
      <c r="B106" t="s">
        <v>158</v>
      </c>
      <c r="C106">
        <v>2007</v>
      </c>
      <c r="D106">
        <v>7</v>
      </c>
      <c r="E106" s="174">
        <v>39295</v>
      </c>
      <c r="F106">
        <v>320432.25</v>
      </c>
      <c r="G106">
        <v>9743</v>
      </c>
      <c r="H106">
        <v>333858.36</v>
      </c>
    </row>
    <row r="107" spans="1:8" x14ac:dyDescent="0.2">
      <c r="A107" t="s">
        <v>152</v>
      </c>
      <c r="B107" t="s">
        <v>158</v>
      </c>
      <c r="C107">
        <v>2007</v>
      </c>
      <c r="D107">
        <v>8</v>
      </c>
      <c r="E107" s="174">
        <v>39326</v>
      </c>
      <c r="F107">
        <v>328416.21000000002</v>
      </c>
      <c r="G107">
        <v>9743</v>
      </c>
      <c r="H107">
        <v>342176.85</v>
      </c>
    </row>
    <row r="108" spans="1:8" x14ac:dyDescent="0.2">
      <c r="A108" t="s">
        <v>152</v>
      </c>
      <c r="B108" t="s">
        <v>158</v>
      </c>
      <c r="C108">
        <v>2007</v>
      </c>
      <c r="D108">
        <v>9</v>
      </c>
      <c r="E108" s="174">
        <v>39356</v>
      </c>
      <c r="F108">
        <v>306481.15000000002</v>
      </c>
      <c r="G108">
        <v>9743</v>
      </c>
      <c r="H108">
        <v>319322.71000000002</v>
      </c>
    </row>
    <row r="109" spans="1:8" x14ac:dyDescent="0.2">
      <c r="A109" t="s">
        <v>152</v>
      </c>
      <c r="B109" t="s">
        <v>158</v>
      </c>
      <c r="C109">
        <v>2007</v>
      </c>
      <c r="D109">
        <v>10</v>
      </c>
      <c r="E109" s="174">
        <v>39387</v>
      </c>
      <c r="F109">
        <v>305192.71000000002</v>
      </c>
      <c r="G109">
        <v>9743</v>
      </c>
      <c r="H109">
        <v>317980.28000000003</v>
      </c>
    </row>
    <row r="110" spans="1:8" x14ac:dyDescent="0.2">
      <c r="A110" t="s">
        <v>152</v>
      </c>
      <c r="B110" t="s">
        <v>158</v>
      </c>
      <c r="C110">
        <v>2007</v>
      </c>
      <c r="D110">
        <v>11</v>
      </c>
      <c r="E110" s="174">
        <v>39417</v>
      </c>
      <c r="F110">
        <v>276279.65999999997</v>
      </c>
      <c r="G110">
        <v>9743</v>
      </c>
      <c r="H110">
        <v>287855.78000000003</v>
      </c>
    </row>
    <row r="111" spans="1:8" x14ac:dyDescent="0.2">
      <c r="A111" t="s">
        <v>152</v>
      </c>
      <c r="B111" t="s">
        <v>158</v>
      </c>
      <c r="C111">
        <v>2007</v>
      </c>
      <c r="D111">
        <v>12</v>
      </c>
      <c r="E111" s="174">
        <v>39448</v>
      </c>
      <c r="F111">
        <v>285213.63</v>
      </c>
      <c r="G111">
        <v>9743</v>
      </c>
      <c r="H111">
        <v>297164.08</v>
      </c>
    </row>
    <row r="112" spans="1:8" x14ac:dyDescent="0.2">
      <c r="A112" t="s">
        <v>152</v>
      </c>
      <c r="B112" t="s">
        <v>158</v>
      </c>
      <c r="C112">
        <v>2008</v>
      </c>
      <c r="D112">
        <v>1</v>
      </c>
      <c r="E112" s="174">
        <v>39479</v>
      </c>
      <c r="F112">
        <v>290433.69</v>
      </c>
      <c r="G112">
        <v>9743</v>
      </c>
      <c r="H112">
        <v>302602.86</v>
      </c>
    </row>
    <row r="113" spans="1:8" x14ac:dyDescent="0.2">
      <c r="A113" t="s">
        <v>152</v>
      </c>
      <c r="B113" t="s">
        <v>158</v>
      </c>
      <c r="C113">
        <v>2008</v>
      </c>
      <c r="D113">
        <v>2</v>
      </c>
      <c r="E113" s="174">
        <v>39508</v>
      </c>
      <c r="F113">
        <v>270922.93</v>
      </c>
      <c r="G113">
        <v>9743</v>
      </c>
      <c r="H113">
        <v>282274.59999999998</v>
      </c>
    </row>
    <row r="114" spans="1:8" x14ac:dyDescent="0.2">
      <c r="A114" t="s">
        <v>152</v>
      </c>
      <c r="B114" t="s">
        <v>158</v>
      </c>
      <c r="C114">
        <v>2008</v>
      </c>
      <c r="D114">
        <v>3</v>
      </c>
      <c r="E114" s="174">
        <v>39539</v>
      </c>
      <c r="F114">
        <v>291492.98</v>
      </c>
      <c r="G114">
        <v>9743</v>
      </c>
      <c r="H114">
        <v>303706.53999999998</v>
      </c>
    </row>
    <row r="115" spans="1:8" x14ac:dyDescent="0.2">
      <c r="A115" t="s">
        <v>152</v>
      </c>
      <c r="B115" t="s">
        <v>158</v>
      </c>
      <c r="C115">
        <v>2008</v>
      </c>
      <c r="D115">
        <v>4</v>
      </c>
      <c r="E115" s="174">
        <v>39569</v>
      </c>
      <c r="F115">
        <v>295301.31</v>
      </c>
      <c r="G115">
        <v>9743</v>
      </c>
      <c r="H115">
        <v>307674.43</v>
      </c>
    </row>
    <row r="116" spans="1:8" x14ac:dyDescent="0.2">
      <c r="A116" t="s">
        <v>152</v>
      </c>
      <c r="B116" t="s">
        <v>158</v>
      </c>
      <c r="C116">
        <v>2008</v>
      </c>
      <c r="D116">
        <v>5</v>
      </c>
      <c r="E116" s="174">
        <v>39600</v>
      </c>
      <c r="F116">
        <v>303593.73</v>
      </c>
      <c r="G116">
        <v>9743</v>
      </c>
      <c r="H116">
        <v>316314.31</v>
      </c>
    </row>
    <row r="117" spans="1:8" x14ac:dyDescent="0.2">
      <c r="A117" t="s">
        <v>152</v>
      </c>
      <c r="B117" t="s">
        <v>158</v>
      </c>
      <c r="C117">
        <v>2008</v>
      </c>
      <c r="D117">
        <v>6</v>
      </c>
      <c r="E117" s="174">
        <v>39630</v>
      </c>
      <c r="F117">
        <v>319208.24</v>
      </c>
      <c r="G117">
        <v>9743</v>
      </c>
      <c r="H117">
        <v>332583.07</v>
      </c>
    </row>
    <row r="118" spans="1:8" x14ac:dyDescent="0.2">
      <c r="A118" t="s">
        <v>152</v>
      </c>
      <c r="B118" t="s">
        <v>158</v>
      </c>
      <c r="C118">
        <v>2008</v>
      </c>
      <c r="D118">
        <v>7</v>
      </c>
      <c r="E118" s="174">
        <v>39661</v>
      </c>
      <c r="F118">
        <v>341475.31</v>
      </c>
      <c r="G118">
        <v>9743</v>
      </c>
      <c r="H118">
        <v>355783.13</v>
      </c>
    </row>
    <row r="119" spans="1:8" x14ac:dyDescent="0.2">
      <c r="A119" t="s">
        <v>152</v>
      </c>
      <c r="B119" t="s">
        <v>158</v>
      </c>
      <c r="C119">
        <v>2008</v>
      </c>
      <c r="D119">
        <v>8</v>
      </c>
      <c r="E119" s="174">
        <v>39692</v>
      </c>
      <c r="F119">
        <v>323435.65999999997</v>
      </c>
      <c r="G119">
        <v>9743</v>
      </c>
      <c r="H119">
        <v>336987.61</v>
      </c>
    </row>
    <row r="120" spans="1:8" x14ac:dyDescent="0.2">
      <c r="A120" t="s">
        <v>152</v>
      </c>
      <c r="B120" t="s">
        <v>158</v>
      </c>
      <c r="C120">
        <v>2008</v>
      </c>
      <c r="D120">
        <v>9</v>
      </c>
      <c r="E120" s="174">
        <v>39722</v>
      </c>
      <c r="F120">
        <v>307211.42</v>
      </c>
      <c r="G120">
        <v>9743</v>
      </c>
      <c r="H120">
        <v>320083.58</v>
      </c>
    </row>
    <row r="121" spans="1:8" x14ac:dyDescent="0.2">
      <c r="A121" t="s">
        <v>152</v>
      </c>
      <c r="B121" t="s">
        <v>158</v>
      </c>
      <c r="C121">
        <v>2008</v>
      </c>
      <c r="D121">
        <v>10</v>
      </c>
      <c r="E121" s="174">
        <v>39753</v>
      </c>
      <c r="F121">
        <v>300539.38</v>
      </c>
      <c r="G121">
        <v>9743</v>
      </c>
      <c r="H121">
        <v>313131.98</v>
      </c>
    </row>
    <row r="122" spans="1:8" x14ac:dyDescent="0.2">
      <c r="A122" t="s">
        <v>152</v>
      </c>
      <c r="B122" t="s">
        <v>158</v>
      </c>
      <c r="C122">
        <v>2008</v>
      </c>
      <c r="D122">
        <v>11</v>
      </c>
      <c r="E122" s="174">
        <v>39783</v>
      </c>
      <c r="F122">
        <v>287574.73</v>
      </c>
      <c r="G122">
        <v>9743</v>
      </c>
      <c r="H122">
        <v>299624.11</v>
      </c>
    </row>
    <row r="123" spans="1:8" x14ac:dyDescent="0.2">
      <c r="A123" t="s">
        <v>152</v>
      </c>
      <c r="B123" t="s">
        <v>158</v>
      </c>
      <c r="C123">
        <v>2008</v>
      </c>
      <c r="D123">
        <v>12</v>
      </c>
      <c r="E123" s="174">
        <v>39814</v>
      </c>
      <c r="F123">
        <v>294315.08</v>
      </c>
      <c r="G123">
        <v>9743</v>
      </c>
      <c r="H123">
        <v>306646.88</v>
      </c>
    </row>
    <row r="124" spans="1:8" x14ac:dyDescent="0.2">
      <c r="A124" t="s">
        <v>152</v>
      </c>
      <c r="B124" t="s">
        <v>158</v>
      </c>
      <c r="C124">
        <v>2009</v>
      </c>
      <c r="D124">
        <v>1</v>
      </c>
      <c r="E124" s="174">
        <v>39845</v>
      </c>
      <c r="F124">
        <v>287603.46000000002</v>
      </c>
      <c r="G124">
        <v>9743</v>
      </c>
      <c r="H124">
        <v>299654.03999999998</v>
      </c>
    </row>
    <row r="125" spans="1:8" x14ac:dyDescent="0.2">
      <c r="A125" t="s">
        <v>152</v>
      </c>
      <c r="B125" t="s">
        <v>158</v>
      </c>
      <c r="C125">
        <v>2009</v>
      </c>
      <c r="D125">
        <v>2</v>
      </c>
      <c r="E125" s="174">
        <v>39873</v>
      </c>
      <c r="F125">
        <v>262200.68</v>
      </c>
      <c r="G125">
        <v>9743</v>
      </c>
      <c r="H125">
        <v>273186.89</v>
      </c>
    </row>
    <row r="126" spans="1:8" x14ac:dyDescent="0.2">
      <c r="A126" t="s">
        <v>152</v>
      </c>
      <c r="B126" t="s">
        <v>158</v>
      </c>
      <c r="C126">
        <v>2009</v>
      </c>
      <c r="D126">
        <v>3</v>
      </c>
      <c r="E126" s="174">
        <v>39904</v>
      </c>
      <c r="F126">
        <v>290466.08</v>
      </c>
      <c r="G126">
        <v>9743</v>
      </c>
      <c r="H126">
        <v>302636.61</v>
      </c>
    </row>
    <row r="127" spans="1:8" x14ac:dyDescent="0.2">
      <c r="A127" t="s">
        <v>152</v>
      </c>
      <c r="B127" t="s">
        <v>158</v>
      </c>
      <c r="C127">
        <v>2009</v>
      </c>
      <c r="D127">
        <v>4</v>
      </c>
      <c r="E127" s="174">
        <v>39934</v>
      </c>
      <c r="F127">
        <v>285261.36</v>
      </c>
      <c r="G127">
        <v>9743</v>
      </c>
      <c r="H127">
        <v>297213.81</v>
      </c>
    </row>
    <row r="128" spans="1:8" x14ac:dyDescent="0.2">
      <c r="A128" t="s">
        <v>152</v>
      </c>
      <c r="B128" t="s">
        <v>158</v>
      </c>
      <c r="C128">
        <v>2009</v>
      </c>
      <c r="D128">
        <v>5</v>
      </c>
      <c r="E128" s="174">
        <v>39965</v>
      </c>
      <c r="F128">
        <v>305591.25</v>
      </c>
      <c r="G128">
        <v>9743</v>
      </c>
      <c r="H128">
        <v>318395.52000000002</v>
      </c>
    </row>
    <row r="129" spans="1:8" x14ac:dyDescent="0.2">
      <c r="A129" t="s">
        <v>152</v>
      </c>
      <c r="B129" t="s">
        <v>158</v>
      </c>
      <c r="C129">
        <v>2009</v>
      </c>
      <c r="D129">
        <v>6</v>
      </c>
      <c r="E129" s="174">
        <v>39995</v>
      </c>
      <c r="F129">
        <v>310253.90999999997</v>
      </c>
      <c r="G129">
        <v>9743</v>
      </c>
      <c r="H129">
        <v>323253.55</v>
      </c>
    </row>
    <row r="130" spans="1:8" x14ac:dyDescent="0.2">
      <c r="A130" t="s">
        <v>152</v>
      </c>
      <c r="B130" t="s">
        <v>158</v>
      </c>
      <c r="C130">
        <v>2009</v>
      </c>
      <c r="D130">
        <v>7</v>
      </c>
      <c r="E130" s="174">
        <v>40026</v>
      </c>
      <c r="F130">
        <v>318277.51</v>
      </c>
      <c r="G130">
        <v>9743</v>
      </c>
      <c r="H130">
        <v>331613.34000000003</v>
      </c>
    </row>
    <row r="131" spans="1:8" x14ac:dyDescent="0.2">
      <c r="A131" t="s">
        <v>152</v>
      </c>
      <c r="B131" t="s">
        <v>158</v>
      </c>
      <c r="C131">
        <v>2009</v>
      </c>
      <c r="D131">
        <v>8</v>
      </c>
      <c r="E131" s="174">
        <v>40057</v>
      </c>
      <c r="F131">
        <v>317326.40000000002</v>
      </c>
      <c r="G131">
        <v>9743</v>
      </c>
      <c r="H131">
        <v>330622.38</v>
      </c>
    </row>
    <row r="132" spans="1:8" x14ac:dyDescent="0.2">
      <c r="A132" t="s">
        <v>152</v>
      </c>
      <c r="B132" t="s">
        <v>158</v>
      </c>
      <c r="C132">
        <v>2009</v>
      </c>
      <c r="D132">
        <v>9</v>
      </c>
      <c r="E132" s="174">
        <v>40087</v>
      </c>
      <c r="F132">
        <v>293964.32</v>
      </c>
      <c r="G132">
        <v>9743</v>
      </c>
      <c r="H132">
        <v>306281.43</v>
      </c>
    </row>
    <row r="133" spans="1:8" x14ac:dyDescent="0.2">
      <c r="A133" t="s">
        <v>152</v>
      </c>
      <c r="B133" t="s">
        <v>158</v>
      </c>
      <c r="C133">
        <v>2009</v>
      </c>
      <c r="D133">
        <v>10</v>
      </c>
      <c r="E133" s="174">
        <v>40118</v>
      </c>
      <c r="F133">
        <v>303214.26</v>
      </c>
      <c r="G133">
        <v>9743</v>
      </c>
      <c r="H133">
        <v>315918.94</v>
      </c>
    </row>
    <row r="134" spans="1:8" x14ac:dyDescent="0.2">
      <c r="A134" t="s">
        <v>152</v>
      </c>
      <c r="B134" t="s">
        <v>158</v>
      </c>
      <c r="C134">
        <v>2009</v>
      </c>
      <c r="D134">
        <v>11</v>
      </c>
      <c r="E134" s="174">
        <v>40148</v>
      </c>
      <c r="F134">
        <v>293214.61</v>
      </c>
      <c r="G134">
        <v>9743</v>
      </c>
      <c r="H134">
        <v>305500.3</v>
      </c>
    </row>
    <row r="135" spans="1:8" x14ac:dyDescent="0.2">
      <c r="A135" t="s">
        <v>152</v>
      </c>
      <c r="B135" t="s">
        <v>158</v>
      </c>
      <c r="C135">
        <v>2009</v>
      </c>
      <c r="D135">
        <v>12</v>
      </c>
      <c r="E135" s="174">
        <v>40179</v>
      </c>
      <c r="F135">
        <v>295341.40000000002</v>
      </c>
      <c r="G135">
        <v>9743</v>
      </c>
      <c r="H135">
        <v>307716.2</v>
      </c>
    </row>
    <row r="136" spans="1:8" x14ac:dyDescent="0.2">
      <c r="A136" t="s">
        <v>152</v>
      </c>
      <c r="B136" t="s">
        <v>158</v>
      </c>
      <c r="C136">
        <v>2010</v>
      </c>
      <c r="D136">
        <v>1</v>
      </c>
      <c r="E136" s="174">
        <v>40210</v>
      </c>
      <c r="F136">
        <v>289189.84999999998</v>
      </c>
      <c r="G136">
        <v>9743</v>
      </c>
      <c r="H136">
        <v>301306.90000000002</v>
      </c>
    </row>
    <row r="137" spans="1:8" x14ac:dyDescent="0.2">
      <c r="A137" t="s">
        <v>152</v>
      </c>
      <c r="B137" t="s">
        <v>158</v>
      </c>
      <c r="C137">
        <v>2010</v>
      </c>
      <c r="D137">
        <v>2</v>
      </c>
      <c r="E137" s="174">
        <v>40238</v>
      </c>
      <c r="F137">
        <v>259422.51</v>
      </c>
      <c r="G137">
        <v>9743</v>
      </c>
      <c r="H137">
        <v>270292.31</v>
      </c>
    </row>
    <row r="138" spans="1:8" x14ac:dyDescent="0.2">
      <c r="A138" t="s">
        <v>152</v>
      </c>
      <c r="B138" t="s">
        <v>158</v>
      </c>
      <c r="C138">
        <v>2010</v>
      </c>
      <c r="D138">
        <v>3</v>
      </c>
      <c r="E138" s="174">
        <v>40269</v>
      </c>
      <c r="F138">
        <v>296887.90000000002</v>
      </c>
      <c r="G138">
        <v>9743</v>
      </c>
      <c r="H138">
        <v>309327.5</v>
      </c>
    </row>
    <row r="139" spans="1:8" x14ac:dyDescent="0.2">
      <c r="A139" t="s">
        <v>152</v>
      </c>
      <c r="B139" t="s">
        <v>158</v>
      </c>
      <c r="C139">
        <v>2010</v>
      </c>
      <c r="D139">
        <v>4</v>
      </c>
      <c r="E139" s="174">
        <v>40299</v>
      </c>
      <c r="F139">
        <v>284958.28999999998</v>
      </c>
      <c r="G139">
        <v>9743</v>
      </c>
      <c r="H139">
        <v>296898.03999999998</v>
      </c>
    </row>
    <row r="140" spans="1:8" x14ac:dyDescent="0.2">
      <c r="A140" t="s">
        <v>152</v>
      </c>
      <c r="B140" t="s">
        <v>158</v>
      </c>
      <c r="C140">
        <v>2010</v>
      </c>
      <c r="D140">
        <v>5</v>
      </c>
      <c r="E140" s="174">
        <v>40330</v>
      </c>
      <c r="F140">
        <v>281469.92</v>
      </c>
      <c r="G140">
        <v>9743</v>
      </c>
      <c r="H140">
        <v>289519.96000000002</v>
      </c>
    </row>
    <row r="141" spans="1:8" x14ac:dyDescent="0.2">
      <c r="A141" t="s">
        <v>152</v>
      </c>
      <c r="B141" t="s">
        <v>158</v>
      </c>
      <c r="C141">
        <v>2010</v>
      </c>
      <c r="D141">
        <v>6</v>
      </c>
      <c r="E141" s="174">
        <v>40360</v>
      </c>
      <c r="F141">
        <v>307437.90999999997</v>
      </c>
      <c r="G141">
        <v>9743</v>
      </c>
      <c r="H141">
        <v>316230.63</v>
      </c>
    </row>
    <row r="142" spans="1:8" x14ac:dyDescent="0.2">
      <c r="A142" t="s">
        <v>152</v>
      </c>
      <c r="B142" t="s">
        <v>158</v>
      </c>
      <c r="C142">
        <v>2010</v>
      </c>
      <c r="D142">
        <v>7</v>
      </c>
      <c r="E142" s="174">
        <v>40391</v>
      </c>
      <c r="F142">
        <v>348077.88</v>
      </c>
      <c r="G142">
        <v>9743</v>
      </c>
      <c r="H142">
        <v>358032.91</v>
      </c>
    </row>
    <row r="143" spans="1:8" x14ac:dyDescent="0.2">
      <c r="A143" t="s">
        <v>152</v>
      </c>
      <c r="B143" t="s">
        <v>158</v>
      </c>
      <c r="C143">
        <v>2010</v>
      </c>
      <c r="D143">
        <v>8</v>
      </c>
      <c r="E143" s="174">
        <v>40422</v>
      </c>
      <c r="F143">
        <v>341955.68</v>
      </c>
      <c r="G143">
        <v>9743</v>
      </c>
      <c r="H143">
        <v>351735.61</v>
      </c>
    </row>
    <row r="144" spans="1:8" x14ac:dyDescent="0.2">
      <c r="A144" t="s">
        <v>152</v>
      </c>
      <c r="B144" t="s">
        <v>158</v>
      </c>
      <c r="C144">
        <v>2010</v>
      </c>
      <c r="D144">
        <v>9</v>
      </c>
      <c r="E144" s="174">
        <v>40452</v>
      </c>
      <c r="F144">
        <v>285656.23</v>
      </c>
      <c r="G144">
        <v>9743</v>
      </c>
      <c r="H144">
        <v>293826</v>
      </c>
    </row>
    <row r="145" spans="1:8" x14ac:dyDescent="0.2">
      <c r="A145" t="s">
        <v>152</v>
      </c>
      <c r="B145" t="s">
        <v>158</v>
      </c>
      <c r="C145">
        <v>2010</v>
      </c>
      <c r="D145">
        <v>10</v>
      </c>
      <c r="E145" s="174">
        <v>40483</v>
      </c>
      <c r="F145">
        <v>276656.17</v>
      </c>
      <c r="G145">
        <v>9743</v>
      </c>
      <c r="H145">
        <v>284568.53999999998</v>
      </c>
    </row>
    <row r="146" spans="1:8" x14ac:dyDescent="0.2">
      <c r="A146" t="s">
        <v>152</v>
      </c>
      <c r="B146" t="s">
        <v>158</v>
      </c>
      <c r="C146">
        <v>2010</v>
      </c>
      <c r="D146">
        <v>11</v>
      </c>
      <c r="E146" s="174">
        <v>40513</v>
      </c>
      <c r="F146">
        <v>257585.51</v>
      </c>
      <c r="G146">
        <v>9743</v>
      </c>
      <c r="H146">
        <v>264952.46000000002</v>
      </c>
    </row>
    <row r="147" spans="1:8" x14ac:dyDescent="0.2">
      <c r="A147" t="s">
        <v>152</v>
      </c>
      <c r="B147" t="s">
        <v>158</v>
      </c>
      <c r="C147">
        <v>2010</v>
      </c>
      <c r="D147">
        <v>12</v>
      </c>
      <c r="E147" s="174">
        <v>40544</v>
      </c>
      <c r="F147">
        <v>264690.92</v>
      </c>
      <c r="G147">
        <v>9743</v>
      </c>
      <c r="H147">
        <v>272261.08</v>
      </c>
    </row>
    <row r="148" spans="1:8" x14ac:dyDescent="0.2">
      <c r="A148" t="s">
        <v>152</v>
      </c>
      <c r="B148" t="s">
        <v>158</v>
      </c>
      <c r="C148">
        <v>2011</v>
      </c>
      <c r="D148">
        <v>1</v>
      </c>
      <c r="E148" s="174">
        <v>40575</v>
      </c>
      <c r="F148">
        <v>263507.8</v>
      </c>
      <c r="G148">
        <v>9743</v>
      </c>
      <c r="H148">
        <v>271044.12</v>
      </c>
    </row>
    <row r="149" spans="1:8" x14ac:dyDescent="0.2">
      <c r="A149" t="s">
        <v>152</v>
      </c>
      <c r="B149" t="s">
        <v>158</v>
      </c>
      <c r="C149">
        <v>2011</v>
      </c>
      <c r="D149">
        <v>2</v>
      </c>
      <c r="E149" s="174">
        <v>40603</v>
      </c>
      <c r="F149">
        <v>236503.89</v>
      </c>
      <c r="G149">
        <v>9743</v>
      </c>
      <c r="H149">
        <v>243267.9</v>
      </c>
    </row>
    <row r="150" spans="1:8" x14ac:dyDescent="0.2">
      <c r="A150" t="s">
        <v>152</v>
      </c>
      <c r="B150" t="s">
        <v>158</v>
      </c>
      <c r="C150">
        <v>2011</v>
      </c>
      <c r="D150">
        <v>3</v>
      </c>
      <c r="E150" s="174">
        <v>40634</v>
      </c>
      <c r="F150">
        <v>261138.01</v>
      </c>
      <c r="G150">
        <v>9743</v>
      </c>
      <c r="H150">
        <v>268606.56</v>
      </c>
    </row>
    <row r="151" spans="1:8" x14ac:dyDescent="0.2">
      <c r="A151" t="s">
        <v>152</v>
      </c>
      <c r="B151" t="s">
        <v>158</v>
      </c>
      <c r="C151">
        <v>2011</v>
      </c>
      <c r="D151">
        <v>4</v>
      </c>
      <c r="E151" s="174">
        <v>40664</v>
      </c>
      <c r="F151">
        <v>259190.64</v>
      </c>
      <c r="G151">
        <v>9743</v>
      </c>
      <c r="H151">
        <v>266603.49</v>
      </c>
    </row>
    <row r="152" spans="1:8" x14ac:dyDescent="0.2">
      <c r="A152" t="s">
        <v>152</v>
      </c>
      <c r="B152" t="s">
        <v>158</v>
      </c>
      <c r="C152">
        <v>2011</v>
      </c>
      <c r="D152">
        <v>5</v>
      </c>
      <c r="E152" s="174">
        <v>40695</v>
      </c>
      <c r="F152">
        <v>291949.05</v>
      </c>
      <c r="G152">
        <v>9743</v>
      </c>
      <c r="H152">
        <v>300298.78999999998</v>
      </c>
    </row>
    <row r="153" spans="1:8" x14ac:dyDescent="0.2">
      <c r="A153" t="s">
        <v>152</v>
      </c>
      <c r="B153" t="s">
        <v>158</v>
      </c>
      <c r="C153">
        <v>2011</v>
      </c>
      <c r="D153">
        <v>6</v>
      </c>
      <c r="E153" s="174">
        <v>40725</v>
      </c>
      <c r="F153">
        <v>301773.28000000003</v>
      </c>
      <c r="G153">
        <v>9743</v>
      </c>
      <c r="H153">
        <v>310404</v>
      </c>
    </row>
    <row r="154" spans="1:8" x14ac:dyDescent="0.2">
      <c r="A154" t="s">
        <v>152</v>
      </c>
      <c r="B154" t="s">
        <v>158</v>
      </c>
      <c r="C154">
        <v>2011</v>
      </c>
      <c r="D154">
        <v>7</v>
      </c>
      <c r="E154" s="174">
        <v>40756</v>
      </c>
      <c r="F154">
        <v>349261.74</v>
      </c>
      <c r="G154">
        <v>9743</v>
      </c>
      <c r="H154">
        <v>359250.63</v>
      </c>
    </row>
    <row r="155" spans="1:8" x14ac:dyDescent="0.2">
      <c r="A155" t="s">
        <v>152</v>
      </c>
      <c r="B155" t="s">
        <v>158</v>
      </c>
      <c r="C155">
        <v>2011</v>
      </c>
      <c r="D155">
        <v>8</v>
      </c>
      <c r="E155" s="174">
        <v>40787</v>
      </c>
      <c r="F155">
        <v>337202.12</v>
      </c>
      <c r="G155">
        <v>9743</v>
      </c>
      <c r="H155">
        <v>346846.1</v>
      </c>
    </row>
    <row r="156" spans="1:8" x14ac:dyDescent="0.2">
      <c r="A156" t="s">
        <v>152</v>
      </c>
      <c r="B156" t="s">
        <v>158</v>
      </c>
      <c r="C156">
        <v>2011</v>
      </c>
      <c r="D156">
        <v>9</v>
      </c>
      <c r="E156" s="174">
        <v>40817</v>
      </c>
      <c r="F156">
        <v>311562.53999999998</v>
      </c>
      <c r="G156">
        <v>9743</v>
      </c>
      <c r="H156">
        <v>320473.23</v>
      </c>
    </row>
    <row r="157" spans="1:8" x14ac:dyDescent="0.2">
      <c r="A157" t="s">
        <v>152</v>
      </c>
      <c r="B157" t="s">
        <v>158</v>
      </c>
      <c r="C157">
        <v>2011</v>
      </c>
      <c r="D157">
        <v>10</v>
      </c>
      <c r="E157" s="174">
        <v>40848</v>
      </c>
      <c r="F157">
        <v>303527.07</v>
      </c>
      <c r="G157">
        <v>9743</v>
      </c>
      <c r="H157">
        <v>312207.94</v>
      </c>
    </row>
    <row r="158" spans="1:8" x14ac:dyDescent="0.2">
      <c r="A158" t="s">
        <v>152</v>
      </c>
      <c r="B158" t="s">
        <v>158</v>
      </c>
      <c r="C158">
        <v>2011</v>
      </c>
      <c r="D158">
        <v>11</v>
      </c>
      <c r="E158" s="174">
        <v>40878</v>
      </c>
      <c r="F158">
        <v>282316.98</v>
      </c>
      <c r="G158">
        <v>9743</v>
      </c>
      <c r="H158">
        <v>290391.25</v>
      </c>
    </row>
    <row r="159" spans="1:8" x14ac:dyDescent="0.2">
      <c r="A159" t="s">
        <v>152</v>
      </c>
      <c r="B159" t="s">
        <v>158</v>
      </c>
      <c r="C159">
        <v>2011</v>
      </c>
      <c r="D159">
        <v>12</v>
      </c>
      <c r="E159" s="174">
        <v>40909</v>
      </c>
      <c r="F159">
        <v>296844.56</v>
      </c>
      <c r="G159">
        <v>9743</v>
      </c>
      <c r="H159">
        <v>305334.31</v>
      </c>
    </row>
    <row r="160" spans="1:8" x14ac:dyDescent="0.2">
      <c r="A160" t="s">
        <v>152</v>
      </c>
      <c r="B160" t="s">
        <v>158</v>
      </c>
      <c r="C160">
        <v>2012</v>
      </c>
      <c r="D160">
        <v>1</v>
      </c>
      <c r="E160" s="174">
        <v>40940</v>
      </c>
      <c r="F160">
        <v>281061.78000000003</v>
      </c>
      <c r="G160">
        <v>9743</v>
      </c>
      <c r="H160">
        <v>289100.15000000002</v>
      </c>
    </row>
    <row r="161" spans="1:8" x14ac:dyDescent="0.2">
      <c r="A161" t="s">
        <v>152</v>
      </c>
      <c r="B161" t="s">
        <v>158</v>
      </c>
      <c r="C161">
        <v>2012</v>
      </c>
      <c r="D161">
        <v>2</v>
      </c>
      <c r="E161" s="174">
        <v>40969</v>
      </c>
      <c r="F161">
        <v>241828.78</v>
      </c>
      <c r="G161">
        <v>9743</v>
      </c>
      <c r="H161">
        <v>248745.08</v>
      </c>
    </row>
    <row r="162" spans="1:8" x14ac:dyDescent="0.2">
      <c r="A162" t="s">
        <v>152</v>
      </c>
      <c r="B162" t="s">
        <v>158</v>
      </c>
      <c r="C162">
        <v>2012</v>
      </c>
      <c r="D162">
        <v>3</v>
      </c>
      <c r="E162" s="174">
        <v>41000</v>
      </c>
      <c r="F162">
        <v>250033.58</v>
      </c>
      <c r="G162">
        <v>9743</v>
      </c>
      <c r="H162">
        <v>257184.54</v>
      </c>
    </row>
    <row r="163" spans="1:8" x14ac:dyDescent="0.2">
      <c r="A163" t="s">
        <v>152</v>
      </c>
      <c r="B163" t="s">
        <v>158</v>
      </c>
      <c r="C163">
        <v>2012</v>
      </c>
      <c r="D163">
        <v>4</v>
      </c>
      <c r="E163" s="174">
        <v>41026</v>
      </c>
      <c r="F163">
        <v>208150.49</v>
      </c>
      <c r="G163">
        <v>9743</v>
      </c>
      <c r="H163">
        <v>214103.59</v>
      </c>
    </row>
    <row r="164" spans="1:8" x14ac:dyDescent="0.2">
      <c r="A164" s="179" t="s">
        <v>152</v>
      </c>
      <c r="B164" s="179" t="s">
        <v>158</v>
      </c>
      <c r="C164" s="179">
        <v>2012</v>
      </c>
      <c r="D164" s="179">
        <v>5</v>
      </c>
      <c r="E164" s="180">
        <v>41061</v>
      </c>
      <c r="F164" s="179">
        <v>319740.28999999998</v>
      </c>
      <c r="G164" s="179">
        <v>9743</v>
      </c>
      <c r="H164" s="179">
        <v>328884.86</v>
      </c>
    </row>
    <row r="165" spans="1:8" x14ac:dyDescent="0.2">
      <c r="A165" s="179" t="s">
        <v>152</v>
      </c>
      <c r="B165" s="179" t="s">
        <v>158</v>
      </c>
      <c r="C165" s="179">
        <v>2012</v>
      </c>
      <c r="D165" s="179">
        <v>6</v>
      </c>
      <c r="E165" s="180">
        <v>41091</v>
      </c>
      <c r="F165" s="179">
        <v>294702.88741979393</v>
      </c>
      <c r="G165" s="179">
        <v>9743</v>
      </c>
      <c r="H165" s="179">
        <v>303131.39</v>
      </c>
    </row>
    <row r="166" spans="1:8" x14ac:dyDescent="0.2">
      <c r="A166" s="179" t="s">
        <v>152</v>
      </c>
      <c r="B166" s="179" t="s">
        <v>158</v>
      </c>
      <c r="C166" s="179">
        <v>2012</v>
      </c>
      <c r="D166" s="179">
        <v>7</v>
      </c>
      <c r="E166" s="180">
        <v>41122</v>
      </c>
      <c r="F166" s="179">
        <v>322016.30371378572</v>
      </c>
      <c r="G166" s="179">
        <v>9743</v>
      </c>
      <c r="H166" s="179">
        <v>331225.96999999997</v>
      </c>
    </row>
    <row r="167" spans="1:8" x14ac:dyDescent="0.2">
      <c r="A167" s="179" t="s">
        <v>152</v>
      </c>
      <c r="B167" s="179" t="s">
        <v>158</v>
      </c>
      <c r="C167" s="179">
        <v>2012</v>
      </c>
      <c r="D167" s="179">
        <v>8</v>
      </c>
      <c r="E167" s="180">
        <v>41153</v>
      </c>
      <c r="F167" s="179">
        <v>305573.0799144468</v>
      </c>
      <c r="G167" s="179">
        <v>9743</v>
      </c>
      <c r="H167" s="179">
        <v>314312.46999999997</v>
      </c>
    </row>
    <row r="168" spans="1:8" x14ac:dyDescent="0.2">
      <c r="A168" s="179" t="s">
        <v>152</v>
      </c>
      <c r="B168" s="179" t="s">
        <v>158</v>
      </c>
      <c r="C168" s="179">
        <v>2012</v>
      </c>
      <c r="D168" s="179">
        <v>9</v>
      </c>
      <c r="E168" s="180">
        <v>41183</v>
      </c>
      <c r="F168" s="179">
        <v>267524.73264631542</v>
      </c>
      <c r="G168" s="179">
        <v>9743</v>
      </c>
      <c r="H168" s="179">
        <v>275175.94</v>
      </c>
    </row>
    <row r="169" spans="1:8" x14ac:dyDescent="0.2">
      <c r="A169" s="179" t="s">
        <v>152</v>
      </c>
      <c r="B169" s="179" t="s">
        <v>158</v>
      </c>
      <c r="C169" s="179">
        <v>2012</v>
      </c>
      <c r="D169" s="179">
        <v>10</v>
      </c>
      <c r="E169" s="180">
        <v>41214</v>
      </c>
      <c r="F169" s="179">
        <v>257148.05560956639</v>
      </c>
      <c r="G169" s="179">
        <v>9743</v>
      </c>
      <c r="H169" s="179">
        <v>264502.49</v>
      </c>
    </row>
    <row r="170" spans="1:8" x14ac:dyDescent="0.2">
      <c r="A170" s="179" t="s">
        <v>152</v>
      </c>
      <c r="B170" s="179" t="s">
        <v>158</v>
      </c>
      <c r="C170" s="179">
        <v>2012</v>
      </c>
      <c r="D170" s="179">
        <v>11</v>
      </c>
      <c r="E170" s="180">
        <v>41244</v>
      </c>
      <c r="F170" s="179">
        <v>240576.11</v>
      </c>
      <c r="G170" s="179">
        <v>9743</v>
      </c>
      <c r="H170" s="179">
        <v>247456.59</v>
      </c>
    </row>
    <row r="171" spans="1:8" x14ac:dyDescent="0.2">
      <c r="A171" s="179" t="s">
        <v>152</v>
      </c>
      <c r="B171" s="179" t="s">
        <v>158</v>
      </c>
      <c r="C171" s="179">
        <v>2012</v>
      </c>
      <c r="D171" s="179">
        <v>12</v>
      </c>
      <c r="E171" s="180">
        <v>41275</v>
      </c>
      <c r="F171" s="179">
        <v>241453.08185883728</v>
      </c>
      <c r="G171" s="179">
        <v>9743</v>
      </c>
      <c r="H171" s="179">
        <v>248358.64</v>
      </c>
    </row>
    <row r="172" spans="1:8" x14ac:dyDescent="0.2">
      <c r="A172" t="s">
        <v>154</v>
      </c>
      <c r="B172" t="s">
        <v>158</v>
      </c>
      <c r="C172">
        <v>2005</v>
      </c>
      <c r="D172">
        <v>12</v>
      </c>
      <c r="E172" s="174">
        <v>38718</v>
      </c>
      <c r="F172">
        <v>391216.22</v>
      </c>
      <c r="G172">
        <v>49997</v>
      </c>
      <c r="H172">
        <v>404987.03</v>
      </c>
    </row>
    <row r="173" spans="1:8" x14ac:dyDescent="0.2">
      <c r="A173" t="s">
        <v>154</v>
      </c>
      <c r="B173" t="s">
        <v>158</v>
      </c>
      <c r="C173">
        <v>2006</v>
      </c>
      <c r="D173">
        <v>1</v>
      </c>
      <c r="E173" s="174">
        <v>38749</v>
      </c>
      <c r="F173">
        <v>374093.75</v>
      </c>
      <c r="G173">
        <v>49997</v>
      </c>
      <c r="H173">
        <v>387261.85</v>
      </c>
    </row>
    <row r="174" spans="1:8" x14ac:dyDescent="0.2">
      <c r="A174" t="s">
        <v>154</v>
      </c>
      <c r="B174" t="s">
        <v>158</v>
      </c>
      <c r="C174">
        <v>2006</v>
      </c>
      <c r="D174">
        <v>2</v>
      </c>
      <c r="E174" s="174">
        <v>38777</v>
      </c>
      <c r="F174">
        <v>311850.03999999998</v>
      </c>
      <c r="G174">
        <v>49997</v>
      </c>
      <c r="H174">
        <v>322827.15999999997</v>
      </c>
    </row>
    <row r="175" spans="1:8" x14ac:dyDescent="0.2">
      <c r="A175" t="s">
        <v>154</v>
      </c>
      <c r="B175" t="s">
        <v>158</v>
      </c>
      <c r="C175">
        <v>2006</v>
      </c>
      <c r="D175">
        <v>3</v>
      </c>
      <c r="E175" s="174">
        <v>38808</v>
      </c>
      <c r="F175">
        <v>386728.28</v>
      </c>
      <c r="G175">
        <v>49997</v>
      </c>
      <c r="H175">
        <v>400341.12</v>
      </c>
    </row>
    <row r="176" spans="1:8" x14ac:dyDescent="0.2">
      <c r="A176" t="s">
        <v>154</v>
      </c>
      <c r="B176" t="s">
        <v>158</v>
      </c>
      <c r="C176">
        <v>2006</v>
      </c>
      <c r="D176">
        <v>4</v>
      </c>
      <c r="E176" s="174">
        <v>38838</v>
      </c>
      <c r="F176">
        <v>380441.05</v>
      </c>
      <c r="G176">
        <v>49997</v>
      </c>
      <c r="H176">
        <v>393832.57</v>
      </c>
    </row>
    <row r="177" spans="1:8" x14ac:dyDescent="0.2">
      <c r="A177" t="s">
        <v>154</v>
      </c>
      <c r="B177" t="s">
        <v>158</v>
      </c>
      <c r="C177">
        <v>2006</v>
      </c>
      <c r="D177">
        <v>5</v>
      </c>
      <c r="E177" s="174">
        <v>38869</v>
      </c>
      <c r="F177">
        <v>420048.51</v>
      </c>
      <c r="G177">
        <v>49997</v>
      </c>
      <c r="H177">
        <v>437648.54</v>
      </c>
    </row>
    <row r="178" spans="1:8" x14ac:dyDescent="0.2">
      <c r="A178" t="s">
        <v>154</v>
      </c>
      <c r="B178" t="s">
        <v>158</v>
      </c>
      <c r="C178">
        <v>2006</v>
      </c>
      <c r="D178">
        <v>6</v>
      </c>
      <c r="E178" s="174">
        <v>38899</v>
      </c>
      <c r="F178">
        <v>442722.8</v>
      </c>
      <c r="G178">
        <v>49997</v>
      </c>
      <c r="H178">
        <v>461272.89</v>
      </c>
    </row>
    <row r="179" spans="1:8" x14ac:dyDescent="0.2">
      <c r="A179" t="s">
        <v>154</v>
      </c>
      <c r="B179" t="s">
        <v>158</v>
      </c>
      <c r="C179">
        <v>2006</v>
      </c>
      <c r="D179">
        <v>7</v>
      </c>
      <c r="E179" s="174">
        <v>38930</v>
      </c>
      <c r="F179">
        <v>475499.95</v>
      </c>
      <c r="G179">
        <v>49997</v>
      </c>
      <c r="H179">
        <v>495423.4</v>
      </c>
    </row>
    <row r="180" spans="1:8" x14ac:dyDescent="0.2">
      <c r="A180" t="s">
        <v>154</v>
      </c>
      <c r="B180" t="s">
        <v>158</v>
      </c>
      <c r="C180">
        <v>2006</v>
      </c>
      <c r="D180">
        <v>8</v>
      </c>
      <c r="E180" s="174">
        <v>38961</v>
      </c>
      <c r="F180">
        <v>465032.7</v>
      </c>
      <c r="G180">
        <v>49997</v>
      </c>
      <c r="H180">
        <v>484517.57</v>
      </c>
    </row>
    <row r="181" spans="1:8" x14ac:dyDescent="0.2">
      <c r="A181" t="s">
        <v>154</v>
      </c>
      <c r="B181" t="s">
        <v>158</v>
      </c>
      <c r="C181">
        <v>2006</v>
      </c>
      <c r="D181">
        <v>9</v>
      </c>
      <c r="E181" s="174">
        <v>38991</v>
      </c>
      <c r="F181">
        <v>403003.77</v>
      </c>
      <c r="G181">
        <v>49997</v>
      </c>
      <c r="H181">
        <v>419889.63</v>
      </c>
    </row>
    <row r="182" spans="1:8" x14ac:dyDescent="0.2">
      <c r="A182" t="s">
        <v>154</v>
      </c>
      <c r="B182" t="s">
        <v>158</v>
      </c>
      <c r="C182">
        <v>2006</v>
      </c>
      <c r="D182">
        <v>10</v>
      </c>
      <c r="E182" s="174">
        <v>39022</v>
      </c>
      <c r="F182">
        <v>378779.33</v>
      </c>
      <c r="G182">
        <v>49997</v>
      </c>
      <c r="H182">
        <v>394650.18</v>
      </c>
    </row>
    <row r="183" spans="1:8" x14ac:dyDescent="0.2">
      <c r="A183" t="s">
        <v>154</v>
      </c>
      <c r="B183" t="s">
        <v>158</v>
      </c>
      <c r="C183">
        <v>2006</v>
      </c>
      <c r="D183">
        <v>11</v>
      </c>
      <c r="E183" s="174">
        <v>39052</v>
      </c>
      <c r="F183">
        <v>363840.67</v>
      </c>
      <c r="G183">
        <v>49997</v>
      </c>
      <c r="H183">
        <v>379085.59</v>
      </c>
    </row>
    <row r="184" spans="1:8" x14ac:dyDescent="0.2">
      <c r="A184" t="s">
        <v>154</v>
      </c>
      <c r="B184" t="s">
        <v>158</v>
      </c>
      <c r="C184">
        <v>2006</v>
      </c>
      <c r="D184">
        <v>12</v>
      </c>
      <c r="E184" s="174">
        <v>39083</v>
      </c>
      <c r="F184">
        <v>375871.24</v>
      </c>
      <c r="G184">
        <v>49997</v>
      </c>
      <c r="H184">
        <v>391620.24</v>
      </c>
    </row>
    <row r="185" spans="1:8" x14ac:dyDescent="0.2">
      <c r="A185" t="s">
        <v>154</v>
      </c>
      <c r="B185" t="s">
        <v>158</v>
      </c>
      <c r="C185">
        <v>2007</v>
      </c>
      <c r="D185">
        <v>1</v>
      </c>
      <c r="E185" s="174">
        <v>39114</v>
      </c>
      <c r="F185">
        <v>372073.89</v>
      </c>
      <c r="G185">
        <v>49997</v>
      </c>
      <c r="H185">
        <v>387663.79</v>
      </c>
    </row>
    <row r="186" spans="1:8" x14ac:dyDescent="0.2">
      <c r="A186" t="s">
        <v>154</v>
      </c>
      <c r="B186" t="s">
        <v>158</v>
      </c>
      <c r="C186">
        <v>2007</v>
      </c>
      <c r="D186">
        <v>2</v>
      </c>
      <c r="E186" s="174">
        <v>39142</v>
      </c>
      <c r="F186">
        <v>338906.65</v>
      </c>
      <c r="G186">
        <v>49997</v>
      </c>
      <c r="H186">
        <v>353106.84</v>
      </c>
    </row>
    <row r="187" spans="1:8" x14ac:dyDescent="0.2">
      <c r="A187" t="s">
        <v>154</v>
      </c>
      <c r="B187" t="s">
        <v>158</v>
      </c>
      <c r="C187">
        <v>2007</v>
      </c>
      <c r="D187">
        <v>3</v>
      </c>
      <c r="E187" s="174">
        <v>39173</v>
      </c>
      <c r="F187">
        <v>374146.38</v>
      </c>
      <c r="G187">
        <v>49997</v>
      </c>
      <c r="H187">
        <v>389823.11</v>
      </c>
    </row>
    <row r="188" spans="1:8" x14ac:dyDescent="0.2">
      <c r="A188" t="s">
        <v>154</v>
      </c>
      <c r="B188" t="s">
        <v>158</v>
      </c>
      <c r="C188">
        <v>2007</v>
      </c>
      <c r="D188">
        <v>4</v>
      </c>
      <c r="E188" s="174">
        <v>39203</v>
      </c>
      <c r="F188">
        <v>367073.5</v>
      </c>
      <c r="G188">
        <v>49997</v>
      </c>
      <c r="H188">
        <v>382453.88</v>
      </c>
    </row>
    <row r="189" spans="1:8" x14ac:dyDescent="0.2">
      <c r="A189" t="s">
        <v>154</v>
      </c>
      <c r="B189" t="s">
        <v>158</v>
      </c>
      <c r="C189">
        <v>2007</v>
      </c>
      <c r="D189">
        <v>5</v>
      </c>
      <c r="E189" s="174">
        <v>39234</v>
      </c>
      <c r="F189">
        <v>416583.11</v>
      </c>
      <c r="G189">
        <v>49997</v>
      </c>
      <c r="H189">
        <v>434037.94</v>
      </c>
    </row>
    <row r="190" spans="1:8" x14ac:dyDescent="0.2">
      <c r="A190" t="s">
        <v>154</v>
      </c>
      <c r="B190" t="s">
        <v>158</v>
      </c>
      <c r="C190">
        <v>2007</v>
      </c>
      <c r="D190">
        <v>6</v>
      </c>
      <c r="E190" s="174">
        <v>39264</v>
      </c>
      <c r="F190">
        <v>444145.09</v>
      </c>
      <c r="G190">
        <v>49997</v>
      </c>
      <c r="H190">
        <v>462754.77</v>
      </c>
    </row>
    <row r="191" spans="1:8" x14ac:dyDescent="0.2">
      <c r="A191" t="s">
        <v>154</v>
      </c>
      <c r="B191" t="s">
        <v>158</v>
      </c>
      <c r="C191">
        <v>2007</v>
      </c>
      <c r="D191">
        <v>7</v>
      </c>
      <c r="E191" s="174">
        <v>39295</v>
      </c>
      <c r="F191">
        <v>434527.82</v>
      </c>
      <c r="G191">
        <v>49997</v>
      </c>
      <c r="H191">
        <v>452734.54</v>
      </c>
    </row>
    <row r="192" spans="1:8" x14ac:dyDescent="0.2">
      <c r="A192" t="s">
        <v>154</v>
      </c>
      <c r="B192" t="s">
        <v>158</v>
      </c>
      <c r="C192">
        <v>2007</v>
      </c>
      <c r="D192">
        <v>8</v>
      </c>
      <c r="E192" s="174">
        <v>39326</v>
      </c>
      <c r="F192">
        <v>461629.87</v>
      </c>
      <c r="G192">
        <v>49997</v>
      </c>
      <c r="H192">
        <v>480972.16</v>
      </c>
    </row>
    <row r="193" spans="1:8" x14ac:dyDescent="0.2">
      <c r="A193" t="s">
        <v>154</v>
      </c>
      <c r="B193" t="s">
        <v>158</v>
      </c>
      <c r="C193">
        <v>2007</v>
      </c>
      <c r="D193">
        <v>9</v>
      </c>
      <c r="E193" s="174">
        <v>39356</v>
      </c>
      <c r="F193">
        <v>424354.16</v>
      </c>
      <c r="G193">
        <v>49997</v>
      </c>
      <c r="H193">
        <v>442134.6</v>
      </c>
    </row>
    <row r="194" spans="1:8" x14ac:dyDescent="0.2">
      <c r="A194" t="s">
        <v>154</v>
      </c>
      <c r="B194" t="s">
        <v>158</v>
      </c>
      <c r="C194">
        <v>2007</v>
      </c>
      <c r="D194">
        <v>10</v>
      </c>
      <c r="E194" s="174">
        <v>39387</v>
      </c>
      <c r="F194">
        <v>430188.78</v>
      </c>
      <c r="G194">
        <v>49997</v>
      </c>
      <c r="H194">
        <v>448213.69</v>
      </c>
    </row>
    <row r="195" spans="1:8" x14ac:dyDescent="0.2">
      <c r="A195" t="s">
        <v>154</v>
      </c>
      <c r="B195" t="s">
        <v>158</v>
      </c>
      <c r="C195">
        <v>2007</v>
      </c>
      <c r="D195">
        <v>11</v>
      </c>
      <c r="E195" s="174">
        <v>39417</v>
      </c>
      <c r="F195">
        <v>388020.33</v>
      </c>
      <c r="G195">
        <v>49997</v>
      </c>
      <c r="H195">
        <v>404278.38</v>
      </c>
    </row>
    <row r="196" spans="1:8" x14ac:dyDescent="0.2">
      <c r="A196" t="s">
        <v>154</v>
      </c>
      <c r="B196" t="s">
        <v>158</v>
      </c>
      <c r="C196">
        <v>2007</v>
      </c>
      <c r="D196">
        <v>12</v>
      </c>
      <c r="E196" s="174">
        <v>39448</v>
      </c>
      <c r="F196">
        <v>397849.04</v>
      </c>
      <c r="G196">
        <v>49997</v>
      </c>
      <c r="H196">
        <v>414518.91</v>
      </c>
    </row>
    <row r="197" spans="1:8" x14ac:dyDescent="0.2">
      <c r="A197" t="s">
        <v>154</v>
      </c>
      <c r="B197" t="s">
        <v>158</v>
      </c>
      <c r="C197">
        <v>2008</v>
      </c>
      <c r="D197">
        <v>1</v>
      </c>
      <c r="E197" s="174">
        <v>39479</v>
      </c>
      <c r="F197">
        <v>389153.99</v>
      </c>
      <c r="G197">
        <v>49997</v>
      </c>
      <c r="H197">
        <v>405459.54</v>
      </c>
    </row>
    <row r="198" spans="1:8" x14ac:dyDescent="0.2">
      <c r="A198" t="s">
        <v>154</v>
      </c>
      <c r="B198" t="s">
        <v>158</v>
      </c>
      <c r="C198">
        <v>2008</v>
      </c>
      <c r="D198">
        <v>2</v>
      </c>
      <c r="E198" s="174">
        <v>39508</v>
      </c>
      <c r="F198">
        <v>357941.25</v>
      </c>
      <c r="G198">
        <v>49997</v>
      </c>
      <c r="H198">
        <v>372938.99</v>
      </c>
    </row>
    <row r="199" spans="1:8" x14ac:dyDescent="0.2">
      <c r="A199" t="s">
        <v>154</v>
      </c>
      <c r="B199" t="s">
        <v>158</v>
      </c>
      <c r="C199">
        <v>2008</v>
      </c>
      <c r="D199">
        <v>3</v>
      </c>
      <c r="E199" s="174">
        <v>39539</v>
      </c>
      <c r="F199">
        <v>379163.48</v>
      </c>
      <c r="G199">
        <v>49997</v>
      </c>
      <c r="H199">
        <v>395050.43</v>
      </c>
    </row>
    <row r="200" spans="1:8" x14ac:dyDescent="0.2">
      <c r="A200" t="s">
        <v>154</v>
      </c>
      <c r="B200" t="s">
        <v>158</v>
      </c>
      <c r="C200">
        <v>2008</v>
      </c>
      <c r="D200">
        <v>4</v>
      </c>
      <c r="E200" s="174">
        <v>39569</v>
      </c>
      <c r="F200">
        <v>391111.2</v>
      </c>
      <c r="G200">
        <v>49997</v>
      </c>
      <c r="H200">
        <v>407498.76</v>
      </c>
    </row>
    <row r="201" spans="1:8" x14ac:dyDescent="0.2">
      <c r="A201" t="s">
        <v>154</v>
      </c>
      <c r="B201" t="s">
        <v>158</v>
      </c>
      <c r="C201">
        <v>2008</v>
      </c>
      <c r="D201">
        <v>5</v>
      </c>
      <c r="E201" s="174">
        <v>39600</v>
      </c>
      <c r="F201">
        <v>412173.25</v>
      </c>
      <c r="G201">
        <v>49997</v>
      </c>
      <c r="H201">
        <v>429443.31</v>
      </c>
    </row>
    <row r="202" spans="1:8" x14ac:dyDescent="0.2">
      <c r="A202" t="s">
        <v>154</v>
      </c>
      <c r="B202" t="s">
        <v>158</v>
      </c>
      <c r="C202">
        <v>2008</v>
      </c>
      <c r="D202">
        <v>6</v>
      </c>
      <c r="E202" s="174">
        <v>39630</v>
      </c>
      <c r="F202">
        <v>460670.66</v>
      </c>
      <c r="G202">
        <v>49997</v>
      </c>
      <c r="H202">
        <v>479972.76</v>
      </c>
    </row>
    <row r="203" spans="1:8" x14ac:dyDescent="0.2">
      <c r="A203" t="s">
        <v>154</v>
      </c>
      <c r="B203" t="s">
        <v>158</v>
      </c>
      <c r="C203">
        <v>2008</v>
      </c>
      <c r="D203">
        <v>7</v>
      </c>
      <c r="E203" s="174">
        <v>39661</v>
      </c>
      <c r="F203">
        <v>479758.99</v>
      </c>
      <c r="G203">
        <v>49997</v>
      </c>
      <c r="H203">
        <v>499860.89</v>
      </c>
    </row>
    <row r="204" spans="1:8" x14ac:dyDescent="0.2">
      <c r="A204" t="s">
        <v>154</v>
      </c>
      <c r="B204" t="s">
        <v>158</v>
      </c>
      <c r="C204">
        <v>2008</v>
      </c>
      <c r="D204">
        <v>8</v>
      </c>
      <c r="E204" s="174">
        <v>39692</v>
      </c>
      <c r="F204">
        <v>456552.79</v>
      </c>
      <c r="G204">
        <v>49997</v>
      </c>
      <c r="H204">
        <v>475682.35</v>
      </c>
    </row>
    <row r="205" spans="1:8" x14ac:dyDescent="0.2">
      <c r="A205" t="s">
        <v>154</v>
      </c>
      <c r="B205" t="s">
        <v>158</v>
      </c>
      <c r="C205">
        <v>2008</v>
      </c>
      <c r="D205">
        <v>9</v>
      </c>
      <c r="E205" s="174">
        <v>39722</v>
      </c>
      <c r="F205">
        <v>437236.09</v>
      </c>
      <c r="G205">
        <v>49997</v>
      </c>
      <c r="H205">
        <v>455556.28</v>
      </c>
    </row>
    <row r="206" spans="1:8" x14ac:dyDescent="0.2">
      <c r="A206" t="s">
        <v>154</v>
      </c>
      <c r="B206" t="s">
        <v>158</v>
      </c>
      <c r="C206">
        <v>2008</v>
      </c>
      <c r="D206">
        <v>10</v>
      </c>
      <c r="E206" s="174">
        <v>39753</v>
      </c>
      <c r="F206">
        <v>399593.41</v>
      </c>
      <c r="G206">
        <v>49997</v>
      </c>
      <c r="H206">
        <v>416336.37</v>
      </c>
    </row>
    <row r="207" spans="1:8" x14ac:dyDescent="0.2">
      <c r="A207" t="s">
        <v>154</v>
      </c>
      <c r="B207" t="s">
        <v>158</v>
      </c>
      <c r="C207">
        <v>2008</v>
      </c>
      <c r="D207">
        <v>11</v>
      </c>
      <c r="E207" s="174">
        <v>39783</v>
      </c>
      <c r="F207">
        <v>383577.08</v>
      </c>
      <c r="G207">
        <v>49997</v>
      </c>
      <c r="H207">
        <v>399648.96</v>
      </c>
    </row>
    <row r="208" spans="1:8" x14ac:dyDescent="0.2">
      <c r="A208" t="s">
        <v>154</v>
      </c>
      <c r="B208" t="s">
        <v>158</v>
      </c>
      <c r="C208">
        <v>2008</v>
      </c>
      <c r="D208">
        <v>12</v>
      </c>
      <c r="E208" s="174">
        <v>39814</v>
      </c>
      <c r="F208">
        <v>401888.62</v>
      </c>
      <c r="G208">
        <v>49997</v>
      </c>
      <c r="H208">
        <v>418727.75</v>
      </c>
    </row>
    <row r="209" spans="1:8" x14ac:dyDescent="0.2">
      <c r="A209" t="s">
        <v>154</v>
      </c>
      <c r="B209" t="s">
        <v>158</v>
      </c>
      <c r="C209">
        <v>2009</v>
      </c>
      <c r="D209">
        <v>1</v>
      </c>
      <c r="E209" s="174">
        <v>39845</v>
      </c>
      <c r="F209">
        <v>396093.49</v>
      </c>
      <c r="G209">
        <v>49997</v>
      </c>
      <c r="H209">
        <v>412689.81</v>
      </c>
    </row>
    <row r="210" spans="1:8" x14ac:dyDescent="0.2">
      <c r="A210" t="s">
        <v>154</v>
      </c>
      <c r="B210" t="s">
        <v>158</v>
      </c>
      <c r="C210">
        <v>2009</v>
      </c>
      <c r="D210">
        <v>2</v>
      </c>
      <c r="E210" s="174">
        <v>39873</v>
      </c>
      <c r="F210">
        <v>356692.09</v>
      </c>
      <c r="G210">
        <v>49997</v>
      </c>
      <c r="H210">
        <v>371637.49</v>
      </c>
    </row>
    <row r="211" spans="1:8" x14ac:dyDescent="0.2">
      <c r="A211" t="s">
        <v>154</v>
      </c>
      <c r="B211" t="s">
        <v>158</v>
      </c>
      <c r="C211">
        <v>2009</v>
      </c>
      <c r="D211">
        <v>3</v>
      </c>
      <c r="E211" s="174">
        <v>39904</v>
      </c>
      <c r="F211">
        <v>395105.76</v>
      </c>
      <c r="G211">
        <v>49997</v>
      </c>
      <c r="H211">
        <v>411660.69</v>
      </c>
    </row>
    <row r="212" spans="1:8" x14ac:dyDescent="0.2">
      <c r="A212" t="s">
        <v>154</v>
      </c>
      <c r="B212" t="s">
        <v>158</v>
      </c>
      <c r="C212">
        <v>2009</v>
      </c>
      <c r="D212">
        <v>4</v>
      </c>
      <c r="E212" s="174">
        <v>39934</v>
      </c>
      <c r="F212">
        <v>394711.89</v>
      </c>
      <c r="G212">
        <v>49997</v>
      </c>
      <c r="H212">
        <v>411250.32</v>
      </c>
    </row>
    <row r="213" spans="1:8" x14ac:dyDescent="0.2">
      <c r="A213" t="s">
        <v>154</v>
      </c>
      <c r="B213" t="s">
        <v>158</v>
      </c>
      <c r="C213">
        <v>2009</v>
      </c>
      <c r="D213">
        <v>5</v>
      </c>
      <c r="E213" s="174">
        <v>39965</v>
      </c>
      <c r="F213">
        <v>427165.55</v>
      </c>
      <c r="G213">
        <v>49997</v>
      </c>
      <c r="H213">
        <v>445063.79</v>
      </c>
    </row>
    <row r="214" spans="1:8" x14ac:dyDescent="0.2">
      <c r="A214" t="s">
        <v>154</v>
      </c>
      <c r="B214" t="s">
        <v>158</v>
      </c>
      <c r="C214">
        <v>2009</v>
      </c>
      <c r="D214">
        <v>6</v>
      </c>
      <c r="E214" s="174">
        <v>39995</v>
      </c>
      <c r="F214">
        <v>453063.18</v>
      </c>
      <c r="G214">
        <v>49997</v>
      </c>
      <c r="H214">
        <v>472046.53</v>
      </c>
    </row>
    <row r="215" spans="1:8" x14ac:dyDescent="0.2">
      <c r="A215" t="s">
        <v>154</v>
      </c>
      <c r="B215" t="s">
        <v>158</v>
      </c>
      <c r="C215">
        <v>2009</v>
      </c>
      <c r="D215">
        <v>7</v>
      </c>
      <c r="E215" s="174">
        <v>40026</v>
      </c>
      <c r="F215">
        <v>473589.54</v>
      </c>
      <c r="G215">
        <v>49997</v>
      </c>
      <c r="H215">
        <v>493432.94</v>
      </c>
    </row>
    <row r="216" spans="1:8" x14ac:dyDescent="0.2">
      <c r="A216" t="s">
        <v>154</v>
      </c>
      <c r="B216" t="s">
        <v>158</v>
      </c>
      <c r="C216">
        <v>2009</v>
      </c>
      <c r="D216">
        <v>8</v>
      </c>
      <c r="E216" s="174">
        <v>40057</v>
      </c>
      <c r="F216">
        <v>477853.38</v>
      </c>
      <c r="G216">
        <v>49997</v>
      </c>
      <c r="H216">
        <v>497875.44</v>
      </c>
    </row>
    <row r="217" spans="1:8" x14ac:dyDescent="0.2">
      <c r="A217" t="s">
        <v>154</v>
      </c>
      <c r="B217" t="s">
        <v>158</v>
      </c>
      <c r="C217">
        <v>2009</v>
      </c>
      <c r="D217">
        <v>9</v>
      </c>
      <c r="E217" s="174">
        <v>40087</v>
      </c>
      <c r="F217">
        <v>432680.01</v>
      </c>
      <c r="G217">
        <v>49997</v>
      </c>
      <c r="H217">
        <v>450809.3</v>
      </c>
    </row>
    <row r="218" spans="1:8" x14ac:dyDescent="0.2">
      <c r="A218" t="s">
        <v>154</v>
      </c>
      <c r="B218" t="s">
        <v>158</v>
      </c>
      <c r="C218">
        <v>2009</v>
      </c>
      <c r="D218">
        <v>10</v>
      </c>
      <c r="E218" s="174">
        <v>40118</v>
      </c>
      <c r="F218">
        <v>401269.82</v>
      </c>
      <c r="G218">
        <v>49997</v>
      </c>
      <c r="H218">
        <v>418083.03</v>
      </c>
    </row>
    <row r="219" spans="1:8" x14ac:dyDescent="0.2">
      <c r="A219" t="s">
        <v>154</v>
      </c>
      <c r="B219" t="s">
        <v>158</v>
      </c>
      <c r="C219">
        <v>2009</v>
      </c>
      <c r="D219">
        <v>11</v>
      </c>
      <c r="E219" s="174">
        <v>40148</v>
      </c>
      <c r="F219">
        <v>386332.57</v>
      </c>
      <c r="G219">
        <v>49997</v>
      </c>
      <c r="H219">
        <v>402519.9</v>
      </c>
    </row>
    <row r="220" spans="1:8" x14ac:dyDescent="0.2">
      <c r="A220" t="s">
        <v>154</v>
      </c>
      <c r="B220" t="s">
        <v>158</v>
      </c>
      <c r="C220">
        <v>2009</v>
      </c>
      <c r="D220">
        <v>12</v>
      </c>
      <c r="E220" s="174">
        <v>40179</v>
      </c>
      <c r="F220">
        <v>391446.63</v>
      </c>
      <c r="G220">
        <v>49997</v>
      </c>
      <c r="H220">
        <v>407848.24</v>
      </c>
    </row>
    <row r="221" spans="1:8" x14ac:dyDescent="0.2">
      <c r="A221" t="s">
        <v>154</v>
      </c>
      <c r="B221" t="s">
        <v>158</v>
      </c>
      <c r="C221">
        <v>2010</v>
      </c>
      <c r="D221">
        <v>1</v>
      </c>
      <c r="E221" s="174">
        <v>40210</v>
      </c>
      <c r="F221">
        <v>386576.61</v>
      </c>
      <c r="G221">
        <v>49997</v>
      </c>
      <c r="H221">
        <v>402774.17</v>
      </c>
    </row>
    <row r="222" spans="1:8" x14ac:dyDescent="0.2">
      <c r="A222" t="s">
        <v>154</v>
      </c>
      <c r="B222" t="s">
        <v>158</v>
      </c>
      <c r="C222">
        <v>2010</v>
      </c>
      <c r="D222">
        <v>2</v>
      </c>
      <c r="E222" s="174">
        <v>40238</v>
      </c>
      <c r="F222">
        <v>350368.44</v>
      </c>
      <c r="G222">
        <v>49997</v>
      </c>
      <c r="H222">
        <v>365048.88</v>
      </c>
    </row>
    <row r="223" spans="1:8" x14ac:dyDescent="0.2">
      <c r="A223" t="s">
        <v>154</v>
      </c>
      <c r="B223" t="s">
        <v>158</v>
      </c>
      <c r="C223">
        <v>2010</v>
      </c>
      <c r="D223">
        <v>3</v>
      </c>
      <c r="E223" s="174">
        <v>40269</v>
      </c>
      <c r="F223">
        <v>397820.25</v>
      </c>
      <c r="G223">
        <v>49997</v>
      </c>
      <c r="H223">
        <v>414488.92</v>
      </c>
    </row>
    <row r="224" spans="1:8" x14ac:dyDescent="0.2">
      <c r="A224" t="s">
        <v>154</v>
      </c>
      <c r="B224" t="s">
        <v>158</v>
      </c>
      <c r="C224">
        <v>2010</v>
      </c>
      <c r="D224">
        <v>4</v>
      </c>
      <c r="E224" s="174">
        <v>40299</v>
      </c>
      <c r="F224">
        <v>400231.94</v>
      </c>
      <c r="G224">
        <v>49997</v>
      </c>
      <c r="H224">
        <v>417001.66</v>
      </c>
    </row>
    <row r="225" spans="1:8" x14ac:dyDescent="0.2">
      <c r="A225" t="s">
        <v>154</v>
      </c>
      <c r="B225" t="s">
        <v>158</v>
      </c>
      <c r="C225">
        <v>2010</v>
      </c>
      <c r="D225">
        <v>5</v>
      </c>
      <c r="E225" s="174">
        <v>40330</v>
      </c>
      <c r="F225">
        <v>448282.07</v>
      </c>
      <c r="G225">
        <v>49997</v>
      </c>
      <c r="H225">
        <v>461102.94</v>
      </c>
    </row>
    <row r="226" spans="1:8" x14ac:dyDescent="0.2">
      <c r="A226" t="s">
        <v>154</v>
      </c>
      <c r="B226" t="s">
        <v>158</v>
      </c>
      <c r="C226">
        <v>2010</v>
      </c>
      <c r="D226">
        <v>6</v>
      </c>
      <c r="E226" s="174">
        <v>40360</v>
      </c>
      <c r="F226">
        <v>475957.41</v>
      </c>
      <c r="G226">
        <v>49997</v>
      </c>
      <c r="H226">
        <v>489569.79</v>
      </c>
    </row>
    <row r="227" spans="1:8" x14ac:dyDescent="0.2">
      <c r="A227" t="s">
        <v>154</v>
      </c>
      <c r="B227" t="s">
        <v>158</v>
      </c>
      <c r="C227">
        <v>2010</v>
      </c>
      <c r="D227">
        <v>7</v>
      </c>
      <c r="E227" s="174">
        <v>40391</v>
      </c>
      <c r="F227">
        <v>508464.8</v>
      </c>
      <c r="G227">
        <v>49997</v>
      </c>
      <c r="H227">
        <v>523006.89</v>
      </c>
    </row>
    <row r="228" spans="1:8" x14ac:dyDescent="0.2">
      <c r="A228" t="s">
        <v>154</v>
      </c>
      <c r="B228" t="s">
        <v>158</v>
      </c>
      <c r="C228">
        <v>2010</v>
      </c>
      <c r="D228">
        <v>8</v>
      </c>
      <c r="E228" s="174">
        <v>40422</v>
      </c>
      <c r="F228">
        <v>489017.21</v>
      </c>
      <c r="G228">
        <v>49997</v>
      </c>
      <c r="H228">
        <v>503003.1</v>
      </c>
    </row>
    <row r="229" spans="1:8" x14ac:dyDescent="0.2">
      <c r="A229" t="s">
        <v>154</v>
      </c>
      <c r="B229" t="s">
        <v>158</v>
      </c>
      <c r="C229">
        <v>2010</v>
      </c>
      <c r="D229">
        <v>9</v>
      </c>
      <c r="E229" s="174">
        <v>40452</v>
      </c>
      <c r="F229">
        <v>453460.07</v>
      </c>
      <c r="G229">
        <v>49997</v>
      </c>
      <c r="H229">
        <v>466429.03</v>
      </c>
    </row>
    <row r="230" spans="1:8" x14ac:dyDescent="0.2">
      <c r="A230" t="s">
        <v>154</v>
      </c>
      <c r="B230" t="s">
        <v>158</v>
      </c>
      <c r="C230">
        <v>2010</v>
      </c>
      <c r="D230">
        <v>10</v>
      </c>
      <c r="E230" s="174">
        <v>40483</v>
      </c>
      <c r="F230">
        <v>424368.48</v>
      </c>
      <c r="G230">
        <v>49997</v>
      </c>
      <c r="H230">
        <v>436505.42</v>
      </c>
    </row>
    <row r="231" spans="1:8" x14ac:dyDescent="0.2">
      <c r="A231" t="s">
        <v>154</v>
      </c>
      <c r="B231" t="s">
        <v>158</v>
      </c>
      <c r="C231">
        <v>2010</v>
      </c>
      <c r="D231">
        <v>11</v>
      </c>
      <c r="E231" s="174">
        <v>40513</v>
      </c>
      <c r="F231">
        <v>394729.13</v>
      </c>
      <c r="G231">
        <v>49997</v>
      </c>
      <c r="H231">
        <v>406018.38</v>
      </c>
    </row>
    <row r="232" spans="1:8" x14ac:dyDescent="0.2">
      <c r="A232" t="s">
        <v>154</v>
      </c>
      <c r="B232" t="s">
        <v>158</v>
      </c>
      <c r="C232">
        <v>2010</v>
      </c>
      <c r="D232">
        <v>12</v>
      </c>
      <c r="E232" s="174">
        <v>40544</v>
      </c>
      <c r="F232">
        <v>398016.12</v>
      </c>
      <c r="G232">
        <v>49997</v>
      </c>
      <c r="H232">
        <v>409399.38</v>
      </c>
    </row>
    <row r="233" spans="1:8" x14ac:dyDescent="0.2">
      <c r="A233" t="s">
        <v>154</v>
      </c>
      <c r="B233" t="s">
        <v>158</v>
      </c>
      <c r="C233">
        <v>2011</v>
      </c>
      <c r="D233">
        <v>1</v>
      </c>
      <c r="E233" s="174">
        <v>40575</v>
      </c>
      <c r="F233">
        <v>397454.51</v>
      </c>
      <c r="G233">
        <v>49997</v>
      </c>
      <c r="H233">
        <v>408821.71</v>
      </c>
    </row>
    <row r="234" spans="1:8" x14ac:dyDescent="0.2">
      <c r="A234" t="s">
        <v>154</v>
      </c>
      <c r="B234" t="s">
        <v>158</v>
      </c>
      <c r="C234">
        <v>2011</v>
      </c>
      <c r="D234">
        <v>2</v>
      </c>
      <c r="E234" s="174">
        <v>40603</v>
      </c>
      <c r="F234">
        <v>363199.93</v>
      </c>
      <c r="G234">
        <v>49997</v>
      </c>
      <c r="H234">
        <v>373587.45</v>
      </c>
    </row>
    <row r="235" spans="1:8" x14ac:dyDescent="0.2">
      <c r="A235" t="s">
        <v>154</v>
      </c>
      <c r="B235" t="s">
        <v>158</v>
      </c>
      <c r="C235">
        <v>2011</v>
      </c>
      <c r="D235">
        <v>3</v>
      </c>
      <c r="E235" s="174">
        <v>40634</v>
      </c>
      <c r="F235">
        <v>408491.93</v>
      </c>
      <c r="G235">
        <v>49997</v>
      </c>
      <c r="H235">
        <v>420174.8</v>
      </c>
    </row>
    <row r="236" spans="1:8" x14ac:dyDescent="0.2">
      <c r="A236" t="s">
        <v>154</v>
      </c>
      <c r="B236" t="s">
        <v>158</v>
      </c>
      <c r="C236">
        <v>2011</v>
      </c>
      <c r="D236">
        <v>4</v>
      </c>
      <c r="E236" s="174">
        <v>40664</v>
      </c>
      <c r="F236">
        <v>402635.21</v>
      </c>
      <c r="G236">
        <v>49997</v>
      </c>
      <c r="H236">
        <v>414150.58</v>
      </c>
    </row>
    <row r="237" spans="1:8" x14ac:dyDescent="0.2">
      <c r="A237" t="s">
        <v>154</v>
      </c>
      <c r="B237" t="s">
        <v>158</v>
      </c>
      <c r="C237">
        <v>2011</v>
      </c>
      <c r="D237">
        <v>5</v>
      </c>
      <c r="E237" s="174">
        <v>40695</v>
      </c>
      <c r="F237">
        <v>456332.3</v>
      </c>
      <c r="G237">
        <v>49997</v>
      </c>
      <c r="H237">
        <v>469383.4</v>
      </c>
    </row>
    <row r="238" spans="1:8" x14ac:dyDescent="0.2">
      <c r="A238" t="s">
        <v>154</v>
      </c>
      <c r="B238" t="s">
        <v>158</v>
      </c>
      <c r="C238">
        <v>2011</v>
      </c>
      <c r="D238">
        <v>6</v>
      </c>
      <c r="E238" s="174">
        <v>40725</v>
      </c>
      <c r="F238">
        <v>479639.09</v>
      </c>
      <c r="G238">
        <v>49997</v>
      </c>
      <c r="H238">
        <v>493356.77</v>
      </c>
    </row>
    <row r="239" spans="1:8" x14ac:dyDescent="0.2">
      <c r="A239" t="s">
        <v>154</v>
      </c>
      <c r="B239" t="s">
        <v>158</v>
      </c>
      <c r="C239">
        <v>2011</v>
      </c>
      <c r="D239">
        <v>7</v>
      </c>
      <c r="E239" s="174">
        <v>40756</v>
      </c>
      <c r="F239">
        <v>576234.38</v>
      </c>
      <c r="G239">
        <v>49997</v>
      </c>
      <c r="H239">
        <v>592714.68000000005</v>
      </c>
    </row>
    <row r="240" spans="1:8" x14ac:dyDescent="0.2">
      <c r="A240" t="s">
        <v>154</v>
      </c>
      <c r="B240" t="s">
        <v>158</v>
      </c>
      <c r="C240">
        <v>2011</v>
      </c>
      <c r="D240">
        <v>8</v>
      </c>
      <c r="E240" s="174">
        <v>40787</v>
      </c>
      <c r="F240">
        <v>553770.27</v>
      </c>
      <c r="G240">
        <v>49997</v>
      </c>
      <c r="H240">
        <v>569608.1</v>
      </c>
    </row>
    <row r="241" spans="1:8" x14ac:dyDescent="0.2">
      <c r="A241" t="s">
        <v>154</v>
      </c>
      <c r="B241" t="s">
        <v>158</v>
      </c>
      <c r="C241">
        <v>2011</v>
      </c>
      <c r="D241">
        <v>9</v>
      </c>
      <c r="E241" s="174">
        <v>40817</v>
      </c>
      <c r="F241">
        <v>493336.03</v>
      </c>
      <c r="G241">
        <v>49997</v>
      </c>
      <c r="H241">
        <v>507445.44</v>
      </c>
    </row>
    <row r="242" spans="1:8" x14ac:dyDescent="0.2">
      <c r="A242" t="s">
        <v>154</v>
      </c>
      <c r="B242" t="s">
        <v>158</v>
      </c>
      <c r="C242">
        <v>2011</v>
      </c>
      <c r="D242">
        <v>10</v>
      </c>
      <c r="E242" s="174">
        <v>40848</v>
      </c>
      <c r="F242">
        <v>441656.63</v>
      </c>
      <c r="G242">
        <v>49997</v>
      </c>
      <c r="H242">
        <v>454288.01</v>
      </c>
    </row>
    <row r="243" spans="1:8" x14ac:dyDescent="0.2">
      <c r="A243" t="s">
        <v>154</v>
      </c>
      <c r="B243" t="s">
        <v>158</v>
      </c>
      <c r="C243">
        <v>2011</v>
      </c>
      <c r="D243">
        <v>11</v>
      </c>
      <c r="E243" s="174">
        <v>40878</v>
      </c>
      <c r="F243">
        <v>412085.71</v>
      </c>
      <c r="G243">
        <v>49997</v>
      </c>
      <c r="H243">
        <v>423871.36</v>
      </c>
    </row>
    <row r="244" spans="1:8" x14ac:dyDescent="0.2">
      <c r="A244" t="s">
        <v>154</v>
      </c>
      <c r="B244" t="s">
        <v>158</v>
      </c>
      <c r="C244">
        <v>2011</v>
      </c>
      <c r="D244">
        <v>12</v>
      </c>
      <c r="E244" s="174">
        <v>40909</v>
      </c>
      <c r="F244">
        <v>416433.18</v>
      </c>
      <c r="G244">
        <v>49997</v>
      </c>
      <c r="H244">
        <v>428343.17</v>
      </c>
    </row>
    <row r="245" spans="1:8" x14ac:dyDescent="0.2">
      <c r="A245" t="s">
        <v>154</v>
      </c>
      <c r="B245" t="s">
        <v>158</v>
      </c>
      <c r="C245">
        <v>2012</v>
      </c>
      <c r="D245">
        <v>1</v>
      </c>
      <c r="E245" s="174">
        <v>40940</v>
      </c>
      <c r="F245">
        <v>410386.51</v>
      </c>
      <c r="G245">
        <v>49997</v>
      </c>
      <c r="H245">
        <v>422123.56</v>
      </c>
    </row>
    <row r="246" spans="1:8" x14ac:dyDescent="0.2">
      <c r="A246" t="s">
        <v>154</v>
      </c>
      <c r="B246" t="s">
        <v>158</v>
      </c>
      <c r="C246">
        <v>2012</v>
      </c>
      <c r="D246">
        <v>2</v>
      </c>
      <c r="E246" s="174">
        <v>40969</v>
      </c>
      <c r="F246">
        <v>384229.35</v>
      </c>
      <c r="G246">
        <v>49997</v>
      </c>
      <c r="H246">
        <v>395218.31</v>
      </c>
    </row>
    <row r="247" spans="1:8" x14ac:dyDescent="0.2">
      <c r="A247" t="s">
        <v>154</v>
      </c>
      <c r="B247" t="s">
        <v>158</v>
      </c>
      <c r="C247">
        <v>2012</v>
      </c>
      <c r="D247">
        <v>3</v>
      </c>
      <c r="E247" s="174">
        <v>41000</v>
      </c>
      <c r="F247">
        <v>434399.95</v>
      </c>
      <c r="G247">
        <v>49997</v>
      </c>
      <c r="H247">
        <v>446823.79</v>
      </c>
    </row>
    <row r="248" spans="1:8" x14ac:dyDescent="0.2">
      <c r="A248" t="s">
        <v>154</v>
      </c>
      <c r="B248" t="s">
        <v>158</v>
      </c>
      <c r="C248">
        <v>2012</v>
      </c>
      <c r="D248">
        <v>4</v>
      </c>
      <c r="E248" s="174">
        <v>41030</v>
      </c>
      <c r="F248">
        <v>405092.91</v>
      </c>
      <c r="G248">
        <v>49997</v>
      </c>
      <c r="H248">
        <v>416678.57</v>
      </c>
    </row>
    <row r="249" spans="1:8" x14ac:dyDescent="0.2">
      <c r="A249" t="s">
        <v>154</v>
      </c>
      <c r="B249" t="s">
        <v>158</v>
      </c>
      <c r="C249">
        <v>2012</v>
      </c>
      <c r="D249">
        <v>5</v>
      </c>
      <c r="E249" s="174">
        <v>41061</v>
      </c>
      <c r="F249">
        <v>475494.05</v>
      </c>
      <c r="G249">
        <v>49997</v>
      </c>
      <c r="H249">
        <v>489093.18</v>
      </c>
    </row>
    <row r="250" spans="1:8" x14ac:dyDescent="0.2">
      <c r="A250" t="s">
        <v>154</v>
      </c>
      <c r="B250" t="s">
        <v>158</v>
      </c>
      <c r="C250">
        <v>2012</v>
      </c>
      <c r="D250">
        <v>6</v>
      </c>
      <c r="E250" s="174">
        <v>41086</v>
      </c>
      <c r="F250">
        <v>397607.93</v>
      </c>
      <c r="G250">
        <v>49997</v>
      </c>
      <c r="H250">
        <v>408979.52</v>
      </c>
    </row>
    <row r="251" spans="1:8" x14ac:dyDescent="0.2">
      <c r="A251" s="179" t="s">
        <v>154</v>
      </c>
      <c r="B251" s="179" t="s">
        <v>158</v>
      </c>
      <c r="C251" s="179">
        <v>2012</v>
      </c>
      <c r="D251" s="179">
        <v>7</v>
      </c>
      <c r="E251" s="180">
        <v>41122</v>
      </c>
      <c r="F251" s="179">
        <v>614020.26</v>
      </c>
      <c r="G251" s="179">
        <v>49997</v>
      </c>
      <c r="H251" s="183">
        <v>631581.24</v>
      </c>
    </row>
    <row r="252" spans="1:8" x14ac:dyDescent="0.2">
      <c r="A252" s="179" t="s">
        <v>154</v>
      </c>
      <c r="B252" s="179" t="s">
        <v>158</v>
      </c>
      <c r="C252" s="179">
        <v>2012</v>
      </c>
      <c r="D252" s="179">
        <v>8</v>
      </c>
      <c r="E252" s="180">
        <v>41153</v>
      </c>
      <c r="F252" s="179">
        <v>516743.02</v>
      </c>
      <c r="G252" s="179">
        <v>49997</v>
      </c>
      <c r="H252" s="183">
        <v>531521.87</v>
      </c>
    </row>
    <row r="253" spans="1:8" x14ac:dyDescent="0.2">
      <c r="A253" s="179" t="s">
        <v>154</v>
      </c>
      <c r="B253" s="179" t="s">
        <v>158</v>
      </c>
      <c r="C253" s="179">
        <v>2012</v>
      </c>
      <c r="D253" s="179">
        <v>9</v>
      </c>
      <c r="E253" s="180">
        <v>41183</v>
      </c>
      <c r="F253" s="179">
        <v>454643.34</v>
      </c>
      <c r="G253" s="179">
        <v>49997</v>
      </c>
      <c r="H253" s="183">
        <v>467646.14</v>
      </c>
    </row>
    <row r="254" spans="1:8" x14ac:dyDescent="0.2">
      <c r="A254" s="179" t="s">
        <v>154</v>
      </c>
      <c r="B254" s="179" t="s">
        <v>158</v>
      </c>
      <c r="C254" s="179">
        <v>2012</v>
      </c>
      <c r="D254" s="179">
        <v>10</v>
      </c>
      <c r="E254" s="180">
        <v>41214</v>
      </c>
      <c r="F254" s="179">
        <v>437325.23</v>
      </c>
      <c r="G254" s="179">
        <v>49997</v>
      </c>
      <c r="H254" s="183">
        <v>449832.73</v>
      </c>
    </row>
    <row r="255" spans="1:8" x14ac:dyDescent="0.2">
      <c r="A255" s="179" t="s">
        <v>154</v>
      </c>
      <c r="B255" s="179" t="s">
        <v>158</v>
      </c>
      <c r="C255" s="179">
        <v>2012</v>
      </c>
      <c r="D255" s="179">
        <v>11</v>
      </c>
      <c r="E255" s="180">
        <v>41244</v>
      </c>
      <c r="F255" s="179">
        <v>399541.41</v>
      </c>
      <c r="G255" s="179">
        <v>49997</v>
      </c>
      <c r="H255" s="183">
        <v>410968.29</v>
      </c>
    </row>
    <row r="256" spans="1:8" x14ac:dyDescent="0.2">
      <c r="A256" s="179" t="s">
        <v>154</v>
      </c>
      <c r="B256" s="179" t="s">
        <v>158</v>
      </c>
      <c r="C256" s="179">
        <v>2012</v>
      </c>
      <c r="D256" s="179">
        <v>12</v>
      </c>
      <c r="E256" s="180">
        <v>41275</v>
      </c>
      <c r="F256" s="179">
        <v>415025.76</v>
      </c>
      <c r="G256" s="179">
        <v>49997</v>
      </c>
      <c r="H256" s="183">
        <v>426895.5</v>
      </c>
    </row>
    <row r="257" spans="1:8" x14ac:dyDescent="0.2">
      <c r="A257" t="s">
        <v>155</v>
      </c>
      <c r="B257" t="s">
        <v>158</v>
      </c>
      <c r="C257">
        <v>2006</v>
      </c>
      <c r="D257">
        <v>5</v>
      </c>
      <c r="E257" s="174">
        <v>38869</v>
      </c>
      <c r="F257">
        <v>205953.86</v>
      </c>
      <c r="G257">
        <v>42695</v>
      </c>
      <c r="H257">
        <v>214583.33</v>
      </c>
    </row>
    <row r="258" spans="1:8" x14ac:dyDescent="0.2">
      <c r="A258" t="s">
        <v>155</v>
      </c>
      <c r="B258" t="s">
        <v>158</v>
      </c>
      <c r="C258">
        <v>2006</v>
      </c>
      <c r="D258">
        <v>6</v>
      </c>
      <c r="E258" s="174">
        <v>38899</v>
      </c>
      <c r="F258">
        <v>367442.14</v>
      </c>
      <c r="G258">
        <v>42695</v>
      </c>
      <c r="H258">
        <v>382837.97</v>
      </c>
    </row>
    <row r="259" spans="1:8" x14ac:dyDescent="0.2">
      <c r="A259" t="s">
        <v>155</v>
      </c>
      <c r="B259" t="s">
        <v>158</v>
      </c>
      <c r="C259">
        <v>2006</v>
      </c>
      <c r="D259">
        <v>7</v>
      </c>
      <c r="E259" s="174">
        <v>38930</v>
      </c>
      <c r="F259">
        <v>396760.31</v>
      </c>
      <c r="G259">
        <v>42695</v>
      </c>
      <c r="H259">
        <v>413384.57</v>
      </c>
    </row>
    <row r="260" spans="1:8" x14ac:dyDescent="0.2">
      <c r="A260" t="s">
        <v>155</v>
      </c>
      <c r="B260" t="s">
        <v>158</v>
      </c>
      <c r="C260">
        <v>2006</v>
      </c>
      <c r="D260">
        <v>8</v>
      </c>
      <c r="E260" s="174">
        <v>38961</v>
      </c>
      <c r="F260">
        <v>385638.25</v>
      </c>
      <c r="G260">
        <v>42695</v>
      </c>
      <c r="H260">
        <v>401796.49</v>
      </c>
    </row>
    <row r="261" spans="1:8" x14ac:dyDescent="0.2">
      <c r="A261" t="s">
        <v>155</v>
      </c>
      <c r="B261" t="s">
        <v>158</v>
      </c>
      <c r="C261">
        <v>2006</v>
      </c>
      <c r="D261">
        <v>9</v>
      </c>
      <c r="E261" s="174">
        <v>38991</v>
      </c>
      <c r="F261">
        <v>350685.35</v>
      </c>
      <c r="G261">
        <v>42695</v>
      </c>
      <c r="H261">
        <v>365379.07</v>
      </c>
    </row>
    <row r="262" spans="1:8" x14ac:dyDescent="0.2">
      <c r="A262" t="s">
        <v>155</v>
      </c>
      <c r="B262" t="s">
        <v>158</v>
      </c>
      <c r="C262">
        <v>2006</v>
      </c>
      <c r="D262">
        <v>10</v>
      </c>
      <c r="E262" s="174">
        <v>39022</v>
      </c>
      <c r="F262">
        <v>343791.05</v>
      </c>
      <c r="G262">
        <v>42695</v>
      </c>
      <c r="H262">
        <v>358195.89</v>
      </c>
    </row>
    <row r="263" spans="1:8" x14ac:dyDescent="0.2">
      <c r="A263" t="s">
        <v>155</v>
      </c>
      <c r="B263" t="s">
        <v>158</v>
      </c>
      <c r="C263">
        <v>2006</v>
      </c>
      <c r="D263">
        <v>11</v>
      </c>
      <c r="E263" s="174">
        <v>39052</v>
      </c>
      <c r="F263">
        <v>334976.46000000002</v>
      </c>
      <c r="G263">
        <v>42695</v>
      </c>
      <c r="H263">
        <v>349011.97</v>
      </c>
    </row>
    <row r="264" spans="1:8" x14ac:dyDescent="0.2">
      <c r="A264" t="s">
        <v>155</v>
      </c>
      <c r="B264" t="s">
        <v>158</v>
      </c>
      <c r="C264">
        <v>2006</v>
      </c>
      <c r="D264">
        <v>12</v>
      </c>
      <c r="E264" s="174">
        <v>39083</v>
      </c>
      <c r="F264">
        <v>338567.11</v>
      </c>
      <c r="G264">
        <v>42695</v>
      </c>
      <c r="H264">
        <v>352753.07</v>
      </c>
    </row>
    <row r="265" spans="1:8" x14ac:dyDescent="0.2">
      <c r="A265" t="s">
        <v>155</v>
      </c>
      <c r="B265" t="s">
        <v>158</v>
      </c>
      <c r="C265">
        <v>2007</v>
      </c>
      <c r="D265">
        <v>1</v>
      </c>
      <c r="E265" s="174">
        <v>39114</v>
      </c>
      <c r="F265">
        <v>332561.74</v>
      </c>
      <c r="G265">
        <v>42695</v>
      </c>
      <c r="H265">
        <v>346496.08</v>
      </c>
    </row>
    <row r="266" spans="1:8" x14ac:dyDescent="0.2">
      <c r="A266" t="s">
        <v>155</v>
      </c>
      <c r="B266" t="s">
        <v>158</v>
      </c>
      <c r="C266">
        <v>2007</v>
      </c>
      <c r="D266">
        <v>2</v>
      </c>
      <c r="E266" s="174">
        <v>39142</v>
      </c>
      <c r="F266">
        <v>295939.33</v>
      </c>
      <c r="G266">
        <v>42695</v>
      </c>
      <c r="H266">
        <v>308339.19</v>
      </c>
    </row>
    <row r="267" spans="1:8" x14ac:dyDescent="0.2">
      <c r="A267" t="s">
        <v>155</v>
      </c>
      <c r="B267" t="s">
        <v>158</v>
      </c>
      <c r="C267">
        <v>2007</v>
      </c>
      <c r="D267">
        <v>3</v>
      </c>
      <c r="E267" s="174">
        <v>39173</v>
      </c>
      <c r="F267">
        <v>334313.77</v>
      </c>
      <c r="G267">
        <v>42695</v>
      </c>
      <c r="H267">
        <v>348321.52</v>
      </c>
    </row>
    <row r="268" spans="1:8" x14ac:dyDescent="0.2">
      <c r="A268" t="s">
        <v>155</v>
      </c>
      <c r="B268" t="s">
        <v>158</v>
      </c>
      <c r="C268">
        <v>2007</v>
      </c>
      <c r="D268">
        <v>4</v>
      </c>
      <c r="E268" s="174">
        <v>39203</v>
      </c>
      <c r="F268">
        <v>333745.68</v>
      </c>
      <c r="G268">
        <v>42695</v>
      </c>
      <c r="H268">
        <v>347729.62</v>
      </c>
    </row>
    <row r="269" spans="1:8" x14ac:dyDescent="0.2">
      <c r="A269" t="s">
        <v>155</v>
      </c>
      <c r="B269" t="s">
        <v>158</v>
      </c>
      <c r="C269">
        <v>2007</v>
      </c>
      <c r="D269">
        <v>5</v>
      </c>
      <c r="E269" s="174">
        <v>39234</v>
      </c>
      <c r="F269">
        <v>378283.63</v>
      </c>
      <c r="G269">
        <v>42695</v>
      </c>
      <c r="H269">
        <v>394133.71</v>
      </c>
    </row>
    <row r="270" spans="1:8" x14ac:dyDescent="0.2">
      <c r="A270" t="s">
        <v>155</v>
      </c>
      <c r="B270" t="s">
        <v>158</v>
      </c>
      <c r="C270">
        <v>2007</v>
      </c>
      <c r="D270">
        <v>6</v>
      </c>
      <c r="E270" s="174">
        <v>39264</v>
      </c>
      <c r="F270">
        <v>399804.74</v>
      </c>
      <c r="G270">
        <v>42695</v>
      </c>
      <c r="H270">
        <v>416556.56</v>
      </c>
    </row>
    <row r="271" spans="1:8" x14ac:dyDescent="0.2">
      <c r="A271" t="s">
        <v>155</v>
      </c>
      <c r="B271" t="s">
        <v>158</v>
      </c>
      <c r="C271">
        <v>2007</v>
      </c>
      <c r="D271">
        <v>7</v>
      </c>
      <c r="E271" s="174">
        <v>39295</v>
      </c>
      <c r="F271">
        <v>396701.7</v>
      </c>
      <c r="G271">
        <v>42695</v>
      </c>
      <c r="H271">
        <v>413323.5</v>
      </c>
    </row>
    <row r="272" spans="1:8" x14ac:dyDescent="0.2">
      <c r="A272" t="s">
        <v>155</v>
      </c>
      <c r="B272" t="s">
        <v>158</v>
      </c>
      <c r="C272">
        <v>2007</v>
      </c>
      <c r="D272">
        <v>8</v>
      </c>
      <c r="E272" s="174">
        <v>39326</v>
      </c>
      <c r="F272">
        <v>401391.68</v>
      </c>
      <c r="G272">
        <v>42695</v>
      </c>
      <c r="H272">
        <v>418209.99</v>
      </c>
    </row>
    <row r="273" spans="1:8" x14ac:dyDescent="0.2">
      <c r="A273" t="s">
        <v>155</v>
      </c>
      <c r="B273" t="s">
        <v>158</v>
      </c>
      <c r="C273">
        <v>2007</v>
      </c>
      <c r="D273">
        <v>9</v>
      </c>
      <c r="E273" s="174">
        <v>39356</v>
      </c>
      <c r="F273">
        <v>375355.61</v>
      </c>
      <c r="G273">
        <v>42695</v>
      </c>
      <c r="H273">
        <v>391083.01</v>
      </c>
    </row>
    <row r="274" spans="1:8" x14ac:dyDescent="0.2">
      <c r="A274" t="s">
        <v>155</v>
      </c>
      <c r="B274" t="s">
        <v>158</v>
      </c>
      <c r="C274">
        <v>2007</v>
      </c>
      <c r="D274">
        <v>10</v>
      </c>
      <c r="E274" s="174">
        <v>39387</v>
      </c>
      <c r="F274">
        <v>364048.91</v>
      </c>
      <c r="G274">
        <v>42695</v>
      </c>
      <c r="H274">
        <v>379302.56</v>
      </c>
    </row>
    <row r="275" spans="1:8" x14ac:dyDescent="0.2">
      <c r="A275" t="s">
        <v>155</v>
      </c>
      <c r="B275" t="s">
        <v>158</v>
      </c>
      <c r="C275">
        <v>2007</v>
      </c>
      <c r="D275">
        <v>11</v>
      </c>
      <c r="E275" s="174">
        <v>39417</v>
      </c>
      <c r="F275">
        <v>327946.34000000003</v>
      </c>
      <c r="G275">
        <v>42695</v>
      </c>
      <c r="H275">
        <v>341687.29</v>
      </c>
    </row>
    <row r="276" spans="1:8" x14ac:dyDescent="0.2">
      <c r="A276" t="s">
        <v>155</v>
      </c>
      <c r="B276" t="s">
        <v>158</v>
      </c>
      <c r="C276">
        <v>2007</v>
      </c>
      <c r="D276">
        <v>12</v>
      </c>
      <c r="E276" s="174">
        <v>39448</v>
      </c>
      <c r="F276">
        <v>342302.05</v>
      </c>
      <c r="G276">
        <v>42695</v>
      </c>
      <c r="H276">
        <v>356644.51</v>
      </c>
    </row>
    <row r="277" spans="1:8" x14ac:dyDescent="0.2">
      <c r="A277" t="s">
        <v>155</v>
      </c>
      <c r="B277" t="s">
        <v>158</v>
      </c>
      <c r="C277">
        <v>2008</v>
      </c>
      <c r="D277">
        <v>1</v>
      </c>
      <c r="E277" s="174">
        <v>39479</v>
      </c>
      <c r="F277">
        <v>337454.57</v>
      </c>
      <c r="G277">
        <v>42695</v>
      </c>
      <c r="H277">
        <v>351593.92</v>
      </c>
    </row>
    <row r="278" spans="1:8" x14ac:dyDescent="0.2">
      <c r="A278" t="s">
        <v>155</v>
      </c>
      <c r="B278" t="s">
        <v>158</v>
      </c>
      <c r="C278">
        <v>2008</v>
      </c>
      <c r="D278">
        <v>2</v>
      </c>
      <c r="E278" s="174">
        <v>39508</v>
      </c>
      <c r="F278">
        <v>300926.8</v>
      </c>
      <c r="G278">
        <v>42695</v>
      </c>
      <c r="H278">
        <v>313535.63</v>
      </c>
    </row>
    <row r="279" spans="1:8" x14ac:dyDescent="0.2">
      <c r="A279" t="s">
        <v>155</v>
      </c>
      <c r="B279" t="s">
        <v>158</v>
      </c>
      <c r="C279">
        <v>2008</v>
      </c>
      <c r="D279">
        <v>3</v>
      </c>
      <c r="E279" s="174">
        <v>39539</v>
      </c>
      <c r="F279">
        <v>317236.56</v>
      </c>
      <c r="G279">
        <v>42695</v>
      </c>
      <c r="H279">
        <v>330528.77</v>
      </c>
    </row>
    <row r="280" spans="1:8" x14ac:dyDescent="0.2">
      <c r="A280" t="s">
        <v>155</v>
      </c>
      <c r="B280" t="s">
        <v>158</v>
      </c>
      <c r="C280">
        <v>2008</v>
      </c>
      <c r="D280">
        <v>4</v>
      </c>
      <c r="E280" s="174">
        <v>39569</v>
      </c>
      <c r="F280">
        <v>329235.06</v>
      </c>
      <c r="G280">
        <v>42695</v>
      </c>
      <c r="H280">
        <v>343030.01</v>
      </c>
    </row>
    <row r="281" spans="1:8" x14ac:dyDescent="0.2">
      <c r="A281" t="s">
        <v>155</v>
      </c>
      <c r="B281" t="s">
        <v>158</v>
      </c>
      <c r="C281">
        <v>2008</v>
      </c>
      <c r="D281">
        <v>5</v>
      </c>
      <c r="E281" s="174">
        <v>39600</v>
      </c>
      <c r="F281">
        <v>348294.32</v>
      </c>
      <c r="G281">
        <v>42695</v>
      </c>
      <c r="H281">
        <v>362887.85</v>
      </c>
    </row>
    <row r="282" spans="1:8" x14ac:dyDescent="0.2">
      <c r="A282" t="s">
        <v>155</v>
      </c>
      <c r="B282" t="s">
        <v>158</v>
      </c>
      <c r="C282">
        <v>2008</v>
      </c>
      <c r="D282">
        <v>6</v>
      </c>
      <c r="E282" s="174">
        <v>39630</v>
      </c>
      <c r="F282">
        <v>378712.26</v>
      </c>
      <c r="G282">
        <v>42695</v>
      </c>
      <c r="H282">
        <v>394580.3</v>
      </c>
    </row>
    <row r="283" spans="1:8" x14ac:dyDescent="0.2">
      <c r="A283" t="s">
        <v>155</v>
      </c>
      <c r="B283" t="s">
        <v>158</v>
      </c>
      <c r="C283">
        <v>2008</v>
      </c>
      <c r="D283">
        <v>7</v>
      </c>
      <c r="E283" s="174">
        <v>39661</v>
      </c>
      <c r="F283">
        <v>394795.63</v>
      </c>
      <c r="G283">
        <v>42695</v>
      </c>
      <c r="H283">
        <v>411337.57</v>
      </c>
    </row>
    <row r="284" spans="1:8" x14ac:dyDescent="0.2">
      <c r="A284" t="s">
        <v>155</v>
      </c>
      <c r="B284" t="s">
        <v>158</v>
      </c>
      <c r="C284">
        <v>2008</v>
      </c>
      <c r="D284">
        <v>8</v>
      </c>
      <c r="E284" s="174">
        <v>39692</v>
      </c>
      <c r="F284">
        <v>379360.31</v>
      </c>
      <c r="G284">
        <v>42695</v>
      </c>
      <c r="H284">
        <v>395255.51</v>
      </c>
    </row>
    <row r="285" spans="1:8" x14ac:dyDescent="0.2">
      <c r="A285" t="s">
        <v>155</v>
      </c>
      <c r="B285" t="s">
        <v>158</v>
      </c>
      <c r="C285">
        <v>2008</v>
      </c>
      <c r="D285">
        <v>9</v>
      </c>
      <c r="E285" s="174">
        <v>39722</v>
      </c>
      <c r="F285">
        <v>364400.92</v>
      </c>
      <c r="G285">
        <v>42695</v>
      </c>
      <c r="H285">
        <v>379669.32</v>
      </c>
    </row>
    <row r="286" spans="1:8" x14ac:dyDescent="0.2">
      <c r="A286" t="s">
        <v>155</v>
      </c>
      <c r="B286" t="s">
        <v>158</v>
      </c>
      <c r="C286">
        <v>2008</v>
      </c>
      <c r="D286">
        <v>10</v>
      </c>
      <c r="E286" s="174">
        <v>39753</v>
      </c>
      <c r="F286">
        <v>349982.76</v>
      </c>
      <c r="G286">
        <v>42695</v>
      </c>
      <c r="H286">
        <v>364647.04</v>
      </c>
    </row>
    <row r="287" spans="1:8" x14ac:dyDescent="0.2">
      <c r="A287" t="s">
        <v>155</v>
      </c>
      <c r="B287" t="s">
        <v>158</v>
      </c>
      <c r="C287">
        <v>2008</v>
      </c>
      <c r="D287">
        <v>11</v>
      </c>
      <c r="E287" s="174">
        <v>39783</v>
      </c>
      <c r="F287">
        <v>332695.18</v>
      </c>
      <c r="G287">
        <v>42695</v>
      </c>
      <c r="H287">
        <v>346635.11</v>
      </c>
    </row>
    <row r="288" spans="1:8" x14ac:dyDescent="0.2">
      <c r="A288" t="s">
        <v>155</v>
      </c>
      <c r="B288" t="s">
        <v>158</v>
      </c>
      <c r="C288">
        <v>2008</v>
      </c>
      <c r="D288">
        <v>12</v>
      </c>
      <c r="E288" s="174">
        <v>39814</v>
      </c>
      <c r="F288">
        <v>345883.27</v>
      </c>
      <c r="G288">
        <v>42695</v>
      </c>
      <c r="H288">
        <v>360375.78</v>
      </c>
    </row>
    <row r="289" spans="1:8" x14ac:dyDescent="0.2">
      <c r="A289" t="s">
        <v>155</v>
      </c>
      <c r="B289" t="s">
        <v>158</v>
      </c>
      <c r="C289">
        <v>2009</v>
      </c>
      <c r="D289">
        <v>1</v>
      </c>
      <c r="E289" s="174">
        <v>39845</v>
      </c>
      <c r="F289">
        <v>336924.3</v>
      </c>
      <c r="G289">
        <v>42695</v>
      </c>
      <c r="H289">
        <v>351041.43</v>
      </c>
    </row>
    <row r="290" spans="1:8" x14ac:dyDescent="0.2">
      <c r="A290" t="s">
        <v>155</v>
      </c>
      <c r="B290" t="s">
        <v>158</v>
      </c>
      <c r="C290">
        <v>2009</v>
      </c>
      <c r="D290">
        <v>2</v>
      </c>
      <c r="E290" s="174">
        <v>39873</v>
      </c>
      <c r="F290">
        <v>305455.81</v>
      </c>
      <c r="G290">
        <v>42695</v>
      </c>
      <c r="H290">
        <v>318254.40999999997</v>
      </c>
    </row>
    <row r="291" spans="1:8" x14ac:dyDescent="0.2">
      <c r="A291" t="s">
        <v>155</v>
      </c>
      <c r="B291" t="s">
        <v>158</v>
      </c>
      <c r="C291">
        <v>2009</v>
      </c>
      <c r="D291">
        <v>3</v>
      </c>
      <c r="E291" s="174">
        <v>39904</v>
      </c>
      <c r="F291">
        <v>340323.8</v>
      </c>
      <c r="G291">
        <v>42695</v>
      </c>
      <c r="H291">
        <v>354583.37</v>
      </c>
    </row>
    <row r="292" spans="1:8" x14ac:dyDescent="0.2">
      <c r="A292" t="s">
        <v>155</v>
      </c>
      <c r="B292" t="s">
        <v>158</v>
      </c>
      <c r="C292">
        <v>2009</v>
      </c>
      <c r="D292">
        <v>4</v>
      </c>
      <c r="E292" s="174">
        <v>39934</v>
      </c>
      <c r="F292">
        <v>332665.46000000002</v>
      </c>
      <c r="G292">
        <v>42695</v>
      </c>
      <c r="H292">
        <v>346604.14</v>
      </c>
    </row>
    <row r="293" spans="1:8" x14ac:dyDescent="0.2">
      <c r="A293" t="s">
        <v>155</v>
      </c>
      <c r="B293" t="s">
        <v>158</v>
      </c>
      <c r="C293">
        <v>2009</v>
      </c>
      <c r="D293">
        <v>5</v>
      </c>
      <c r="E293" s="174">
        <v>39965</v>
      </c>
      <c r="F293">
        <v>358887.47</v>
      </c>
      <c r="G293">
        <v>42695</v>
      </c>
      <c r="H293">
        <v>373924.85</v>
      </c>
    </row>
    <row r="294" spans="1:8" x14ac:dyDescent="0.2">
      <c r="A294" t="s">
        <v>155</v>
      </c>
      <c r="B294" t="s">
        <v>158</v>
      </c>
      <c r="C294">
        <v>2009</v>
      </c>
      <c r="D294">
        <v>6</v>
      </c>
      <c r="E294" s="174">
        <v>39995</v>
      </c>
      <c r="F294">
        <v>368809.41</v>
      </c>
      <c r="G294">
        <v>42695</v>
      </c>
      <c r="H294">
        <v>384262.52</v>
      </c>
    </row>
    <row r="295" spans="1:8" x14ac:dyDescent="0.2">
      <c r="A295" t="s">
        <v>155</v>
      </c>
      <c r="B295" t="s">
        <v>158</v>
      </c>
      <c r="C295">
        <v>2009</v>
      </c>
      <c r="D295">
        <v>7</v>
      </c>
      <c r="E295" s="174">
        <v>40026</v>
      </c>
      <c r="F295">
        <v>385077.96</v>
      </c>
      <c r="G295">
        <v>42695</v>
      </c>
      <c r="H295">
        <v>401212.73</v>
      </c>
    </row>
    <row r="296" spans="1:8" x14ac:dyDescent="0.2">
      <c r="A296" t="s">
        <v>155</v>
      </c>
      <c r="B296" t="s">
        <v>158</v>
      </c>
      <c r="C296">
        <v>2009</v>
      </c>
      <c r="D296">
        <v>8</v>
      </c>
      <c r="E296" s="174">
        <v>40057</v>
      </c>
      <c r="F296">
        <v>408364.01</v>
      </c>
      <c r="G296">
        <v>42695</v>
      </c>
      <c r="H296">
        <v>425474.46</v>
      </c>
    </row>
    <row r="297" spans="1:8" x14ac:dyDescent="0.2">
      <c r="A297" t="s">
        <v>155</v>
      </c>
      <c r="B297" t="s">
        <v>158</v>
      </c>
      <c r="C297">
        <v>2009</v>
      </c>
      <c r="D297">
        <v>9</v>
      </c>
      <c r="E297" s="174">
        <v>40087</v>
      </c>
      <c r="F297">
        <v>371200.15</v>
      </c>
      <c r="G297">
        <v>42695</v>
      </c>
      <c r="H297">
        <v>386753.44</v>
      </c>
    </row>
    <row r="298" spans="1:8" x14ac:dyDescent="0.2">
      <c r="A298" t="s">
        <v>155</v>
      </c>
      <c r="B298" t="s">
        <v>158</v>
      </c>
      <c r="C298">
        <v>2009</v>
      </c>
      <c r="D298">
        <v>10</v>
      </c>
      <c r="E298" s="174">
        <v>40118</v>
      </c>
      <c r="F298">
        <v>349383.93</v>
      </c>
      <c r="G298">
        <v>42695</v>
      </c>
      <c r="H298">
        <v>364023.12</v>
      </c>
    </row>
    <row r="299" spans="1:8" x14ac:dyDescent="0.2">
      <c r="A299" t="s">
        <v>155</v>
      </c>
      <c r="B299" t="s">
        <v>158</v>
      </c>
      <c r="C299">
        <v>2009</v>
      </c>
      <c r="D299">
        <v>11</v>
      </c>
      <c r="E299" s="174">
        <v>40148</v>
      </c>
      <c r="F299">
        <v>333940.17</v>
      </c>
      <c r="G299">
        <v>42695</v>
      </c>
      <c r="H299">
        <v>347932.26</v>
      </c>
    </row>
    <row r="300" spans="1:8" x14ac:dyDescent="0.2">
      <c r="A300" t="s">
        <v>155</v>
      </c>
      <c r="B300" t="s">
        <v>158</v>
      </c>
      <c r="C300">
        <v>2009</v>
      </c>
      <c r="D300">
        <v>12</v>
      </c>
      <c r="E300" s="174">
        <v>40179</v>
      </c>
      <c r="F300">
        <v>326636.39</v>
      </c>
      <c r="G300">
        <v>42695</v>
      </c>
      <c r="H300">
        <v>340322.45</v>
      </c>
    </row>
    <row r="301" spans="1:8" x14ac:dyDescent="0.2">
      <c r="A301" t="s">
        <v>155</v>
      </c>
      <c r="B301" t="s">
        <v>158</v>
      </c>
      <c r="C301">
        <v>2010</v>
      </c>
      <c r="D301">
        <v>1</v>
      </c>
      <c r="E301" s="174">
        <v>40210</v>
      </c>
      <c r="F301">
        <v>321345.02</v>
      </c>
      <c r="G301">
        <v>42695</v>
      </c>
      <c r="H301">
        <v>334809.38</v>
      </c>
    </row>
    <row r="302" spans="1:8" x14ac:dyDescent="0.2">
      <c r="A302" t="s">
        <v>155</v>
      </c>
      <c r="B302" t="s">
        <v>158</v>
      </c>
      <c r="C302">
        <v>2010</v>
      </c>
      <c r="D302">
        <v>2</v>
      </c>
      <c r="E302" s="174">
        <v>40238</v>
      </c>
      <c r="F302">
        <v>298687.25</v>
      </c>
      <c r="G302">
        <v>42695</v>
      </c>
      <c r="H302">
        <v>311202.25</v>
      </c>
    </row>
    <row r="303" spans="1:8" x14ac:dyDescent="0.2">
      <c r="A303" t="s">
        <v>155</v>
      </c>
      <c r="B303" t="s">
        <v>158</v>
      </c>
      <c r="C303">
        <v>2010</v>
      </c>
      <c r="D303">
        <v>3</v>
      </c>
      <c r="E303" s="174">
        <v>40269</v>
      </c>
      <c r="F303">
        <v>351035.78</v>
      </c>
      <c r="G303">
        <v>42695</v>
      </c>
      <c r="H303">
        <v>365744.18</v>
      </c>
    </row>
    <row r="304" spans="1:8" x14ac:dyDescent="0.2">
      <c r="A304" t="s">
        <v>155</v>
      </c>
      <c r="B304" t="s">
        <v>158</v>
      </c>
      <c r="C304">
        <v>2010</v>
      </c>
      <c r="D304">
        <v>4</v>
      </c>
      <c r="E304" s="174">
        <v>40299</v>
      </c>
      <c r="F304">
        <v>350334.51</v>
      </c>
      <c r="G304">
        <v>42695</v>
      </c>
      <c r="H304">
        <v>365013.53</v>
      </c>
    </row>
    <row r="305" spans="1:8" x14ac:dyDescent="0.2">
      <c r="A305" t="s">
        <v>155</v>
      </c>
      <c r="B305" t="s">
        <v>158</v>
      </c>
      <c r="C305">
        <v>2010</v>
      </c>
      <c r="D305">
        <v>5</v>
      </c>
      <c r="E305" s="174">
        <v>40330</v>
      </c>
      <c r="F305">
        <v>387061.85</v>
      </c>
      <c r="G305">
        <v>42695</v>
      </c>
      <c r="H305">
        <v>398131.82</v>
      </c>
    </row>
    <row r="306" spans="1:8" x14ac:dyDescent="0.2">
      <c r="A306" t="s">
        <v>155</v>
      </c>
      <c r="B306" t="s">
        <v>158</v>
      </c>
      <c r="C306">
        <v>2010</v>
      </c>
      <c r="D306">
        <v>6</v>
      </c>
      <c r="E306" s="174">
        <v>40360</v>
      </c>
      <c r="F306">
        <v>397364.76</v>
      </c>
      <c r="G306">
        <v>42695</v>
      </c>
      <c r="H306">
        <v>408729.39</v>
      </c>
    </row>
    <row r="307" spans="1:8" x14ac:dyDescent="0.2">
      <c r="A307" t="s">
        <v>155</v>
      </c>
      <c r="B307" t="s">
        <v>158</v>
      </c>
      <c r="C307">
        <v>2010</v>
      </c>
      <c r="D307">
        <v>7</v>
      </c>
      <c r="E307" s="174">
        <v>40391</v>
      </c>
      <c r="F307">
        <v>436824.84</v>
      </c>
      <c r="G307">
        <v>42695</v>
      </c>
      <c r="H307">
        <v>449318.03</v>
      </c>
    </row>
    <row r="308" spans="1:8" x14ac:dyDescent="0.2">
      <c r="A308" t="s">
        <v>155</v>
      </c>
      <c r="B308" t="s">
        <v>158</v>
      </c>
      <c r="C308">
        <v>2010</v>
      </c>
      <c r="D308">
        <v>8</v>
      </c>
      <c r="E308" s="174">
        <v>40422</v>
      </c>
      <c r="F308">
        <v>425536.6</v>
      </c>
      <c r="G308">
        <v>42695</v>
      </c>
      <c r="H308">
        <v>437706.95</v>
      </c>
    </row>
    <row r="309" spans="1:8" x14ac:dyDescent="0.2">
      <c r="A309" t="s">
        <v>155</v>
      </c>
      <c r="B309" t="s">
        <v>158</v>
      </c>
      <c r="C309">
        <v>2010</v>
      </c>
      <c r="D309">
        <v>9</v>
      </c>
      <c r="E309" s="174">
        <v>40452</v>
      </c>
      <c r="F309">
        <v>388777.69</v>
      </c>
      <c r="G309">
        <v>42695</v>
      </c>
      <c r="H309">
        <v>399896.73</v>
      </c>
    </row>
    <row r="310" spans="1:8" x14ac:dyDescent="0.2">
      <c r="A310" t="s">
        <v>155</v>
      </c>
      <c r="B310" t="s">
        <v>158</v>
      </c>
      <c r="C310">
        <v>2010</v>
      </c>
      <c r="D310">
        <v>10</v>
      </c>
      <c r="E310" s="174">
        <v>40483</v>
      </c>
      <c r="F310">
        <v>381550.88</v>
      </c>
      <c r="G310">
        <v>42695</v>
      </c>
      <c r="H310">
        <v>392463.24</v>
      </c>
    </row>
    <row r="311" spans="1:8" x14ac:dyDescent="0.2">
      <c r="A311" t="s">
        <v>155</v>
      </c>
      <c r="B311" t="s">
        <v>158</v>
      </c>
      <c r="C311">
        <v>2010</v>
      </c>
      <c r="D311">
        <v>11</v>
      </c>
      <c r="E311" s="174">
        <v>40513</v>
      </c>
      <c r="F311">
        <v>358075.67</v>
      </c>
      <c r="G311">
        <v>42695</v>
      </c>
      <c r="H311">
        <v>368316.63</v>
      </c>
    </row>
    <row r="312" spans="1:8" x14ac:dyDescent="0.2">
      <c r="A312" t="s">
        <v>155</v>
      </c>
      <c r="B312" t="s">
        <v>158</v>
      </c>
      <c r="C312">
        <v>2010</v>
      </c>
      <c r="D312">
        <v>12</v>
      </c>
      <c r="E312" s="174">
        <v>40544</v>
      </c>
      <c r="F312">
        <v>356651.88</v>
      </c>
      <c r="G312">
        <v>42695</v>
      </c>
      <c r="H312">
        <v>366852.12</v>
      </c>
    </row>
    <row r="313" spans="1:8" x14ac:dyDescent="0.2">
      <c r="A313" t="s">
        <v>155</v>
      </c>
      <c r="B313" t="s">
        <v>158</v>
      </c>
      <c r="C313">
        <v>2011</v>
      </c>
      <c r="D313">
        <v>1</v>
      </c>
      <c r="E313" s="174">
        <v>40575</v>
      </c>
      <c r="F313">
        <v>351326.6</v>
      </c>
      <c r="G313">
        <v>42695</v>
      </c>
      <c r="H313">
        <v>361374.54</v>
      </c>
    </row>
    <row r="314" spans="1:8" x14ac:dyDescent="0.2">
      <c r="A314" t="s">
        <v>155</v>
      </c>
      <c r="B314" t="s">
        <v>158</v>
      </c>
      <c r="C314">
        <v>2011</v>
      </c>
      <c r="D314">
        <v>2</v>
      </c>
      <c r="E314" s="174">
        <v>40603</v>
      </c>
      <c r="F314">
        <v>318352.71000000002</v>
      </c>
      <c r="G314">
        <v>42695</v>
      </c>
      <c r="H314">
        <v>327457.59999999998</v>
      </c>
    </row>
    <row r="315" spans="1:8" x14ac:dyDescent="0.2">
      <c r="A315" t="s">
        <v>155</v>
      </c>
      <c r="B315" t="s">
        <v>158</v>
      </c>
      <c r="C315">
        <v>2011</v>
      </c>
      <c r="D315">
        <v>3</v>
      </c>
      <c r="E315" s="174">
        <v>40634</v>
      </c>
      <c r="F315">
        <v>357313.1</v>
      </c>
      <c r="G315">
        <v>42695</v>
      </c>
      <c r="H315">
        <v>367532.25</v>
      </c>
    </row>
    <row r="316" spans="1:8" x14ac:dyDescent="0.2">
      <c r="A316" t="s">
        <v>155</v>
      </c>
      <c r="B316" t="s">
        <v>158</v>
      </c>
      <c r="C316">
        <v>2011</v>
      </c>
      <c r="D316">
        <v>4</v>
      </c>
      <c r="E316" s="174">
        <v>40664</v>
      </c>
      <c r="F316">
        <v>349805.45</v>
      </c>
      <c r="G316">
        <v>42695</v>
      </c>
      <c r="H316">
        <v>359809.89</v>
      </c>
    </row>
    <row r="317" spans="1:8" x14ac:dyDescent="0.2">
      <c r="A317" t="s">
        <v>155</v>
      </c>
      <c r="B317" t="s">
        <v>158</v>
      </c>
      <c r="C317">
        <v>2011</v>
      </c>
      <c r="D317">
        <v>5</v>
      </c>
      <c r="E317" s="174">
        <v>40695</v>
      </c>
      <c r="F317">
        <v>375100.02</v>
      </c>
      <c r="G317">
        <v>42695</v>
      </c>
      <c r="H317">
        <v>385827.88</v>
      </c>
    </row>
    <row r="318" spans="1:8" x14ac:dyDescent="0.2">
      <c r="A318" t="s">
        <v>155</v>
      </c>
      <c r="B318" t="s">
        <v>158</v>
      </c>
      <c r="C318">
        <v>2011</v>
      </c>
      <c r="D318">
        <v>6</v>
      </c>
      <c r="E318" s="174">
        <v>40725</v>
      </c>
      <c r="F318">
        <v>393597.67</v>
      </c>
      <c r="G318">
        <v>42695</v>
      </c>
      <c r="H318">
        <v>404854.56</v>
      </c>
    </row>
    <row r="319" spans="1:8" x14ac:dyDescent="0.2">
      <c r="A319" t="s">
        <v>155</v>
      </c>
      <c r="B319" t="s">
        <v>158</v>
      </c>
      <c r="C319">
        <v>2011</v>
      </c>
      <c r="D319">
        <v>7</v>
      </c>
      <c r="E319" s="174">
        <v>40756</v>
      </c>
      <c r="F319">
        <v>479504.42</v>
      </c>
      <c r="G319">
        <v>42695</v>
      </c>
      <c r="H319">
        <v>493218.25</v>
      </c>
    </row>
    <row r="320" spans="1:8" x14ac:dyDescent="0.2">
      <c r="A320" t="s">
        <v>155</v>
      </c>
      <c r="B320" t="s">
        <v>158</v>
      </c>
      <c r="C320">
        <v>2011</v>
      </c>
      <c r="D320">
        <v>8</v>
      </c>
      <c r="E320" s="174">
        <v>40787</v>
      </c>
      <c r="F320">
        <v>452020.69</v>
      </c>
      <c r="G320">
        <v>42695</v>
      </c>
      <c r="H320">
        <v>464948.47999999998</v>
      </c>
    </row>
    <row r="321" spans="1:8" x14ac:dyDescent="0.2">
      <c r="A321" t="s">
        <v>155</v>
      </c>
      <c r="B321" t="s">
        <v>158</v>
      </c>
      <c r="C321">
        <v>2011</v>
      </c>
      <c r="D321">
        <v>9</v>
      </c>
      <c r="E321" s="174">
        <v>40817</v>
      </c>
      <c r="F321">
        <v>427006.35</v>
      </c>
      <c r="G321">
        <v>42695</v>
      </c>
      <c r="H321">
        <v>439218.73</v>
      </c>
    </row>
    <row r="322" spans="1:8" x14ac:dyDescent="0.2">
      <c r="A322" t="s">
        <v>155</v>
      </c>
      <c r="B322" t="s">
        <v>158</v>
      </c>
      <c r="C322">
        <v>2011</v>
      </c>
      <c r="D322">
        <v>10</v>
      </c>
      <c r="E322" s="174">
        <v>40848</v>
      </c>
      <c r="F322">
        <v>416435.98</v>
      </c>
      <c r="G322">
        <v>42695</v>
      </c>
      <c r="H322">
        <v>428346.05</v>
      </c>
    </row>
    <row r="323" spans="1:8" x14ac:dyDescent="0.2">
      <c r="A323" t="s">
        <v>155</v>
      </c>
      <c r="B323" t="s">
        <v>158</v>
      </c>
      <c r="C323">
        <v>2011</v>
      </c>
      <c r="D323">
        <v>11</v>
      </c>
      <c r="E323" s="174">
        <v>40878</v>
      </c>
      <c r="F323">
        <v>396665.14</v>
      </c>
      <c r="G323">
        <v>42695</v>
      </c>
      <c r="H323">
        <v>408009.76</v>
      </c>
    </row>
    <row r="324" spans="1:8" x14ac:dyDescent="0.2">
      <c r="A324" t="s">
        <v>155</v>
      </c>
      <c r="B324" t="s">
        <v>158</v>
      </c>
      <c r="C324">
        <v>2011</v>
      </c>
      <c r="D324">
        <v>12</v>
      </c>
      <c r="E324" s="174">
        <v>40909</v>
      </c>
      <c r="F324">
        <v>395475.21</v>
      </c>
      <c r="G324">
        <v>42695</v>
      </c>
      <c r="H324">
        <v>406785.8</v>
      </c>
    </row>
    <row r="325" spans="1:8" x14ac:dyDescent="0.2">
      <c r="A325" t="s">
        <v>155</v>
      </c>
      <c r="B325" t="s">
        <v>158</v>
      </c>
      <c r="C325">
        <v>2012</v>
      </c>
      <c r="D325">
        <v>1</v>
      </c>
      <c r="E325" s="174">
        <v>40940</v>
      </c>
      <c r="F325">
        <v>387620.54</v>
      </c>
      <c r="G325">
        <v>42695</v>
      </c>
      <c r="H325">
        <v>398706.49</v>
      </c>
    </row>
    <row r="326" spans="1:8" x14ac:dyDescent="0.2">
      <c r="A326" t="s">
        <v>155</v>
      </c>
      <c r="B326" t="s">
        <v>158</v>
      </c>
      <c r="C326">
        <v>2012</v>
      </c>
      <c r="D326">
        <v>2</v>
      </c>
      <c r="E326" s="174">
        <v>40969</v>
      </c>
      <c r="F326">
        <v>366546.58</v>
      </c>
      <c r="G326">
        <v>42695</v>
      </c>
      <c r="H326">
        <v>377029.81</v>
      </c>
    </row>
    <row r="327" spans="1:8" x14ac:dyDescent="0.2">
      <c r="A327" t="s">
        <v>155</v>
      </c>
      <c r="B327" t="s">
        <v>158</v>
      </c>
      <c r="C327">
        <v>2012</v>
      </c>
      <c r="D327">
        <v>3</v>
      </c>
      <c r="E327" s="174">
        <v>41000</v>
      </c>
      <c r="F327">
        <v>407286.69</v>
      </c>
      <c r="G327">
        <v>42695</v>
      </c>
      <c r="H327">
        <v>418935.09</v>
      </c>
    </row>
    <row r="328" spans="1:8" x14ac:dyDescent="0.2">
      <c r="A328" t="s">
        <v>155</v>
      </c>
      <c r="B328" t="s">
        <v>158</v>
      </c>
      <c r="C328">
        <v>2012</v>
      </c>
      <c r="D328">
        <v>4</v>
      </c>
      <c r="E328" s="174">
        <v>41026</v>
      </c>
      <c r="F328">
        <v>332207.05</v>
      </c>
      <c r="G328">
        <v>42695</v>
      </c>
      <c r="H328">
        <v>341708.17</v>
      </c>
    </row>
    <row r="329" spans="1:8" x14ac:dyDescent="0.2">
      <c r="A329" s="179" t="s">
        <v>155</v>
      </c>
      <c r="B329" s="179" t="s">
        <v>158</v>
      </c>
      <c r="C329" s="179">
        <v>2012</v>
      </c>
      <c r="D329" s="179">
        <v>5</v>
      </c>
      <c r="E329" s="180">
        <v>41061</v>
      </c>
      <c r="F329" s="179">
        <v>471112.57</v>
      </c>
      <c r="G329" s="179">
        <v>42695</v>
      </c>
      <c r="H329" s="183">
        <v>484586.39</v>
      </c>
    </row>
    <row r="330" spans="1:8" x14ac:dyDescent="0.2">
      <c r="A330" s="179" t="s">
        <v>155</v>
      </c>
      <c r="B330" s="179" t="s">
        <v>158</v>
      </c>
      <c r="C330" s="179">
        <v>2012</v>
      </c>
      <c r="D330" s="179">
        <v>6</v>
      </c>
      <c r="E330" s="180">
        <v>41091</v>
      </c>
      <c r="F330" s="179">
        <v>420828.61170523043</v>
      </c>
      <c r="G330" s="179">
        <v>42695</v>
      </c>
      <c r="H330" s="183">
        <v>432864.31</v>
      </c>
    </row>
    <row r="331" spans="1:8" x14ac:dyDescent="0.2">
      <c r="A331" s="179" t="s">
        <v>155</v>
      </c>
      <c r="B331" s="179" t="s">
        <v>158</v>
      </c>
      <c r="C331" s="179">
        <v>2012</v>
      </c>
      <c r="D331" s="179">
        <v>7</v>
      </c>
      <c r="E331" s="180">
        <v>41122</v>
      </c>
      <c r="F331" s="179">
        <v>405326.32704647095</v>
      </c>
      <c r="G331" s="179">
        <v>42695</v>
      </c>
      <c r="H331" s="183">
        <v>416918.66</v>
      </c>
    </row>
    <row r="332" spans="1:8" x14ac:dyDescent="0.2">
      <c r="A332" s="179" t="s">
        <v>155</v>
      </c>
      <c r="B332" s="179" t="s">
        <v>158</v>
      </c>
      <c r="C332" s="179">
        <v>2012</v>
      </c>
      <c r="D332" s="179">
        <v>8</v>
      </c>
      <c r="E332" s="180">
        <v>41153</v>
      </c>
      <c r="F332" s="179">
        <v>363696.95702897146</v>
      </c>
      <c r="G332" s="179">
        <v>42695</v>
      </c>
      <c r="H332" s="183">
        <v>374098.69</v>
      </c>
    </row>
    <row r="333" spans="1:8" x14ac:dyDescent="0.2">
      <c r="A333" s="179" t="s">
        <v>155</v>
      </c>
      <c r="B333" s="179" t="s">
        <v>158</v>
      </c>
      <c r="C333" s="179">
        <v>2012</v>
      </c>
      <c r="D333" s="179">
        <v>9</v>
      </c>
      <c r="E333" s="180">
        <v>41183</v>
      </c>
      <c r="F333" s="179">
        <v>344213.82461598294</v>
      </c>
      <c r="G333" s="179">
        <v>42695</v>
      </c>
      <c r="H333" s="183">
        <v>354058.34</v>
      </c>
    </row>
    <row r="334" spans="1:8" x14ac:dyDescent="0.2">
      <c r="A334" s="179" t="s">
        <v>155</v>
      </c>
      <c r="B334" s="179" t="s">
        <v>158</v>
      </c>
      <c r="C334" s="179">
        <v>2012</v>
      </c>
      <c r="D334" s="179">
        <v>10</v>
      </c>
      <c r="E334" s="180">
        <v>41214</v>
      </c>
      <c r="F334" s="179">
        <v>337825.78261714953</v>
      </c>
      <c r="G334" s="179">
        <v>42695</v>
      </c>
      <c r="H334" s="183">
        <v>347487.6</v>
      </c>
    </row>
    <row r="335" spans="1:8" x14ac:dyDescent="0.2">
      <c r="A335" s="179" t="s">
        <v>155</v>
      </c>
      <c r="B335" s="179" t="s">
        <v>158</v>
      </c>
      <c r="C335" s="179">
        <v>2012</v>
      </c>
      <c r="D335" s="179">
        <v>11</v>
      </c>
      <c r="E335" s="180">
        <v>41244</v>
      </c>
      <c r="F335" s="179">
        <v>310770.94108496985</v>
      </c>
      <c r="G335" s="179">
        <v>42695</v>
      </c>
      <c r="H335" s="183">
        <v>319658.99</v>
      </c>
    </row>
    <row r="336" spans="1:8" x14ac:dyDescent="0.2">
      <c r="A336" s="179" t="s">
        <v>155</v>
      </c>
      <c r="B336" s="179" t="s">
        <v>158</v>
      </c>
      <c r="C336" s="179">
        <v>2012</v>
      </c>
      <c r="D336" s="179">
        <v>12</v>
      </c>
      <c r="E336" s="180">
        <v>41275</v>
      </c>
      <c r="F336" s="179">
        <v>295334.41571067472</v>
      </c>
      <c r="G336" s="179">
        <v>42695</v>
      </c>
      <c r="H336" s="183">
        <v>303780.98</v>
      </c>
    </row>
    <row r="1047385" spans="5:5" x14ac:dyDescent="0.2">
      <c r="E1047385" s="174"/>
    </row>
    <row r="1047386" spans="5:5" x14ac:dyDescent="0.2">
      <c r="E1047386" s="174"/>
    </row>
    <row r="1047387" spans="5:5" x14ac:dyDescent="0.2">
      <c r="E1047387" s="174"/>
    </row>
    <row r="1047388" spans="5:5" x14ac:dyDescent="0.2">
      <c r="E1047388" s="174"/>
    </row>
    <row r="1047389" spans="5:5" x14ac:dyDescent="0.2">
      <c r="E1047389" s="174"/>
    </row>
    <row r="1047390" spans="5:5" x14ac:dyDescent="0.2">
      <c r="E1047390" s="174"/>
    </row>
    <row r="1047391" spans="5:5" x14ac:dyDescent="0.2">
      <c r="E1047391" s="174"/>
    </row>
    <row r="1047392" spans="5:5" x14ac:dyDescent="0.2">
      <c r="E1047392" s="174"/>
    </row>
    <row r="1047393" spans="5:5" x14ac:dyDescent="0.2">
      <c r="E1047393" s="174"/>
    </row>
    <row r="1047394" spans="5:5" x14ac:dyDescent="0.2">
      <c r="E1047394" s="174"/>
    </row>
    <row r="1047395" spans="5:5" x14ac:dyDescent="0.2">
      <c r="E1047395" s="174"/>
    </row>
    <row r="1047396" spans="5:5" x14ac:dyDescent="0.2">
      <c r="E1047396" s="174"/>
    </row>
    <row r="1047397" spans="5:5" x14ac:dyDescent="0.2">
      <c r="E1047397" s="174"/>
    </row>
    <row r="1047398" spans="5:5" x14ac:dyDescent="0.2">
      <c r="E1047398" s="174"/>
    </row>
    <row r="1047399" spans="5:5" x14ac:dyDescent="0.2">
      <c r="E1047399" s="174"/>
    </row>
    <row r="1047400" spans="5:5" x14ac:dyDescent="0.2">
      <c r="E1047400" s="174"/>
    </row>
    <row r="1047401" spans="5:5" x14ac:dyDescent="0.2">
      <c r="E1047401" s="174"/>
    </row>
    <row r="1047402" spans="5:5" x14ac:dyDescent="0.2">
      <c r="E1047402" s="174"/>
    </row>
    <row r="1047403" spans="5:5" x14ac:dyDescent="0.2">
      <c r="E1047403" s="174"/>
    </row>
    <row r="1047404" spans="5:5" x14ac:dyDescent="0.2">
      <c r="E1047404" s="174"/>
    </row>
    <row r="1047405" spans="5:5" x14ac:dyDescent="0.2">
      <c r="E1047405" s="174"/>
    </row>
    <row r="1047406" spans="5:5" x14ac:dyDescent="0.2">
      <c r="E1047406" s="174"/>
    </row>
    <row r="1047407" spans="5:5" x14ac:dyDescent="0.2">
      <c r="E1047407" s="174"/>
    </row>
    <row r="1047408" spans="5:5" x14ac:dyDescent="0.2">
      <c r="E1047408" s="174"/>
    </row>
    <row r="1047409" spans="5:5" x14ac:dyDescent="0.2">
      <c r="E1047409" s="174"/>
    </row>
    <row r="1047410" spans="5:5" x14ac:dyDescent="0.2">
      <c r="E1047410" s="174"/>
    </row>
    <row r="1047411" spans="5:5" x14ac:dyDescent="0.2">
      <c r="E1047411" s="174"/>
    </row>
    <row r="1047412" spans="5:5" x14ac:dyDescent="0.2">
      <c r="E1047412" s="174"/>
    </row>
    <row r="1047413" spans="5:5" x14ac:dyDescent="0.2">
      <c r="E1047413" s="174"/>
    </row>
    <row r="1047414" spans="5:5" x14ac:dyDescent="0.2">
      <c r="E1047414" s="174"/>
    </row>
    <row r="1047415" spans="5:5" x14ac:dyDescent="0.2">
      <c r="E1047415" s="174"/>
    </row>
    <row r="1047416" spans="5:5" x14ac:dyDescent="0.2">
      <c r="E1047416" s="174"/>
    </row>
    <row r="1047417" spans="5:5" x14ac:dyDescent="0.2">
      <c r="E1047417" s="174"/>
    </row>
    <row r="1047418" spans="5:5" x14ac:dyDescent="0.2">
      <c r="E1047418" s="174"/>
    </row>
    <row r="1047419" spans="5:5" x14ac:dyDescent="0.2">
      <c r="E1047419" s="174"/>
    </row>
    <row r="1047420" spans="5:5" x14ac:dyDescent="0.2">
      <c r="E1047420" s="174"/>
    </row>
    <row r="1047421" spans="5:5" x14ac:dyDescent="0.2">
      <c r="E1047421" s="174"/>
    </row>
    <row r="1047422" spans="5:5" x14ac:dyDescent="0.2">
      <c r="E1047422" s="174"/>
    </row>
    <row r="1047423" spans="5:5" x14ac:dyDescent="0.2">
      <c r="E1047423" s="174"/>
    </row>
    <row r="1047424" spans="5:5" x14ac:dyDescent="0.2">
      <c r="E1047424" s="174"/>
    </row>
    <row r="1047425" spans="5:5" x14ac:dyDescent="0.2">
      <c r="E1047425" s="174"/>
    </row>
    <row r="1047426" spans="5:5" x14ac:dyDescent="0.2">
      <c r="E1047426" s="174"/>
    </row>
    <row r="1047427" spans="5:5" x14ac:dyDescent="0.2">
      <c r="E1047427" s="174"/>
    </row>
    <row r="1047428" spans="5:5" x14ac:dyDescent="0.2">
      <c r="E1047428" s="174"/>
    </row>
    <row r="1047429" spans="5:5" x14ac:dyDescent="0.2">
      <c r="E1047429" s="174"/>
    </row>
    <row r="1047430" spans="5:5" x14ac:dyDescent="0.2">
      <c r="E1047430" s="174"/>
    </row>
    <row r="1047431" spans="5:5" x14ac:dyDescent="0.2">
      <c r="E1047431" s="174"/>
    </row>
    <row r="1047432" spans="5:5" x14ac:dyDescent="0.2">
      <c r="E1047432" s="174"/>
    </row>
    <row r="1047433" spans="5:5" x14ac:dyDescent="0.2">
      <c r="E1047433" s="174"/>
    </row>
    <row r="1047434" spans="5:5" x14ac:dyDescent="0.2">
      <c r="E1047434" s="174"/>
    </row>
    <row r="1047435" spans="5:5" x14ac:dyDescent="0.2">
      <c r="E1047435" s="174"/>
    </row>
    <row r="1047436" spans="5:5" x14ac:dyDescent="0.2">
      <c r="E1047436" s="174"/>
    </row>
    <row r="1047437" spans="5:5" x14ac:dyDescent="0.2">
      <c r="E1047437" s="174"/>
    </row>
    <row r="1047438" spans="5:5" x14ac:dyDescent="0.2">
      <c r="E1047438" s="174"/>
    </row>
    <row r="1047439" spans="5:5" x14ac:dyDescent="0.2">
      <c r="E1047439" s="174"/>
    </row>
    <row r="1047440" spans="5:5" x14ac:dyDescent="0.2">
      <c r="E1047440" s="174"/>
    </row>
    <row r="1047441" spans="5:5" x14ac:dyDescent="0.2">
      <c r="E1047441" s="174"/>
    </row>
    <row r="1047442" spans="5:5" x14ac:dyDescent="0.2">
      <c r="E1047442" s="174"/>
    </row>
    <row r="1047443" spans="5:5" x14ac:dyDescent="0.2">
      <c r="E1047443" s="174"/>
    </row>
    <row r="1047444" spans="5:5" x14ac:dyDescent="0.2">
      <c r="E1047444" s="174"/>
    </row>
    <row r="1047445" spans="5:5" x14ac:dyDescent="0.2">
      <c r="E1047445" s="174"/>
    </row>
    <row r="1047446" spans="5:5" x14ac:dyDescent="0.2">
      <c r="E1047446" s="174"/>
    </row>
    <row r="1047447" spans="5:5" x14ac:dyDescent="0.2">
      <c r="E1047447" s="174"/>
    </row>
    <row r="1047448" spans="5:5" x14ac:dyDescent="0.2">
      <c r="E1047448" s="174"/>
    </row>
    <row r="1047449" spans="5:5" x14ac:dyDescent="0.2">
      <c r="E1047449" s="174"/>
    </row>
    <row r="1047450" spans="5:5" x14ac:dyDescent="0.2">
      <c r="E1047450" s="174"/>
    </row>
    <row r="1047451" spans="5:5" x14ac:dyDescent="0.2">
      <c r="E1047451" s="174"/>
    </row>
    <row r="1047452" spans="5:5" x14ac:dyDescent="0.2">
      <c r="E1047452" s="174"/>
    </row>
    <row r="1047453" spans="5:5" x14ac:dyDescent="0.2">
      <c r="E1047453" s="174"/>
    </row>
    <row r="1047454" spans="5:5" x14ac:dyDescent="0.2">
      <c r="E1047454" s="174"/>
    </row>
    <row r="1047455" spans="5:5" x14ac:dyDescent="0.2">
      <c r="E1047455" s="174"/>
    </row>
    <row r="1047456" spans="5:5" x14ac:dyDescent="0.2">
      <c r="E1047456" s="174"/>
    </row>
    <row r="1047457" spans="5:5" x14ac:dyDescent="0.2">
      <c r="E1047457" s="174"/>
    </row>
    <row r="1047458" spans="5:5" x14ac:dyDescent="0.2">
      <c r="E1047458" s="174"/>
    </row>
    <row r="1047459" spans="5:5" x14ac:dyDescent="0.2">
      <c r="E1047459" s="174"/>
    </row>
    <row r="1047460" spans="5:5" x14ac:dyDescent="0.2">
      <c r="E1047460" s="174"/>
    </row>
    <row r="1047461" spans="5:5" x14ac:dyDescent="0.2">
      <c r="E1047461" s="174"/>
    </row>
    <row r="1047462" spans="5:5" x14ac:dyDescent="0.2">
      <c r="E1047462" s="174"/>
    </row>
    <row r="1047463" spans="5:5" x14ac:dyDescent="0.2">
      <c r="E1047463" s="174"/>
    </row>
    <row r="1047464" spans="5:5" x14ac:dyDescent="0.2">
      <c r="E1047464" s="174"/>
    </row>
    <row r="1047465" spans="5:5" x14ac:dyDescent="0.2">
      <c r="E1047465" s="174"/>
    </row>
    <row r="1047466" spans="5:5" x14ac:dyDescent="0.2">
      <c r="E1047466" s="174"/>
    </row>
    <row r="1047467" spans="5:5" x14ac:dyDescent="0.2">
      <c r="E1047467" s="174"/>
    </row>
    <row r="1047468" spans="5:5" x14ac:dyDescent="0.2">
      <c r="E1047468" s="174"/>
    </row>
    <row r="1047469" spans="5:5" x14ac:dyDescent="0.2">
      <c r="E1047469" s="174"/>
    </row>
    <row r="1047470" spans="5:5" x14ac:dyDescent="0.2">
      <c r="E1047470" s="174"/>
    </row>
    <row r="1047471" spans="5:5" x14ac:dyDescent="0.2">
      <c r="E1047471" s="174"/>
    </row>
    <row r="1047472" spans="5:5" x14ac:dyDescent="0.2">
      <c r="E1047472" s="174"/>
    </row>
    <row r="1047473" spans="5:5" x14ac:dyDescent="0.2">
      <c r="E1047473" s="174"/>
    </row>
    <row r="1047474" spans="5:5" x14ac:dyDescent="0.2">
      <c r="E1047474" s="174"/>
    </row>
    <row r="1047475" spans="5:5" x14ac:dyDescent="0.2">
      <c r="E1047475" s="174"/>
    </row>
    <row r="1047476" spans="5:5" x14ac:dyDescent="0.2">
      <c r="E1047476" s="174"/>
    </row>
    <row r="1047477" spans="5:5" x14ac:dyDescent="0.2">
      <c r="E1047477" s="174"/>
    </row>
    <row r="1047478" spans="5:5" x14ac:dyDescent="0.2">
      <c r="E1047478" s="174"/>
    </row>
    <row r="1047479" spans="5:5" x14ac:dyDescent="0.2">
      <c r="E1047479" s="174"/>
    </row>
    <row r="1047480" spans="5:5" x14ac:dyDescent="0.2">
      <c r="E1047480" s="174"/>
    </row>
    <row r="1047481" spans="5:5" x14ac:dyDescent="0.2">
      <c r="E1047481" s="174"/>
    </row>
    <row r="1047482" spans="5:5" x14ac:dyDescent="0.2">
      <c r="E1047482" s="174"/>
    </row>
    <row r="1047483" spans="5:5" x14ac:dyDescent="0.2">
      <c r="E1047483" s="174"/>
    </row>
    <row r="1047484" spans="5:5" x14ac:dyDescent="0.2">
      <c r="E1047484" s="174"/>
    </row>
    <row r="1047485" spans="5:5" x14ac:dyDescent="0.2">
      <c r="E1047485" s="174"/>
    </row>
    <row r="1047486" spans="5:5" x14ac:dyDescent="0.2">
      <c r="E1047486" s="174"/>
    </row>
    <row r="1047487" spans="5:5" x14ac:dyDescent="0.2">
      <c r="E1047487" s="174"/>
    </row>
  </sheetData>
  <sortState ref="A2:H1047465">
    <sortCondition ref="A2:A1047465"/>
    <sortCondition ref="C2:C1047465"/>
    <sortCondition ref="D2:D10474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Exhibit 3 Tables</vt:lpstr>
      <vt:lpstr>Tables con't</vt:lpstr>
      <vt:lpstr>2014 Board Approved Proxy</vt:lpstr>
      <vt:lpstr>Summary</vt:lpstr>
      <vt:lpstr>Summary BCP</vt:lpstr>
      <vt:lpstr>Summary CND</vt:lpstr>
      <vt:lpstr>Purchased Power Model</vt:lpstr>
      <vt:lpstr>WMP pivot</vt:lpstr>
      <vt:lpstr>WMP historical data</vt:lpstr>
      <vt:lpstr>WMP Purchases</vt:lpstr>
      <vt:lpstr>Purchased Power Model WN</vt:lpstr>
      <vt:lpstr>Rate Class Energy Model</vt:lpstr>
      <vt:lpstr>Rate Class Customer Model</vt:lpstr>
      <vt:lpstr>Rate Class Load Model</vt:lpstr>
      <vt:lpstr>CDM Activity </vt:lpstr>
      <vt:lpstr>HDD and CDD</vt:lpstr>
      <vt:lpstr>Weather Analysis </vt:lpstr>
      <vt:lpstr>2018 COP Forecast</vt:lpstr>
      <vt:lpstr>2019 COP Forecast</vt:lpstr>
      <vt:lpstr>'CDM Activity '!Print_Area</vt:lpstr>
      <vt:lpstr>'Purchased Power Model'!Print_Area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Model'!Print_Titles</vt:lpstr>
      <vt:lpstr>'Purchased Power Model WN'!Print_Titles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2014-03-06T15:42:29Z</cp:lastPrinted>
  <dcterms:created xsi:type="dcterms:W3CDTF">2014-03-06T15:42:29Z</dcterms:created>
  <dcterms:modified xsi:type="dcterms:W3CDTF">2018-09-12T12:47:18Z</dcterms:modified>
</cp:coreProperties>
</file>