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70" firstSheet="1" activeTab="4"/>
  </bookViews>
  <sheets>
    <sheet name="2014 Board Approved Proxy" sheetId="56" state="hidden" r:id="rId1"/>
    <sheet name="Summary" sheetId="11" r:id="rId2"/>
    <sheet name="Summary BCP" sheetId="50" r:id="rId3"/>
    <sheet name="Summary CND" sheetId="51" r:id="rId4"/>
    <sheet name="Purchased Power Model" sheetId="42" r:id="rId5"/>
    <sheet name="WMP pivot" sheetId="40" state="hidden" r:id="rId6"/>
    <sheet name="WMP historical data" sheetId="39" state="hidden" r:id="rId7"/>
    <sheet name="WMP Purchases" sheetId="38" state="hidden" r:id="rId8"/>
    <sheet name="Rate Class Energy Model" sheetId="9" r:id="rId9"/>
    <sheet name="Rate Class Customer Model" sheetId="17" r:id="rId10"/>
    <sheet name="Rate Class Load Model" sheetId="18" r:id="rId11"/>
    <sheet name="CDM Activity " sheetId="41" r:id="rId12"/>
    <sheet name="HDD and CDD" sheetId="27" r:id="rId13"/>
    <sheet name="Weather Analysis " sheetId="32" r:id="rId14"/>
    <sheet name="2018 COP Forecast" sheetId="53" state="hidden" r:id="rId15"/>
    <sheet name="2019 COP Forecast" sheetId="54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CAP1000" localSheetId="14">#REF!</definedName>
    <definedName name="__CAP1000" localSheetId="15">#REF!</definedName>
    <definedName name="__CAP1000" localSheetId="4">#REF!</definedName>
    <definedName name="__CAP1000" localSheetId="2">#REF!</definedName>
    <definedName name="__CAP1000" localSheetId="3">#REF!</definedName>
    <definedName name="__CAP1000">#REF!</definedName>
    <definedName name="__OP1000" localSheetId="14">#REF!</definedName>
    <definedName name="__OP1000" localSheetId="15">#REF!</definedName>
    <definedName name="__OP1000" localSheetId="4">#REF!</definedName>
    <definedName name="__OP1000">#REF!</definedName>
    <definedName name="_110" localSheetId="14">#REF!</definedName>
    <definedName name="_110" localSheetId="15">#REF!</definedName>
    <definedName name="_110" localSheetId="4">#REF!</definedName>
    <definedName name="_110">#REF!</definedName>
    <definedName name="_110INPT" localSheetId="14">#REF!</definedName>
    <definedName name="_110INPT" localSheetId="15">#REF!</definedName>
    <definedName name="_110INPT" localSheetId="4">#REF!</definedName>
    <definedName name="_110INPT">#REF!</definedName>
    <definedName name="_115" localSheetId="14">#REF!</definedName>
    <definedName name="_115" localSheetId="15">#REF!</definedName>
    <definedName name="_115" localSheetId="4">#REF!</definedName>
    <definedName name="_115">#REF!</definedName>
    <definedName name="_115INPT" localSheetId="14">#REF!</definedName>
    <definedName name="_115INPT" localSheetId="15">#REF!</definedName>
    <definedName name="_115INPT" localSheetId="4">#REF!</definedName>
    <definedName name="_115INPT">#REF!</definedName>
    <definedName name="_120" localSheetId="14">#REF!</definedName>
    <definedName name="_120" localSheetId="15">#REF!</definedName>
    <definedName name="_120" localSheetId="4">#REF!</definedName>
    <definedName name="_120">#REF!</definedName>
    <definedName name="_140" localSheetId="14">#REF!</definedName>
    <definedName name="_140" localSheetId="15">#REF!</definedName>
    <definedName name="_140" localSheetId="4">#REF!</definedName>
    <definedName name="_140">#REF!</definedName>
    <definedName name="_140INPT" localSheetId="14">#REF!</definedName>
    <definedName name="_140INPT" localSheetId="15">#REF!</definedName>
    <definedName name="_140INPT" localSheetId="4">#REF!</definedName>
    <definedName name="_140INPT">#REF!</definedName>
    <definedName name="_CAP1000" localSheetId="14">#REF!</definedName>
    <definedName name="_CAP1000" localSheetId="15">#REF!</definedName>
    <definedName name="_CAP1000" localSheetId="4">#REF!</definedName>
    <definedName name="_CAP1000">#REF!</definedName>
    <definedName name="_Fill" hidden="1">'[1]Old MEA Statistics'!$B$250</definedName>
    <definedName name="_OP1000" localSheetId="14">#REF!</definedName>
    <definedName name="_OP1000" localSheetId="15">#REF!</definedName>
    <definedName name="_OP1000" localSheetId="4">#REF!</definedName>
    <definedName name="_OP1000" localSheetId="2">#REF!</definedName>
    <definedName name="_OP1000" localSheetId="3">#REF!</definedName>
    <definedName name="_OP1000">#REF!</definedName>
    <definedName name="_Order1" hidden="1">255</definedName>
    <definedName name="_Order2" hidden="1">0</definedName>
    <definedName name="_Sort" localSheetId="11" hidden="1">[2]Sheet1!$G$40:$K$40</definedName>
    <definedName name="_Sort" localSheetId="13" hidden="1">[3]Sheet1!$G$40:$K$40</definedName>
    <definedName name="_Sort" hidden="1">[4]Sheet1!$G$40:$K$40</definedName>
    <definedName name="ALL" localSheetId="14">#REF!</definedName>
    <definedName name="ALL" localSheetId="15">#REF!</definedName>
    <definedName name="ALL" localSheetId="4">#REF!</definedName>
    <definedName name="ALL" localSheetId="2">#REF!</definedName>
    <definedName name="ALL" localSheetId="3">#REF!</definedName>
    <definedName name="ALL">#REF!</definedName>
    <definedName name="ApprovedYr">'[5]Z1.ModelVariables'!$C$12</definedName>
    <definedName name="CAfile">[6]Refs!$B$2</definedName>
    <definedName name="CAPCOSTS" localSheetId="14">#REF!</definedName>
    <definedName name="CAPCOSTS" localSheetId="15">#REF!</definedName>
    <definedName name="CAPCOSTS" localSheetId="4">#REF!</definedName>
    <definedName name="CAPCOSTS" localSheetId="2">#REF!</definedName>
    <definedName name="CAPCOSTS" localSheetId="3">#REF!</definedName>
    <definedName name="CAPCOSTS">#REF!</definedName>
    <definedName name="CAPITAL" localSheetId="14">#REF!</definedName>
    <definedName name="CAPITAL" localSheetId="15">#REF!</definedName>
    <definedName name="CAPITAL" localSheetId="4">#REF!</definedName>
    <definedName name="CAPITAL">#REF!</definedName>
    <definedName name="CapitalExpListing" localSheetId="14">#REF!</definedName>
    <definedName name="CapitalExpListing" localSheetId="15">#REF!</definedName>
    <definedName name="CapitalExpListing" localSheetId="4">#REF!</definedName>
    <definedName name="CapitalExpListing">#REF!</definedName>
    <definedName name="CArevReq">[6]Refs!$B$6</definedName>
    <definedName name="CASHFLOW" localSheetId="14">#REF!</definedName>
    <definedName name="CASHFLOW" localSheetId="15">#REF!</definedName>
    <definedName name="CASHFLOW" localSheetId="4">#REF!</definedName>
    <definedName name="CASHFLOW" localSheetId="2">#REF!</definedName>
    <definedName name="CASHFLOW" localSheetId="3">#REF!</definedName>
    <definedName name="CASHFLOW">#REF!</definedName>
    <definedName name="cc" localSheetId="14">#REF!</definedName>
    <definedName name="cc" localSheetId="15">#REF!</definedName>
    <definedName name="cc" localSheetId="4">#REF!</definedName>
    <definedName name="cc">#REF!</definedName>
    <definedName name="ClassRange1">[6]Refs!$B$3</definedName>
    <definedName name="ClassRange2">[6]Refs!$B$4</definedName>
    <definedName name="contactf" localSheetId="14">#REF!</definedName>
    <definedName name="contactf" localSheetId="15">#REF!</definedName>
    <definedName name="contactf" localSheetId="4">#REF!</definedName>
    <definedName name="contactf" localSheetId="2">#REF!</definedName>
    <definedName name="contactf" localSheetId="3">#REF!</definedName>
    <definedName name="contactf">#REF!</definedName>
    <definedName name="_xlnm.Criteria" localSheetId="14">#REF!</definedName>
    <definedName name="_xlnm.Criteria" localSheetId="15">#REF!</definedName>
    <definedName name="_xlnm.Criteria" localSheetId="4">#REF!</definedName>
    <definedName name="_xlnm.Criteria">#REF!</definedName>
    <definedName name="CRLF">'[5]Z1.ModelVariables'!$C$10</definedName>
    <definedName name="_xlnm.Database" localSheetId="14">#REF!</definedName>
    <definedName name="_xlnm.Database" localSheetId="15">#REF!</definedName>
    <definedName name="_xlnm.Database" localSheetId="4">#REF!</definedName>
    <definedName name="_xlnm.Database" localSheetId="2">#REF!</definedName>
    <definedName name="_xlnm.Database" localSheetId="3">#REF!</definedName>
    <definedName name="_xlnm.Database">#REF!</definedName>
    <definedName name="DaysInPreviousYear">'[7]Distribution Revenue by Source'!$B$22</definedName>
    <definedName name="DaysInYear">'[7]Distribution Revenue by Source'!$B$21</definedName>
    <definedName name="DEBTREPAY" localSheetId="14">#REF!</definedName>
    <definedName name="DEBTREPAY" localSheetId="15">#REF!</definedName>
    <definedName name="DEBTREPAY" localSheetId="4">#REF!</definedName>
    <definedName name="DEBTREPAY" localSheetId="2">#REF!</definedName>
    <definedName name="DEBTREPAY" localSheetId="3">#REF!</definedName>
    <definedName name="DEBTREPAY">#REF!</definedName>
    <definedName name="DeptDiv" localSheetId="14">#REF!</definedName>
    <definedName name="DeptDiv" localSheetId="15">#REF!</definedName>
    <definedName name="DeptDiv" localSheetId="4">#REF!</definedName>
    <definedName name="DeptDiv">#REF!</definedName>
    <definedName name="ExpenseAccountListing" localSheetId="14">#REF!</definedName>
    <definedName name="ExpenseAccountListing" localSheetId="15">#REF!</definedName>
    <definedName name="ExpenseAccountListing" localSheetId="4">#REF!</definedName>
    <definedName name="ExpenseAccountListing">#REF!</definedName>
    <definedName name="_xlnm.Extract" localSheetId="14">#REF!</definedName>
    <definedName name="_xlnm.Extract" localSheetId="15">#REF!</definedName>
    <definedName name="_xlnm.Extract" localSheetId="4">#REF!</definedName>
    <definedName name="_xlnm.Extract">#REF!</definedName>
    <definedName name="FakeBlank">'[5]Z1.ModelVariables'!$C$14</definedName>
    <definedName name="FolderPath">[6]Menu!$C$8</definedName>
    <definedName name="histdate">[8]Financials!$E$76</definedName>
    <definedName name="Incr2000" localSheetId="14">#REF!</definedName>
    <definedName name="Incr2000" localSheetId="15">#REF!</definedName>
    <definedName name="Incr2000" localSheetId="4">#REF!</definedName>
    <definedName name="Incr2000" localSheetId="2">#REF!</definedName>
    <definedName name="Incr2000" localSheetId="3">#REF!</definedName>
    <definedName name="Incr2000">#REF!</definedName>
    <definedName name="INTERIM" localSheetId="14">#REF!</definedName>
    <definedName name="INTERIM" localSheetId="15">#REF!</definedName>
    <definedName name="INTERIM" localSheetId="4">#REF!</definedName>
    <definedName name="INTERIM">#REF!</definedName>
    <definedName name="LIMIT" localSheetId="14">#REF!</definedName>
    <definedName name="LIMIT" localSheetId="15">#REF!</definedName>
    <definedName name="LIMIT" localSheetId="4">#REF!</definedName>
    <definedName name="LIMIT">#REF!</definedName>
    <definedName name="man_beg_bud" localSheetId="14">#REF!</definedName>
    <definedName name="man_beg_bud" localSheetId="15">#REF!</definedName>
    <definedName name="man_beg_bud" localSheetId="4">#REF!</definedName>
    <definedName name="man_beg_bud">#REF!</definedName>
    <definedName name="man_end_bud" localSheetId="14">#REF!</definedName>
    <definedName name="man_end_bud" localSheetId="15">#REF!</definedName>
    <definedName name="man_end_bud" localSheetId="4">#REF!</definedName>
    <definedName name="man_end_bud">#REF!</definedName>
    <definedName name="man12ACT" localSheetId="14">#REF!</definedName>
    <definedName name="man12ACT" localSheetId="15">#REF!</definedName>
    <definedName name="man12ACT" localSheetId="4">#REF!</definedName>
    <definedName name="man12ACT">#REF!</definedName>
    <definedName name="MANBUD" localSheetId="14">#REF!</definedName>
    <definedName name="MANBUD" localSheetId="15">#REF!</definedName>
    <definedName name="MANBUD" localSheetId="4">#REF!</definedName>
    <definedName name="MANBUD">#REF!</definedName>
    <definedName name="manCYACT" localSheetId="14">#REF!</definedName>
    <definedName name="manCYACT" localSheetId="15">#REF!</definedName>
    <definedName name="manCYACT" localSheetId="4">#REF!</definedName>
    <definedName name="manCYACT">#REF!</definedName>
    <definedName name="manCYBUD" localSheetId="14">#REF!</definedName>
    <definedName name="manCYBUD" localSheetId="15">#REF!</definedName>
    <definedName name="manCYBUD" localSheetId="4">#REF!</definedName>
    <definedName name="manCYBUD">#REF!</definedName>
    <definedName name="manCYF" localSheetId="14">#REF!</definedName>
    <definedName name="manCYF" localSheetId="15">#REF!</definedName>
    <definedName name="manCYF" localSheetId="4">#REF!</definedName>
    <definedName name="manCYF">#REF!</definedName>
    <definedName name="MANEND" localSheetId="14">#REF!</definedName>
    <definedName name="MANEND" localSheetId="15">#REF!</definedName>
    <definedName name="MANEND" localSheetId="4">#REF!</definedName>
    <definedName name="MANEND">#REF!</definedName>
    <definedName name="manNYbud" localSheetId="14">#REF!</definedName>
    <definedName name="manNYbud" localSheetId="15">#REF!</definedName>
    <definedName name="manNYbud" localSheetId="4">#REF!</definedName>
    <definedName name="manNYbud">#REF!</definedName>
    <definedName name="manpower_costs" localSheetId="14">#REF!</definedName>
    <definedName name="manpower_costs" localSheetId="15">#REF!</definedName>
    <definedName name="manpower_costs" localSheetId="4">#REF!</definedName>
    <definedName name="manpower_costs">#REF!</definedName>
    <definedName name="manPYACT" localSheetId="14">#REF!</definedName>
    <definedName name="manPYACT" localSheetId="15">#REF!</definedName>
    <definedName name="manPYACT" localSheetId="4">#REF!</definedName>
    <definedName name="manPYACT">#REF!</definedName>
    <definedName name="MANSTART" localSheetId="14">#REF!</definedName>
    <definedName name="MANSTART" localSheetId="15">#REF!</definedName>
    <definedName name="MANSTART" localSheetId="4">#REF!</definedName>
    <definedName name="MANSTART">#REF!</definedName>
    <definedName name="mat_beg_bud" localSheetId="14">#REF!</definedName>
    <definedName name="mat_beg_bud" localSheetId="15">#REF!</definedName>
    <definedName name="mat_beg_bud" localSheetId="4">#REF!</definedName>
    <definedName name="mat_beg_bud">#REF!</definedName>
    <definedName name="mat_end_bud" localSheetId="14">#REF!</definedName>
    <definedName name="mat_end_bud" localSheetId="15">#REF!</definedName>
    <definedName name="mat_end_bud" localSheetId="4">#REF!</definedName>
    <definedName name="mat_end_bud">#REF!</definedName>
    <definedName name="mat12ACT" localSheetId="14">#REF!</definedName>
    <definedName name="mat12ACT" localSheetId="15">#REF!</definedName>
    <definedName name="mat12ACT" localSheetId="4">#REF!</definedName>
    <definedName name="mat12ACT">#REF!</definedName>
    <definedName name="MATBUD" localSheetId="14">#REF!</definedName>
    <definedName name="MATBUD" localSheetId="15">#REF!</definedName>
    <definedName name="MATBUD" localSheetId="4">#REF!</definedName>
    <definedName name="MATBUD">#REF!</definedName>
    <definedName name="matCYACT" localSheetId="14">#REF!</definedName>
    <definedName name="matCYACT" localSheetId="15">#REF!</definedName>
    <definedName name="matCYACT" localSheetId="4">#REF!</definedName>
    <definedName name="matCYACT">#REF!</definedName>
    <definedName name="matCYBUD" localSheetId="14">#REF!</definedName>
    <definedName name="matCYBUD" localSheetId="15">#REF!</definedName>
    <definedName name="matCYBUD" localSheetId="4">#REF!</definedName>
    <definedName name="matCYBUD">#REF!</definedName>
    <definedName name="matCYF" localSheetId="14">#REF!</definedName>
    <definedName name="matCYF" localSheetId="15">#REF!</definedName>
    <definedName name="matCYF" localSheetId="4">#REF!</definedName>
    <definedName name="matCYF">#REF!</definedName>
    <definedName name="MATEND" localSheetId="14">#REF!</definedName>
    <definedName name="MATEND" localSheetId="15">#REF!</definedName>
    <definedName name="MATEND" localSheetId="4">#REF!</definedName>
    <definedName name="MATEND">#REF!</definedName>
    <definedName name="material_costs" localSheetId="14">#REF!</definedName>
    <definedName name="material_costs" localSheetId="15">#REF!</definedName>
    <definedName name="material_costs" localSheetId="4">#REF!</definedName>
    <definedName name="material_costs">#REF!</definedName>
    <definedName name="matNYbud" localSheetId="14">#REF!</definedName>
    <definedName name="matNYbud" localSheetId="15">#REF!</definedName>
    <definedName name="matNYbud" localSheetId="4">#REF!</definedName>
    <definedName name="matNYbud">#REF!</definedName>
    <definedName name="matPYACT" localSheetId="14">#REF!</definedName>
    <definedName name="matPYACT" localSheetId="15">#REF!</definedName>
    <definedName name="matPYACT" localSheetId="4">#REF!</definedName>
    <definedName name="matPYACT">#REF!</definedName>
    <definedName name="MATSTART" localSheetId="14">#REF!</definedName>
    <definedName name="MATSTART" localSheetId="15">#REF!</definedName>
    <definedName name="MATSTART" localSheetId="4">#REF!</definedName>
    <definedName name="MATSTART">#REF!</definedName>
    <definedName name="mea" localSheetId="14">#REF!</definedName>
    <definedName name="mea" localSheetId="15">#REF!</definedName>
    <definedName name="mea" localSheetId="4">#REF!</definedName>
    <definedName name="mea">#REF!</definedName>
    <definedName name="MEABAL" localSheetId="14">#REF!</definedName>
    <definedName name="MEABAL" localSheetId="15">#REF!</definedName>
    <definedName name="MEABAL" localSheetId="4">#REF!</definedName>
    <definedName name="MEABAL">#REF!</definedName>
    <definedName name="MEACASH" localSheetId="14">#REF!</definedName>
    <definedName name="MEACASH" localSheetId="15">#REF!</definedName>
    <definedName name="MEACASH" localSheetId="4">#REF!</definedName>
    <definedName name="MEACASH">#REF!</definedName>
    <definedName name="MEAEQITY" localSheetId="14">#REF!</definedName>
    <definedName name="MEAEQITY" localSheetId="15">#REF!</definedName>
    <definedName name="MEAEQITY" localSheetId="4">#REF!</definedName>
    <definedName name="MEAEQITY">#REF!</definedName>
    <definedName name="MEAOP" localSheetId="14">#REF!</definedName>
    <definedName name="MEAOP" localSheetId="15">#REF!</definedName>
    <definedName name="MEAOP" localSheetId="4">#REF!</definedName>
    <definedName name="MEAOP">#REF!</definedName>
    <definedName name="MofF" localSheetId="14">#REF!</definedName>
    <definedName name="MofF" localSheetId="15">#REF!</definedName>
    <definedName name="MofF" localSheetId="4">#REF!</definedName>
    <definedName name="MofF">#REF!</definedName>
    <definedName name="NewRevReq">[6]Refs!$B$8</definedName>
    <definedName name="NOTES" localSheetId="14">#REF!</definedName>
    <definedName name="NOTES" localSheetId="15">#REF!</definedName>
    <definedName name="NOTES" localSheetId="4">#REF!</definedName>
    <definedName name="NOTES" localSheetId="2">#REF!</definedName>
    <definedName name="NOTES" localSheetId="3">#REF!</definedName>
    <definedName name="NOTES">#REF!</definedName>
    <definedName name="OPERATING" localSheetId="14">#REF!</definedName>
    <definedName name="OPERATING" localSheetId="15">#REF!</definedName>
    <definedName name="OPERATING" localSheetId="4">#REF!</definedName>
    <definedName name="OPERATING">#REF!</definedName>
    <definedName name="oth_beg_bud" localSheetId="14">#REF!</definedName>
    <definedName name="oth_beg_bud" localSheetId="15">#REF!</definedName>
    <definedName name="oth_beg_bud" localSheetId="4">#REF!</definedName>
    <definedName name="oth_beg_bud">#REF!</definedName>
    <definedName name="oth_end_bud" localSheetId="14">#REF!</definedName>
    <definedName name="oth_end_bud" localSheetId="15">#REF!</definedName>
    <definedName name="oth_end_bud" localSheetId="4">#REF!</definedName>
    <definedName name="oth_end_bud">#REF!</definedName>
    <definedName name="oth12ACT" localSheetId="14">#REF!</definedName>
    <definedName name="oth12ACT" localSheetId="15">#REF!</definedName>
    <definedName name="oth12ACT" localSheetId="4">#REF!</definedName>
    <definedName name="oth12ACT">#REF!</definedName>
    <definedName name="othCYACT" localSheetId="14">#REF!</definedName>
    <definedName name="othCYACT" localSheetId="15">#REF!</definedName>
    <definedName name="othCYACT" localSheetId="4">#REF!</definedName>
    <definedName name="othCYACT">#REF!</definedName>
    <definedName name="othCYBUD" localSheetId="14">#REF!</definedName>
    <definedName name="othCYBUD" localSheetId="15">#REF!</definedName>
    <definedName name="othCYBUD" localSheetId="4">#REF!</definedName>
    <definedName name="othCYBUD">#REF!</definedName>
    <definedName name="othCYF" localSheetId="14">#REF!</definedName>
    <definedName name="othCYF" localSheetId="15">#REF!</definedName>
    <definedName name="othCYF" localSheetId="4">#REF!</definedName>
    <definedName name="othCYF">#REF!</definedName>
    <definedName name="OTHEND" localSheetId="14">#REF!</definedName>
    <definedName name="OTHEND" localSheetId="15">#REF!</definedName>
    <definedName name="OTHEND" localSheetId="4">#REF!</definedName>
    <definedName name="OTHEND">#REF!</definedName>
    <definedName name="other_costs" localSheetId="14">#REF!</definedName>
    <definedName name="other_costs" localSheetId="15">#REF!</definedName>
    <definedName name="other_costs" localSheetId="4">#REF!</definedName>
    <definedName name="other_costs">#REF!</definedName>
    <definedName name="OTHERBUD" localSheetId="14">#REF!</definedName>
    <definedName name="OTHERBUD" localSheetId="15">#REF!</definedName>
    <definedName name="OTHERBUD" localSheetId="4">#REF!</definedName>
    <definedName name="OTHERBUD">#REF!</definedName>
    <definedName name="othNYbud" localSheetId="14">#REF!</definedName>
    <definedName name="othNYbud" localSheetId="15">#REF!</definedName>
    <definedName name="othNYbud" localSheetId="4">#REF!</definedName>
    <definedName name="othNYbud">#REF!</definedName>
    <definedName name="othPYACT" localSheetId="14">#REF!</definedName>
    <definedName name="othPYACT" localSheetId="15">#REF!</definedName>
    <definedName name="othPYACT" localSheetId="4">#REF!</definedName>
    <definedName name="othPYACT">#REF!</definedName>
    <definedName name="OTHSTART" localSheetId="14">#REF!</definedName>
    <definedName name="OTHSTART" localSheetId="15">#REF!</definedName>
    <definedName name="OTHSTART" localSheetId="4">#REF!</definedName>
    <definedName name="OTHSTART">#REF!</definedName>
    <definedName name="PAGE11" localSheetId="14">#REF!</definedName>
    <definedName name="PAGE11" localSheetId="15">#REF!</definedName>
    <definedName name="PAGE11" localSheetId="11">#REF!</definedName>
    <definedName name="PAGE11" localSheetId="4">#REF!</definedName>
    <definedName name="PAGE11" localSheetId="13">#REF!</definedName>
    <definedName name="PAGE11">#REF!</definedName>
    <definedName name="PAGE2" localSheetId="11">[2]Sheet1!$A$1:$I$40</definedName>
    <definedName name="PAGE2" localSheetId="13">[3]Sheet1!$A$1:$I$40</definedName>
    <definedName name="PAGE2">[4]Sheet1!$A$1:$I$40</definedName>
    <definedName name="PAGE3" localSheetId="14">#REF!</definedName>
    <definedName name="PAGE3" localSheetId="15">#REF!</definedName>
    <definedName name="PAGE3" localSheetId="11">#REF!</definedName>
    <definedName name="PAGE3" localSheetId="4">#REF!</definedName>
    <definedName name="PAGE3" localSheetId="2">#REF!</definedName>
    <definedName name="PAGE3" localSheetId="3">#REF!</definedName>
    <definedName name="PAGE3" localSheetId="13">#REF!</definedName>
    <definedName name="PAGE3">#REF!</definedName>
    <definedName name="PAGE4" localSheetId="14">#REF!</definedName>
    <definedName name="PAGE4" localSheetId="15">#REF!</definedName>
    <definedName name="PAGE4" localSheetId="11">#REF!</definedName>
    <definedName name="PAGE4" localSheetId="4">#REF!</definedName>
    <definedName name="PAGE4" localSheetId="13">#REF!</definedName>
    <definedName name="PAGE4">#REF!</definedName>
    <definedName name="PAGE7" localSheetId="14">#REF!</definedName>
    <definedName name="PAGE7" localSheetId="15">#REF!</definedName>
    <definedName name="PAGE7" localSheetId="11">#REF!</definedName>
    <definedName name="PAGE7" localSheetId="4">#REF!</definedName>
    <definedName name="PAGE7" localSheetId="13">#REF!</definedName>
    <definedName name="PAGE7">#REF!</definedName>
    <definedName name="PAGE9" localSheetId="14">#REF!</definedName>
    <definedName name="PAGE9" localSheetId="15">#REF!</definedName>
    <definedName name="PAGE9" localSheetId="11">#REF!</definedName>
    <definedName name="PAGE9" localSheetId="4">#REF!</definedName>
    <definedName name="PAGE9" localSheetId="13">#REF!</definedName>
    <definedName name="PAGE9">#REF!</definedName>
    <definedName name="PageOne" localSheetId="14">#REF!</definedName>
    <definedName name="PageOne" localSheetId="15">#REF!</definedName>
    <definedName name="PageOne" localSheetId="4">#REF!</definedName>
    <definedName name="PageOne">#REF!</definedName>
    <definedName name="PR" localSheetId="14">#REF!</definedName>
    <definedName name="PR" localSheetId="15">#REF!</definedName>
    <definedName name="PR" localSheetId="4">#REF!</definedName>
    <definedName name="PR">#REF!</definedName>
    <definedName name="_xlnm.Print_Area" localSheetId="11">'CDM Activity '!$A$1:$T$80</definedName>
    <definedName name="_xlnm.Print_Area" localSheetId="4">'Purchased Power Model'!$A$1:$W$168</definedName>
    <definedName name="_xlnm.Print_Area" localSheetId="9">'Rate Class Customer Model'!$A$1:$N$40</definedName>
    <definedName name="_xlnm.Print_Area" localSheetId="8">'Rate Class Energy Model'!$G$82:$T$86</definedName>
    <definedName name="_xlnm.Print_Area" localSheetId="10">'Rate Class Load Model'!$A$1:$K$46</definedName>
    <definedName name="_xlnm.Print_Area" localSheetId="1">Summary!$A$3:$K$84</definedName>
    <definedName name="Print_Area_MI" localSheetId="14">#REF!</definedName>
    <definedName name="Print_Area_MI" localSheetId="15">#REF!</definedName>
    <definedName name="Print_Area_MI" localSheetId="4">#REF!</definedName>
    <definedName name="Print_Area_MI" localSheetId="2">#REF!</definedName>
    <definedName name="Print_Area_MI" localSheetId="3">#REF!</definedName>
    <definedName name="Print_Area_MI">#REF!</definedName>
    <definedName name="print_end" localSheetId="14">#REF!</definedName>
    <definedName name="print_end" localSheetId="15">#REF!</definedName>
    <definedName name="print_end" localSheetId="4">#REF!</definedName>
    <definedName name="print_end">#REF!</definedName>
    <definedName name="_xlnm.Print_Titles" localSheetId="4">'Purchased Power Model'!$A:$W,'Purchased Power Model'!$1:$2</definedName>
    <definedName name="PRIOR" localSheetId="14">#REF!</definedName>
    <definedName name="PRIOR" localSheetId="15">#REF!</definedName>
    <definedName name="PRIOR" localSheetId="4">#REF!</definedName>
    <definedName name="PRIOR" localSheetId="2">#REF!</definedName>
    <definedName name="PRIOR" localSheetId="3">#REF!</definedName>
    <definedName name="PRIOR">#REF!</definedName>
    <definedName name="Ratebase">'[7]Distribution Revenue by Source'!$C$25</definedName>
    <definedName name="RevReqLookupKey">[6]Refs!$B$5</definedName>
    <definedName name="RevReqRange">[6]Refs!$B$7</definedName>
    <definedName name="RVCASHPR" localSheetId="14">#REF!</definedName>
    <definedName name="RVCASHPR" localSheetId="15">#REF!</definedName>
    <definedName name="RVCASHPR" localSheetId="4">#REF!</definedName>
    <definedName name="RVCASHPR" localSheetId="2">#REF!</definedName>
    <definedName name="RVCASHPR" localSheetId="3">#REF!</definedName>
    <definedName name="RVCASHPR">#REF!</definedName>
    <definedName name="SALBENF" localSheetId="14">#REF!</definedName>
    <definedName name="SALBENF" localSheetId="15">#REF!</definedName>
    <definedName name="SALBENF" localSheetId="4">#REF!</definedName>
    <definedName name="SALBENF">#REF!</definedName>
    <definedName name="salreg" localSheetId="14">#REF!</definedName>
    <definedName name="salreg" localSheetId="15">#REF!</definedName>
    <definedName name="salreg" localSheetId="4">#REF!</definedName>
    <definedName name="salreg">#REF!</definedName>
    <definedName name="SALREGF" localSheetId="14">#REF!</definedName>
    <definedName name="SALREGF" localSheetId="15">#REF!</definedName>
    <definedName name="SALREGF" localSheetId="4">#REF!</definedName>
    <definedName name="SALREGF">#REF!</definedName>
    <definedName name="SOURCEAPP" localSheetId="14">#REF!</definedName>
    <definedName name="SOURCEAPP" localSheetId="15">#REF!</definedName>
    <definedName name="SOURCEAPP" localSheetId="4">#REF!</definedName>
    <definedName name="SOURCEAPP">#REF!</definedName>
    <definedName name="STATS1" localSheetId="14">#REF!</definedName>
    <definedName name="STATS1" localSheetId="15">#REF!</definedName>
    <definedName name="STATS1" localSheetId="4">#REF!</definedName>
    <definedName name="STATS1">#REF!</definedName>
    <definedName name="STATS2" localSheetId="14">#REF!</definedName>
    <definedName name="STATS2" localSheetId="15">#REF!</definedName>
    <definedName name="STATS2" localSheetId="4">#REF!</definedName>
    <definedName name="STATS2">#REF!</definedName>
    <definedName name="Surtax" localSheetId="14">#REF!</definedName>
    <definedName name="Surtax" localSheetId="15">#REF!</definedName>
    <definedName name="Surtax" localSheetId="4">#REF!</definedName>
    <definedName name="Surtax">#REF!</definedName>
    <definedName name="TEMPA" localSheetId="14">#REF!</definedName>
    <definedName name="TEMPA" localSheetId="15">#REF!</definedName>
    <definedName name="TEMPA" localSheetId="4">#REF!</definedName>
    <definedName name="TEMPA">#REF!</definedName>
    <definedName name="TestYr">'[5]A1.Admin'!$C$13</definedName>
    <definedName name="TestYrPL">'[9]Revenue Requirement'!$B$10</definedName>
    <definedName name="total_dept" localSheetId="14">#REF!</definedName>
    <definedName name="total_dept" localSheetId="15">#REF!</definedName>
    <definedName name="total_dept" localSheetId="4">#REF!</definedName>
    <definedName name="total_dept" localSheetId="2">#REF!</definedName>
    <definedName name="total_dept" localSheetId="3">#REF!</definedName>
    <definedName name="total_dept">#REF!</definedName>
    <definedName name="total_manpower" localSheetId="14">#REF!</definedName>
    <definedName name="total_manpower" localSheetId="15">#REF!</definedName>
    <definedName name="total_manpower" localSheetId="4">#REF!</definedName>
    <definedName name="total_manpower">#REF!</definedName>
    <definedName name="total_material" localSheetId="14">#REF!</definedName>
    <definedName name="total_material" localSheetId="15">#REF!</definedName>
    <definedName name="total_material" localSheetId="4">#REF!</definedName>
    <definedName name="total_material">#REF!</definedName>
    <definedName name="total_other" localSheetId="14">#REF!</definedName>
    <definedName name="total_other" localSheetId="15">#REF!</definedName>
    <definedName name="total_other" localSheetId="4">#REF!</definedName>
    <definedName name="total_other">#REF!</definedName>
    <definedName name="total_transportation" localSheetId="14">#REF!</definedName>
    <definedName name="total_transportation" localSheetId="15">#REF!</definedName>
    <definedName name="total_transportation" localSheetId="4">#REF!</definedName>
    <definedName name="total_transportation">#REF!</definedName>
    <definedName name="TOTCAPADDITIONS" localSheetId="14">#REF!</definedName>
    <definedName name="TOTCAPADDITIONS" localSheetId="15">#REF!</definedName>
    <definedName name="TOTCAPADDITIONS" localSheetId="4">#REF!</definedName>
    <definedName name="TOTCAPADDITIONS">#REF!</definedName>
    <definedName name="TRANBUD" localSheetId="14">#REF!</definedName>
    <definedName name="TRANBUD" localSheetId="15">#REF!</definedName>
    <definedName name="TRANBUD" localSheetId="4">#REF!</definedName>
    <definedName name="TRANBUD">#REF!</definedName>
    <definedName name="TRANEND" localSheetId="14">#REF!</definedName>
    <definedName name="TRANEND" localSheetId="15">#REF!</definedName>
    <definedName name="TRANEND" localSheetId="4">#REF!</definedName>
    <definedName name="TRANEND">#REF!</definedName>
    <definedName name="TRANSCAP" localSheetId="14">#REF!</definedName>
    <definedName name="TRANSCAP" localSheetId="15">#REF!</definedName>
    <definedName name="TRANSCAP" localSheetId="4">#REF!</definedName>
    <definedName name="TRANSCAP">#REF!</definedName>
    <definedName name="TRANSFER" localSheetId="14">#REF!</definedName>
    <definedName name="TRANSFER" localSheetId="15">#REF!</definedName>
    <definedName name="TRANSFER" localSheetId="4">#REF!</definedName>
    <definedName name="TRANSFER">#REF!</definedName>
    <definedName name="transportation_costs" localSheetId="14">#REF!</definedName>
    <definedName name="transportation_costs" localSheetId="15">#REF!</definedName>
    <definedName name="transportation_costs" localSheetId="4">#REF!</definedName>
    <definedName name="transportation_costs">#REF!</definedName>
    <definedName name="TRANSTART" localSheetId="14">#REF!</definedName>
    <definedName name="TRANSTART" localSheetId="15">#REF!</definedName>
    <definedName name="TRANSTART" localSheetId="4">#REF!</definedName>
    <definedName name="TRANSTART">#REF!</definedName>
    <definedName name="trn_beg_bud" localSheetId="14">#REF!</definedName>
    <definedName name="trn_beg_bud" localSheetId="15">#REF!</definedName>
    <definedName name="trn_beg_bud" localSheetId="4">#REF!</definedName>
    <definedName name="trn_beg_bud">#REF!</definedName>
    <definedName name="trn_end_bud" localSheetId="14">#REF!</definedName>
    <definedName name="trn_end_bud" localSheetId="15">#REF!</definedName>
    <definedName name="trn_end_bud" localSheetId="4">#REF!</definedName>
    <definedName name="trn_end_bud">#REF!</definedName>
    <definedName name="trn12ACT" localSheetId="14">#REF!</definedName>
    <definedName name="trn12ACT" localSheetId="15">#REF!</definedName>
    <definedName name="trn12ACT" localSheetId="4">#REF!</definedName>
    <definedName name="trn12ACT">#REF!</definedName>
    <definedName name="trnCYACT" localSheetId="14">#REF!</definedName>
    <definedName name="trnCYACT" localSheetId="15">#REF!</definedName>
    <definedName name="trnCYACT" localSheetId="4">#REF!</definedName>
    <definedName name="trnCYACT">#REF!</definedName>
    <definedName name="trnCYBUD" localSheetId="14">#REF!</definedName>
    <definedName name="trnCYBUD" localSheetId="15">#REF!</definedName>
    <definedName name="trnCYBUD" localSheetId="4">#REF!</definedName>
    <definedName name="trnCYBUD">#REF!</definedName>
    <definedName name="trnCYF" localSheetId="14">#REF!</definedName>
    <definedName name="trnCYF" localSheetId="15">#REF!</definedName>
    <definedName name="trnCYF" localSheetId="4">#REF!</definedName>
    <definedName name="trnCYF">#REF!</definedName>
    <definedName name="trnNYbud" localSheetId="14">#REF!</definedName>
    <definedName name="trnNYbud" localSheetId="15">#REF!</definedName>
    <definedName name="trnNYbud" localSheetId="4">#REF!</definedName>
    <definedName name="trnNYbud">#REF!</definedName>
    <definedName name="trnPYACT" localSheetId="14">#REF!</definedName>
    <definedName name="trnPYACT" localSheetId="15">#REF!</definedName>
    <definedName name="trnPYACT" localSheetId="4">#REF!</definedName>
    <definedName name="trnPYACT">#REF!</definedName>
    <definedName name="Utility">[8]Financials!$A$1</definedName>
    <definedName name="utitliy1">[10]Financials!$A$1</definedName>
    <definedName name="WAGBENF" localSheetId="14">#REF!</definedName>
    <definedName name="WAGBENF" localSheetId="15">#REF!</definedName>
    <definedName name="WAGBENF" localSheetId="4">#REF!</definedName>
    <definedName name="WAGBENF" localSheetId="2">#REF!</definedName>
    <definedName name="WAGBENF" localSheetId="3">#REF!</definedName>
    <definedName name="WAGBENF">#REF!</definedName>
    <definedName name="wagdob" localSheetId="14">#REF!</definedName>
    <definedName name="wagdob" localSheetId="15">#REF!</definedName>
    <definedName name="wagdob" localSheetId="4">#REF!</definedName>
    <definedName name="wagdob">#REF!</definedName>
    <definedName name="wagdobf" localSheetId="14">#REF!</definedName>
    <definedName name="wagdobf" localSheetId="15">#REF!</definedName>
    <definedName name="wagdobf" localSheetId="4">#REF!</definedName>
    <definedName name="wagdobf">#REF!</definedName>
    <definedName name="wagreg" localSheetId="14">#REF!</definedName>
    <definedName name="wagreg" localSheetId="15">#REF!</definedName>
    <definedName name="wagreg" localSheetId="4">#REF!</definedName>
    <definedName name="wagreg">#REF!</definedName>
    <definedName name="wagregf" localSheetId="14">#REF!</definedName>
    <definedName name="wagregf" localSheetId="15">#REF!</definedName>
    <definedName name="wagregf" localSheetId="4">#REF!</definedName>
    <definedName name="wagregf">#REF!</definedName>
  </definedNames>
  <calcPr calcId="152511"/>
  <pivotCaches>
    <pivotCache cacheId="1" r:id="rId27"/>
  </pivotCaches>
</workbook>
</file>

<file path=xl/calcChain.xml><?xml version="1.0" encoding="utf-8"?>
<calcChain xmlns="http://schemas.openxmlformats.org/spreadsheetml/2006/main">
  <c r="U4" i="42" l="1"/>
  <c r="U5" i="42"/>
  <c r="U6" i="42"/>
  <c r="U7" i="42"/>
  <c r="U8" i="42"/>
  <c r="U9" i="42"/>
  <c r="U10" i="42"/>
  <c r="U11" i="42"/>
  <c r="U12" i="42"/>
  <c r="U13" i="42"/>
  <c r="U14" i="42"/>
  <c r="U15" i="42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67" i="42"/>
  <c r="U68" i="42"/>
  <c r="U69" i="42"/>
  <c r="U70" i="42"/>
  <c r="U71" i="42"/>
  <c r="U72" i="42"/>
  <c r="U73" i="42"/>
  <c r="U74" i="42"/>
  <c r="U75" i="42"/>
  <c r="U76" i="42"/>
  <c r="U77" i="42"/>
  <c r="U78" i="42"/>
  <c r="U79" i="42"/>
  <c r="U80" i="42"/>
  <c r="U81" i="42"/>
  <c r="U82" i="42"/>
  <c r="U83" i="42"/>
  <c r="U84" i="42"/>
  <c r="U85" i="42"/>
  <c r="U86" i="42"/>
  <c r="U87" i="42"/>
  <c r="U88" i="42"/>
  <c r="U89" i="42"/>
  <c r="U90" i="42"/>
  <c r="U91" i="42"/>
  <c r="U92" i="42"/>
  <c r="U93" i="42"/>
  <c r="U94" i="42"/>
  <c r="U95" i="42"/>
  <c r="U96" i="42"/>
  <c r="U97" i="42"/>
  <c r="U98" i="42"/>
  <c r="U99" i="42"/>
  <c r="U100" i="42"/>
  <c r="U101" i="42"/>
  <c r="U102" i="42"/>
  <c r="U103" i="42"/>
  <c r="U104" i="42"/>
  <c r="U105" i="42"/>
  <c r="U106" i="42"/>
  <c r="U107" i="42"/>
  <c r="U108" i="42"/>
  <c r="U109" i="42"/>
  <c r="U110" i="42"/>
  <c r="U3" i="42"/>
  <c r="T7" i="41" l="1"/>
  <c r="V7" i="41"/>
  <c r="G86" i="9" s="1"/>
  <c r="U7" i="41"/>
  <c r="G85" i="9" s="1"/>
  <c r="F23" i="56" l="1"/>
  <c r="D23" i="56"/>
  <c r="B15" i="56" l="1"/>
  <c r="B36" i="56"/>
  <c r="F16" i="56" l="1"/>
  <c r="B16" i="56"/>
  <c r="B24" i="56" s="1"/>
  <c r="G15" i="56" l="1"/>
  <c r="H15" i="56" s="1"/>
  <c r="I15" i="56" s="1"/>
  <c r="G14" i="56"/>
  <c r="H14" i="56" s="1"/>
  <c r="I14" i="56" s="1"/>
  <c r="G13" i="56"/>
  <c r="H13" i="56" s="1"/>
  <c r="I13" i="56" s="1"/>
  <c r="G12" i="56"/>
  <c r="H12" i="56" s="1"/>
  <c r="I12" i="56" s="1"/>
  <c r="G11" i="56"/>
  <c r="H11" i="56" s="1"/>
  <c r="I11" i="56" s="1"/>
  <c r="G10" i="56"/>
  <c r="H10" i="56" s="1"/>
  <c r="I10" i="56" s="1"/>
  <c r="C10" i="56" s="1"/>
  <c r="G9" i="56"/>
  <c r="H9" i="56" s="1"/>
  <c r="I9" i="56" s="1"/>
  <c r="G8" i="56"/>
  <c r="H8" i="56" s="1"/>
  <c r="I8" i="56" s="1"/>
  <c r="G7" i="56"/>
  <c r="C8" i="56" l="1"/>
  <c r="D8" i="56" s="1"/>
  <c r="C11" i="56"/>
  <c r="D11" i="56" s="1"/>
  <c r="C14" i="56"/>
  <c r="D14" i="56" s="1"/>
  <c r="C9" i="56"/>
  <c r="D9" i="56" s="1"/>
  <c r="C12" i="56"/>
  <c r="D12" i="56" s="1"/>
  <c r="C13" i="56"/>
  <c r="D13" i="56" s="1"/>
  <c r="C15" i="56"/>
  <c r="D15" i="56" s="1"/>
  <c r="H7" i="56"/>
  <c r="G16" i="56"/>
  <c r="D10" i="56"/>
  <c r="I7" i="56" l="1"/>
  <c r="C7" i="56" s="1"/>
  <c r="C16" i="56" s="1"/>
  <c r="H16" i="56"/>
  <c r="D7" i="56" l="1"/>
  <c r="I16" i="56"/>
  <c r="D16" i="56" l="1"/>
  <c r="U46" i="17" l="1"/>
  <c r="U45" i="17"/>
  <c r="U44" i="17"/>
  <c r="N45" i="17"/>
  <c r="N46" i="17"/>
  <c r="N44" i="17"/>
  <c r="H10" i="17"/>
  <c r="U12" i="17"/>
  <c r="A51" i="50" l="1"/>
  <c r="T83" i="9" l="1"/>
  <c r="T82" i="9"/>
  <c r="M172" i="42" l="1"/>
  <c r="N172" i="42"/>
  <c r="O172" i="42"/>
  <c r="M173" i="42"/>
  <c r="N173" i="42"/>
  <c r="O173" i="42"/>
  <c r="M174" i="42"/>
  <c r="N174" i="42"/>
  <c r="O174" i="42"/>
  <c r="M175" i="42"/>
  <c r="N175" i="42"/>
  <c r="O175" i="42"/>
  <c r="M176" i="42"/>
  <c r="N176" i="42"/>
  <c r="O176" i="42"/>
  <c r="M177" i="42"/>
  <c r="N177" i="42"/>
  <c r="O177" i="42"/>
  <c r="M178" i="42"/>
  <c r="N178" i="42"/>
  <c r="O178" i="42"/>
  <c r="M179" i="42"/>
  <c r="N179" i="42"/>
  <c r="O179" i="42"/>
  <c r="M180" i="42"/>
  <c r="N180" i="42"/>
  <c r="O180" i="42"/>
  <c r="M181" i="42"/>
  <c r="N181" i="42"/>
  <c r="O181" i="42"/>
  <c r="M182" i="42"/>
  <c r="N182" i="42"/>
  <c r="O182" i="42"/>
  <c r="M183" i="42"/>
  <c r="N183" i="42"/>
  <c r="O183" i="42"/>
  <c r="L173" i="42"/>
  <c r="L174" i="42"/>
  <c r="L175" i="42"/>
  <c r="L176" i="42"/>
  <c r="L177" i="42"/>
  <c r="L178" i="42"/>
  <c r="L179" i="42"/>
  <c r="L180" i="42"/>
  <c r="L181" i="42"/>
  <c r="L182" i="42"/>
  <c r="L183" i="42"/>
  <c r="L172" i="42"/>
  <c r="Z5" i="32" l="1"/>
  <c r="V5" i="32"/>
  <c r="W5" i="32"/>
  <c r="X5" i="32"/>
  <c r="Y5" i="32"/>
  <c r="P123" i="42"/>
  <c r="P124" i="42" l="1"/>
  <c r="P125" i="42" s="1"/>
  <c r="P126" i="42" s="1"/>
  <c r="P127" i="42" s="1"/>
  <c r="P128" i="42" s="1"/>
  <c r="P129" i="42" s="1"/>
  <c r="P130" i="42" s="1"/>
  <c r="P131" i="42" s="1"/>
  <c r="P132" i="42" s="1"/>
  <c r="P133" i="42" s="1"/>
  <c r="P134" i="42" s="1"/>
  <c r="P135" i="42" s="1"/>
  <c r="H9" i="18"/>
  <c r="G9" i="18"/>
  <c r="F9" i="18"/>
  <c r="I30" i="50"/>
  <c r="I25" i="50"/>
  <c r="I20" i="50"/>
  <c r="N3" i="18"/>
  <c r="N4" i="18"/>
  <c r="N9" i="18"/>
  <c r="J9" i="18"/>
  <c r="D9" i="18"/>
  <c r="L54" i="17"/>
  <c r="K54" i="17"/>
  <c r="H54" i="17"/>
  <c r="P54" i="17"/>
  <c r="Q54" i="17"/>
  <c r="M54" i="17"/>
  <c r="I54" i="17"/>
  <c r="F54" i="17"/>
  <c r="J54" i="17"/>
  <c r="W8" i="41" l="1"/>
  <c r="D54" i="17"/>
  <c r="E54" i="17"/>
  <c r="P136" i="42"/>
  <c r="P137" i="42" s="1"/>
  <c r="P138" i="42" s="1"/>
  <c r="P139" i="42" s="1"/>
  <c r="P140" i="42" s="1"/>
  <c r="P141" i="42" s="1"/>
  <c r="P142" i="42" s="1"/>
  <c r="P143" i="42" s="1"/>
  <c r="P144" i="42" s="1"/>
  <c r="P145" i="42" s="1"/>
  <c r="P146" i="42" s="1"/>
  <c r="P172" i="42"/>
  <c r="P173" i="42" s="1"/>
  <c r="P174" i="42" s="1"/>
  <c r="P175" i="42" s="1"/>
  <c r="P176" i="42" s="1"/>
  <c r="P177" i="42" s="1"/>
  <c r="P178" i="42" s="1"/>
  <c r="P179" i="42" s="1"/>
  <c r="P180" i="42" s="1"/>
  <c r="P181" i="42" s="1"/>
  <c r="P182" i="42" s="1"/>
  <c r="P183" i="42" s="1"/>
  <c r="E9" i="18"/>
  <c r="I41" i="51"/>
  <c r="B9" i="18"/>
  <c r="I22" i="51"/>
  <c r="C54" i="17"/>
  <c r="G54" i="17"/>
  <c r="C9" i="18"/>
  <c r="I27" i="51"/>
  <c r="B54" i="17"/>
  <c r="N54" i="17" s="1"/>
  <c r="U54" i="17" s="1"/>
  <c r="V54" i="17" s="1"/>
  <c r="I39" i="50"/>
  <c r="I29" i="50"/>
  <c r="I24" i="50"/>
  <c r="I19" i="50"/>
  <c r="I15" i="50"/>
  <c r="I11" i="50" l="1"/>
  <c r="I6" i="50"/>
  <c r="N13" i="9"/>
  <c r="P13" i="9"/>
  <c r="Q13" i="9"/>
  <c r="R13" i="9"/>
  <c r="V13" i="9"/>
  <c r="S13" i="9"/>
  <c r="L13" i="9"/>
  <c r="Z39" i="32"/>
  <c r="Z38" i="32"/>
  <c r="Z37" i="32"/>
  <c r="Z36" i="32"/>
  <c r="Z35" i="32"/>
  <c r="Z34" i="32"/>
  <c r="Z33" i="32"/>
  <c r="Z32" i="32"/>
  <c r="Z31" i="32"/>
  <c r="Z30" i="32"/>
  <c r="Z29" i="32"/>
  <c r="Z28" i="32"/>
  <c r="Z19" i="32"/>
  <c r="Z18" i="32"/>
  <c r="Z17" i="32"/>
  <c r="Z16" i="32"/>
  <c r="Z15" i="32"/>
  <c r="Z14" i="32"/>
  <c r="Z13" i="32"/>
  <c r="Z12" i="32"/>
  <c r="Z11" i="32"/>
  <c r="Z10" i="32"/>
  <c r="Z9" i="32"/>
  <c r="Z8" i="32"/>
  <c r="J121" i="42" l="1"/>
  <c r="K122" i="42"/>
  <c r="K134" i="42" s="1"/>
  <c r="K116" i="42"/>
  <c r="K128" i="42" s="1"/>
  <c r="J119" i="42"/>
  <c r="J113" i="42"/>
  <c r="K117" i="42"/>
  <c r="K129" i="42" s="1"/>
  <c r="K114" i="42"/>
  <c r="K126" i="42" s="1"/>
  <c r="J120" i="42"/>
  <c r="J122" i="42"/>
  <c r="J114" i="42"/>
  <c r="Z41" i="32"/>
  <c r="J112" i="42"/>
  <c r="K115" i="42"/>
  <c r="K127" i="42" s="1"/>
  <c r="J118" i="42"/>
  <c r="K121" i="42"/>
  <c r="K133" i="42" s="1"/>
  <c r="K113" i="42"/>
  <c r="K125" i="42" s="1"/>
  <c r="D326" i="27"/>
  <c r="Z21" i="32"/>
  <c r="E326" i="27"/>
  <c r="J116" i="42"/>
  <c r="K119" i="42"/>
  <c r="K131" i="42" s="1"/>
  <c r="K111" i="42"/>
  <c r="K123" i="42" s="1"/>
  <c r="J117" i="42"/>
  <c r="K120" i="42"/>
  <c r="K132" i="42" s="1"/>
  <c r="K112" i="42"/>
  <c r="K124" i="42" s="1"/>
  <c r="J111" i="42"/>
  <c r="J115" i="42"/>
  <c r="K118" i="42"/>
  <c r="K130" i="42" s="1"/>
  <c r="I35" i="11"/>
  <c r="D42" i="18"/>
  <c r="I68" i="11"/>
  <c r="G42" i="18"/>
  <c r="I13" i="9"/>
  <c r="I17" i="51"/>
  <c r="K13" i="9"/>
  <c r="I26" i="51"/>
  <c r="I58" i="11"/>
  <c r="I73" i="11"/>
  <c r="H42" i="18"/>
  <c r="H13" i="9"/>
  <c r="I6" i="51"/>
  <c r="I13" i="51"/>
  <c r="M13" i="9"/>
  <c r="I40" i="51"/>
  <c r="I49" i="11"/>
  <c r="F42" i="18"/>
  <c r="J13" i="9"/>
  <c r="I21" i="51"/>
  <c r="O13" i="9"/>
  <c r="I45" i="51"/>
  <c r="I78" i="11"/>
  <c r="U13" i="9"/>
  <c r="I7" i="51"/>
  <c r="N42" i="18"/>
  <c r="U118" i="42" l="1"/>
  <c r="U122" i="42"/>
  <c r="U113" i="42"/>
  <c r="U116" i="42"/>
  <c r="U117" i="42"/>
  <c r="U112" i="42"/>
  <c r="U120" i="42"/>
  <c r="U119" i="42"/>
  <c r="U115" i="42"/>
  <c r="U111" i="42"/>
  <c r="U114" i="42"/>
  <c r="U121" i="42"/>
  <c r="J128" i="42"/>
  <c r="U128" i="42" s="1"/>
  <c r="J127" i="42"/>
  <c r="U127" i="42" s="1"/>
  <c r="J123" i="42"/>
  <c r="U123" i="42" s="1"/>
  <c r="J129" i="42"/>
  <c r="U129" i="42" s="1"/>
  <c r="J132" i="42"/>
  <c r="U132" i="42" s="1"/>
  <c r="J125" i="42"/>
  <c r="U125" i="42" s="1"/>
  <c r="J126" i="42"/>
  <c r="U126" i="42" s="1"/>
  <c r="J130" i="42"/>
  <c r="U130" i="42" s="1"/>
  <c r="J124" i="42"/>
  <c r="U124" i="42" s="1"/>
  <c r="J131" i="42"/>
  <c r="U131" i="42" s="1"/>
  <c r="J134" i="42"/>
  <c r="U134" i="42" s="1"/>
  <c r="J133" i="42"/>
  <c r="U133" i="42" s="1"/>
  <c r="I43" i="50"/>
  <c r="I53" i="50"/>
  <c r="G44" i="18"/>
  <c r="F44" i="18"/>
  <c r="I48" i="50"/>
  <c r="I34" i="50"/>
  <c r="I49" i="51"/>
  <c r="I31" i="51"/>
  <c r="I8" i="51"/>
  <c r="H44" i="18"/>
  <c r="I9" i="18"/>
  <c r="K135" i="42"/>
  <c r="I44" i="11"/>
  <c r="E42" i="18"/>
  <c r="I54" i="11"/>
  <c r="I25" i="11"/>
  <c r="B42" i="18"/>
  <c r="I17" i="11"/>
  <c r="I21" i="11"/>
  <c r="G13" i="9"/>
  <c r="I10" i="11" s="1"/>
  <c r="I30" i="11"/>
  <c r="C42" i="18"/>
  <c r="I63" i="11"/>
  <c r="J42" i="18"/>
  <c r="N44" i="18"/>
  <c r="E161" i="42"/>
  <c r="I4" i="50" s="1"/>
  <c r="J135" i="42" l="1"/>
  <c r="U135" i="42"/>
  <c r="I58" i="50"/>
  <c r="E44" i="18"/>
  <c r="I44" i="18"/>
  <c r="I87" i="11"/>
  <c r="J44" i="18"/>
  <c r="I54" i="51"/>
  <c r="I59" i="51" s="1"/>
  <c r="I83" i="11"/>
  <c r="I11" i="11"/>
  <c r="I110" i="11" l="1"/>
  <c r="I115" i="11" s="1"/>
  <c r="I100" i="11"/>
  <c r="I38" i="50"/>
  <c r="I28" i="50"/>
  <c r="I23" i="50"/>
  <c r="I18" i="50"/>
  <c r="I14" i="50"/>
  <c r="I10" i="50"/>
  <c r="N8" i="18"/>
  <c r="N7" i="18"/>
  <c r="N6" i="18"/>
  <c r="N5" i="18"/>
  <c r="I44" i="51"/>
  <c r="I39" i="51"/>
  <c r="I25" i="51"/>
  <c r="I20" i="51"/>
  <c r="I16" i="51"/>
  <c r="I12" i="51"/>
  <c r="D161" i="42" l="1"/>
  <c r="I4" i="51" s="1"/>
  <c r="A53" i="50"/>
  <c r="A54" i="50"/>
  <c r="A52" i="50"/>
  <c r="A49" i="50"/>
  <c r="A48" i="50"/>
  <c r="A47" i="50"/>
  <c r="A46" i="50"/>
  <c r="A43" i="50"/>
  <c r="A44" i="50"/>
  <c r="A42" i="50"/>
  <c r="A41" i="50"/>
  <c r="A55" i="51"/>
  <c r="A54" i="51"/>
  <c r="A53" i="51"/>
  <c r="A52" i="51"/>
  <c r="A49" i="51"/>
  <c r="A50" i="51"/>
  <c r="A48" i="51"/>
  <c r="A47" i="51"/>
  <c r="D122" i="54" l="1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B100" i="54"/>
  <c r="B117" i="54" s="1"/>
  <c r="B98" i="54"/>
  <c r="B115" i="54" s="1"/>
  <c r="B97" i="54"/>
  <c r="B114" i="54" s="1"/>
  <c r="B96" i="54"/>
  <c r="B113" i="54" s="1"/>
  <c r="B95" i="54"/>
  <c r="B112" i="54" s="1"/>
  <c r="B94" i="54"/>
  <c r="B111" i="54" s="1"/>
  <c r="B93" i="54"/>
  <c r="B110" i="54" s="1"/>
  <c r="D88" i="54"/>
  <c r="D87" i="54"/>
  <c r="D86" i="54"/>
  <c r="D85" i="54"/>
  <c r="D84" i="54"/>
  <c r="D83" i="54"/>
  <c r="D82" i="54"/>
  <c r="D81" i="54"/>
  <c r="D80" i="54"/>
  <c r="D79" i="54"/>
  <c r="D78" i="54"/>
  <c r="D77" i="54"/>
  <c r="D76" i="54"/>
  <c r="D75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B30" i="54"/>
  <c r="B47" i="54" s="1"/>
  <c r="B65" i="54" s="1"/>
  <c r="B83" i="54" s="1"/>
  <c r="B28" i="54"/>
  <c r="B45" i="54" s="1"/>
  <c r="B63" i="54" s="1"/>
  <c r="B81" i="54" s="1"/>
  <c r="B27" i="54"/>
  <c r="B44" i="54" s="1"/>
  <c r="B62" i="54" s="1"/>
  <c r="B80" i="54" s="1"/>
  <c r="B26" i="54"/>
  <c r="B43" i="54" s="1"/>
  <c r="B60" i="54" s="1"/>
  <c r="B78" i="54" s="1"/>
  <c r="B25" i="54"/>
  <c r="B42" i="54" s="1"/>
  <c r="B59" i="54" s="1"/>
  <c r="B77" i="54" s="1"/>
  <c r="B24" i="54"/>
  <c r="B41" i="54" s="1"/>
  <c r="B58" i="54" s="1"/>
  <c r="B76" i="54" s="1"/>
  <c r="B23" i="54"/>
  <c r="B40" i="54" s="1"/>
  <c r="B57" i="54" s="1"/>
  <c r="B75" i="54" s="1"/>
  <c r="B17" i="54"/>
  <c r="B105" i="54" s="1"/>
  <c r="B122" i="54" s="1"/>
  <c r="B16" i="54"/>
  <c r="B104" i="54" s="1"/>
  <c r="B121" i="54" s="1"/>
  <c r="B15" i="54"/>
  <c r="B103" i="54" s="1"/>
  <c r="B120" i="54" s="1"/>
  <c r="B14" i="54"/>
  <c r="B102" i="54" s="1"/>
  <c r="B119" i="54" s="1"/>
  <c r="B13" i="54"/>
  <c r="B101" i="54" s="1"/>
  <c r="B118" i="54" s="1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B100" i="53"/>
  <c r="B117" i="53" s="1"/>
  <c r="B98" i="53"/>
  <c r="B115" i="53" s="1"/>
  <c r="B97" i="53"/>
  <c r="B114" i="53" s="1"/>
  <c r="B96" i="53"/>
  <c r="B113" i="53" s="1"/>
  <c r="B95" i="53"/>
  <c r="B112" i="53" s="1"/>
  <c r="B94" i="53"/>
  <c r="B111" i="53" s="1"/>
  <c r="B93" i="53"/>
  <c r="B110" i="53" s="1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D75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B30" i="53"/>
  <c r="B47" i="53" s="1"/>
  <c r="B65" i="53" s="1"/>
  <c r="B83" i="53" s="1"/>
  <c r="B28" i="53"/>
  <c r="B45" i="53" s="1"/>
  <c r="B63" i="53" s="1"/>
  <c r="B81" i="53" s="1"/>
  <c r="B27" i="53"/>
  <c r="B44" i="53" s="1"/>
  <c r="B62" i="53" s="1"/>
  <c r="B80" i="53" s="1"/>
  <c r="B26" i="53"/>
  <c r="B43" i="53" s="1"/>
  <c r="B60" i="53" s="1"/>
  <c r="B78" i="53" s="1"/>
  <c r="B25" i="53"/>
  <c r="B42" i="53" s="1"/>
  <c r="B59" i="53" s="1"/>
  <c r="B77" i="53" s="1"/>
  <c r="B24" i="53"/>
  <c r="B41" i="53" s="1"/>
  <c r="B58" i="53" s="1"/>
  <c r="B76" i="53" s="1"/>
  <c r="B23" i="53"/>
  <c r="B40" i="53" s="1"/>
  <c r="B57" i="53" s="1"/>
  <c r="B75" i="53" s="1"/>
  <c r="B17" i="53"/>
  <c r="B105" i="53" s="1"/>
  <c r="B122" i="53" s="1"/>
  <c r="B16" i="53"/>
  <c r="B104" i="53" s="1"/>
  <c r="B121" i="53" s="1"/>
  <c r="B15" i="53"/>
  <c r="B103" i="53" s="1"/>
  <c r="B120" i="53" s="1"/>
  <c r="B14" i="53"/>
  <c r="B102" i="53" s="1"/>
  <c r="B119" i="53" s="1"/>
  <c r="B13" i="53"/>
  <c r="B101" i="53" s="1"/>
  <c r="B118" i="53" s="1"/>
  <c r="C64" i="11"/>
  <c r="D64" i="11"/>
  <c r="E64" i="11"/>
  <c r="F64" i="11"/>
  <c r="G64" i="11"/>
  <c r="H64" i="11"/>
  <c r="B64" i="11"/>
  <c r="C63" i="11"/>
  <c r="C54" i="51" s="1"/>
  <c r="D63" i="11"/>
  <c r="D54" i="51" s="1"/>
  <c r="B63" i="11"/>
  <c r="B54" i="51" s="1"/>
  <c r="C40" i="11"/>
  <c r="D40" i="11"/>
  <c r="N2" i="18"/>
  <c r="B40" i="11" l="1"/>
  <c r="B36" i="51" s="1"/>
  <c r="G55" i="51"/>
  <c r="D36" i="51"/>
  <c r="F55" i="51"/>
  <c r="B55" i="51"/>
  <c r="D55" i="51"/>
  <c r="H55" i="51"/>
  <c r="C36" i="51"/>
  <c r="E55" i="51"/>
  <c r="C55" i="51"/>
  <c r="C11" i="11"/>
  <c r="B11" i="11"/>
  <c r="D11" i="11"/>
  <c r="B32" i="53"/>
  <c r="B49" i="53" s="1"/>
  <c r="B67" i="53" s="1"/>
  <c r="B85" i="53" s="1"/>
  <c r="B32" i="54"/>
  <c r="B49" i="54" s="1"/>
  <c r="B67" i="54" s="1"/>
  <c r="B85" i="54" s="1"/>
  <c r="B33" i="53"/>
  <c r="B50" i="53" s="1"/>
  <c r="B68" i="53" s="1"/>
  <c r="B86" i="53" s="1"/>
  <c r="B33" i="54"/>
  <c r="B50" i="54" s="1"/>
  <c r="B68" i="54" s="1"/>
  <c r="B86" i="54" s="1"/>
  <c r="B34" i="53"/>
  <c r="B51" i="53" s="1"/>
  <c r="B69" i="53" s="1"/>
  <c r="B87" i="53" s="1"/>
  <c r="B34" i="54"/>
  <c r="B51" i="54" s="1"/>
  <c r="B69" i="54" s="1"/>
  <c r="B87" i="54" s="1"/>
  <c r="B31" i="54"/>
  <c r="B48" i="54" s="1"/>
  <c r="B66" i="54" s="1"/>
  <c r="B84" i="54" s="1"/>
  <c r="B35" i="54"/>
  <c r="B52" i="54" s="1"/>
  <c r="B70" i="54" s="1"/>
  <c r="B88" i="54" s="1"/>
  <c r="B31" i="53"/>
  <c r="B48" i="53" s="1"/>
  <c r="B66" i="53" s="1"/>
  <c r="B84" i="53" s="1"/>
  <c r="B35" i="53"/>
  <c r="B52" i="53" s="1"/>
  <c r="B70" i="53" s="1"/>
  <c r="B88" i="53" s="1"/>
  <c r="I79" i="11" l="1"/>
  <c r="H30" i="50"/>
  <c r="H25" i="50"/>
  <c r="H20" i="50"/>
  <c r="H39" i="50"/>
  <c r="H29" i="50"/>
  <c r="H24" i="50"/>
  <c r="H19" i="50"/>
  <c r="H15" i="50"/>
  <c r="H11" i="50"/>
  <c r="G19" i="50"/>
  <c r="F19" i="50"/>
  <c r="E19" i="50"/>
  <c r="D19" i="50"/>
  <c r="C19" i="50"/>
  <c r="B19" i="50"/>
  <c r="G40" i="11"/>
  <c r="F40" i="11"/>
  <c r="E40" i="11"/>
  <c r="H26" i="51"/>
  <c r="H21" i="51"/>
  <c r="H17" i="51"/>
  <c r="H13" i="51"/>
  <c r="H45" i="51"/>
  <c r="H40" i="51"/>
  <c r="F36" i="51" l="1"/>
  <c r="E36" i="51"/>
  <c r="G36" i="51"/>
  <c r="I54" i="50"/>
  <c r="H40" i="11"/>
  <c r="H36" i="51" l="1"/>
  <c r="I40" i="11"/>
  <c r="N10" i="18"/>
  <c r="C2" i="18"/>
  <c r="D2" i="18"/>
  <c r="E2" i="18"/>
  <c r="F2" i="18"/>
  <c r="G2" i="18"/>
  <c r="H2" i="18"/>
  <c r="J2" i="18"/>
  <c r="C3" i="18"/>
  <c r="D3" i="18"/>
  <c r="E3" i="18"/>
  <c r="F3" i="18"/>
  <c r="G3" i="18"/>
  <c r="H3" i="18"/>
  <c r="J3" i="18"/>
  <c r="C4" i="18"/>
  <c r="D4" i="18"/>
  <c r="E4" i="18"/>
  <c r="F4" i="18"/>
  <c r="G4" i="18"/>
  <c r="H4" i="18"/>
  <c r="J4" i="18"/>
  <c r="C5" i="18"/>
  <c r="D5" i="18"/>
  <c r="E5" i="18"/>
  <c r="F5" i="18"/>
  <c r="G5" i="18"/>
  <c r="H5" i="18"/>
  <c r="J5" i="18"/>
  <c r="C6" i="18"/>
  <c r="D6" i="18"/>
  <c r="E6" i="18"/>
  <c r="F6" i="18"/>
  <c r="G6" i="18"/>
  <c r="H6" i="18"/>
  <c r="J6" i="18"/>
  <c r="C7" i="18"/>
  <c r="D7" i="18"/>
  <c r="E7" i="18"/>
  <c r="F7" i="18"/>
  <c r="G7" i="18"/>
  <c r="H7" i="18"/>
  <c r="J7" i="18"/>
  <c r="C8" i="18"/>
  <c r="D8" i="18"/>
  <c r="E8" i="18"/>
  <c r="F8" i="18"/>
  <c r="G8" i="18"/>
  <c r="H8" i="18"/>
  <c r="J8" i="18"/>
  <c r="E106" i="11" l="1"/>
  <c r="E105" i="11" s="1"/>
  <c r="E59" i="11" s="1"/>
  <c r="C69" i="11"/>
  <c r="F106" i="11"/>
  <c r="F105" i="11" s="1"/>
  <c r="F59" i="11" s="1"/>
  <c r="F50" i="51" s="1"/>
  <c r="B45" i="11"/>
  <c r="F74" i="11"/>
  <c r="G74" i="11"/>
  <c r="D45" i="11"/>
  <c r="B69" i="11"/>
  <c r="D74" i="11"/>
  <c r="E74" i="11"/>
  <c r="E69" i="11"/>
  <c r="H106" i="11"/>
  <c r="H105" i="11" s="1"/>
  <c r="H59" i="11" s="1"/>
  <c r="F69" i="11"/>
  <c r="H74" i="11"/>
  <c r="G69" i="11"/>
  <c r="E45" i="11"/>
  <c r="H45" i="11"/>
  <c r="C74" i="11"/>
  <c r="G106" i="11"/>
  <c r="G105" i="11" s="1"/>
  <c r="G59" i="11" s="1"/>
  <c r="G50" i="51" s="1"/>
  <c r="C45" i="11"/>
  <c r="H69" i="11"/>
  <c r="D106" i="11"/>
  <c r="D105" i="11" s="1"/>
  <c r="D59" i="11" s="1"/>
  <c r="D69" i="11"/>
  <c r="F45" i="11"/>
  <c r="B106" i="11"/>
  <c r="B105" i="11" s="1"/>
  <c r="B59" i="11" s="1"/>
  <c r="B50" i="51" s="1"/>
  <c r="I36" i="51"/>
  <c r="G45" i="11"/>
  <c r="C106" i="11"/>
  <c r="C105" i="11" s="1"/>
  <c r="C59" i="11" s="1"/>
  <c r="B74" i="11"/>
  <c r="C50" i="51"/>
  <c r="J40" i="11"/>
  <c r="N11" i="18"/>
  <c r="E61" i="54"/>
  <c r="E61" i="53"/>
  <c r="E50" i="51" l="1"/>
  <c r="G44" i="50"/>
  <c r="C49" i="50"/>
  <c r="J36" i="51"/>
  <c r="D44" i="50"/>
  <c r="H49" i="50"/>
  <c r="E49" i="50"/>
  <c r="G49" i="50"/>
  <c r="C44" i="50"/>
  <c r="D50" i="51"/>
  <c r="E44" i="50"/>
  <c r="H44" i="50"/>
  <c r="B44" i="50"/>
  <c r="B49" i="50"/>
  <c r="H50" i="51"/>
  <c r="K40" i="11"/>
  <c r="F44" i="50"/>
  <c r="D49" i="50"/>
  <c r="F49" i="50"/>
  <c r="G61" i="54"/>
  <c r="E79" i="54"/>
  <c r="G79" i="54" s="1"/>
  <c r="G61" i="53"/>
  <c r="E79" i="53"/>
  <c r="G79" i="53" s="1"/>
  <c r="Q44" i="17"/>
  <c r="Q11" i="17" s="1"/>
  <c r="Q45" i="17"/>
  <c r="Q12" i="17" s="1"/>
  <c r="Q46" i="17"/>
  <c r="Q13" i="17" s="1"/>
  <c r="Q47" i="17"/>
  <c r="Q14" i="17" s="1"/>
  <c r="Q48" i="17"/>
  <c r="Q15" i="17" s="1"/>
  <c r="Q49" i="17"/>
  <c r="Q16" i="17" s="1"/>
  <c r="Q50" i="17"/>
  <c r="Q17" i="17" s="1"/>
  <c r="Q51" i="17"/>
  <c r="Q18" i="17" s="1"/>
  <c r="Q52" i="17"/>
  <c r="Q19" i="17" s="1"/>
  <c r="Q53" i="17"/>
  <c r="Q20" i="17" s="1"/>
  <c r="V48" i="9" s="1"/>
  <c r="P53" i="17"/>
  <c r="P20" i="17" s="1"/>
  <c r="U48" i="9" s="1"/>
  <c r="P52" i="17"/>
  <c r="P19" i="17" s="1"/>
  <c r="H62" i="11" s="1"/>
  <c r="P51" i="17"/>
  <c r="P18" i="17" s="1"/>
  <c r="G62" i="11" s="1"/>
  <c r="P50" i="17"/>
  <c r="P17" i="17" s="1"/>
  <c r="F62" i="11" s="1"/>
  <c r="P49" i="17"/>
  <c r="P16" i="17" s="1"/>
  <c r="P30" i="17" s="1"/>
  <c r="P48" i="17"/>
  <c r="P15" i="17" s="1"/>
  <c r="P47" i="17"/>
  <c r="P14" i="17" s="1"/>
  <c r="P46" i="17"/>
  <c r="P13" i="17" s="1"/>
  <c r="P45" i="17"/>
  <c r="P12" i="17" s="1"/>
  <c r="P44" i="17"/>
  <c r="P11" i="17" s="1"/>
  <c r="C44" i="17"/>
  <c r="D44" i="17"/>
  <c r="E44" i="17"/>
  <c r="F44" i="17"/>
  <c r="G44" i="17"/>
  <c r="H44" i="17"/>
  <c r="I44" i="17"/>
  <c r="J44" i="17"/>
  <c r="K44" i="17"/>
  <c r="L44" i="17"/>
  <c r="M44" i="17"/>
  <c r="C45" i="17"/>
  <c r="D45" i="17"/>
  <c r="E45" i="17"/>
  <c r="F45" i="17"/>
  <c r="G45" i="17"/>
  <c r="H45" i="17"/>
  <c r="I45" i="17"/>
  <c r="J45" i="17"/>
  <c r="K45" i="17"/>
  <c r="L45" i="17"/>
  <c r="M45" i="17"/>
  <c r="E46" i="17"/>
  <c r="F46" i="17"/>
  <c r="G46" i="17"/>
  <c r="H46" i="17"/>
  <c r="I46" i="17"/>
  <c r="J46" i="17"/>
  <c r="K46" i="17"/>
  <c r="L46" i="17"/>
  <c r="M46" i="17"/>
  <c r="E47" i="17"/>
  <c r="F47" i="17"/>
  <c r="J47" i="17"/>
  <c r="K47" i="17"/>
  <c r="L47" i="17"/>
  <c r="M47" i="17"/>
  <c r="F48" i="17"/>
  <c r="L48" i="17"/>
  <c r="M48" i="17"/>
  <c r="F49" i="17"/>
  <c r="L49" i="17"/>
  <c r="M49" i="17"/>
  <c r="F50" i="17"/>
  <c r="L50" i="17"/>
  <c r="M50" i="17"/>
  <c r="F51" i="17"/>
  <c r="L51" i="17"/>
  <c r="M51" i="17"/>
  <c r="F52" i="17"/>
  <c r="L52" i="17"/>
  <c r="M52" i="17"/>
  <c r="F53" i="17"/>
  <c r="F20" i="17" s="1"/>
  <c r="L53" i="17"/>
  <c r="L20" i="17" s="1"/>
  <c r="M53" i="17"/>
  <c r="M20" i="17" s="1"/>
  <c r="K48" i="17"/>
  <c r="K49" i="17"/>
  <c r="K50" i="17"/>
  <c r="K51" i="17"/>
  <c r="K52" i="17"/>
  <c r="K53" i="17"/>
  <c r="K20" i="17" s="1"/>
  <c r="J48" i="17"/>
  <c r="J49" i="17"/>
  <c r="J50" i="17"/>
  <c r="J51" i="17"/>
  <c r="J52" i="17"/>
  <c r="J53" i="17"/>
  <c r="J20" i="17" s="1"/>
  <c r="I52" i="17"/>
  <c r="I51" i="17"/>
  <c r="I50" i="17"/>
  <c r="P2" i="17"/>
  <c r="Q2" i="17"/>
  <c r="N1" i="18" s="1"/>
  <c r="C2" i="17"/>
  <c r="D2" i="17"/>
  <c r="E2" i="17"/>
  <c r="F2" i="17"/>
  <c r="G2" i="17"/>
  <c r="H2" i="17"/>
  <c r="I2" i="17"/>
  <c r="J2" i="17"/>
  <c r="G1" i="18" s="1"/>
  <c r="K2" i="17"/>
  <c r="L2" i="17"/>
  <c r="I1" i="18" s="1"/>
  <c r="M2" i="17"/>
  <c r="R12" i="9"/>
  <c r="H78" i="11" s="1"/>
  <c r="Q12" i="9"/>
  <c r="S6" i="9"/>
  <c r="S7" i="9"/>
  <c r="S8" i="9"/>
  <c r="H53" i="51" l="1"/>
  <c r="G53" i="51"/>
  <c r="P28" i="17"/>
  <c r="P32" i="17"/>
  <c r="K36" i="51"/>
  <c r="F53" i="51"/>
  <c r="P29" i="17"/>
  <c r="Q48" i="9"/>
  <c r="L48" i="9"/>
  <c r="R48" i="9"/>
  <c r="P48" i="9"/>
  <c r="S48" i="9"/>
  <c r="B62" i="11"/>
  <c r="U41" i="9"/>
  <c r="P33" i="17"/>
  <c r="C62" i="11"/>
  <c r="U42" i="9"/>
  <c r="E62" i="11"/>
  <c r="D62" i="11"/>
  <c r="U43" i="9"/>
  <c r="P27" i="17"/>
  <c r="P31" i="17"/>
  <c r="M11" i="17"/>
  <c r="I11" i="17"/>
  <c r="M13" i="17"/>
  <c r="B57" i="11" s="1"/>
  <c r="B48" i="51" s="1"/>
  <c r="E11" i="17"/>
  <c r="K12" i="17"/>
  <c r="G12" i="17"/>
  <c r="J11" i="17"/>
  <c r="F11" i="17"/>
  <c r="E13" i="17"/>
  <c r="F12" i="17"/>
  <c r="L13" i="17"/>
  <c r="G39" i="11"/>
  <c r="C39" i="11"/>
  <c r="J12" i="17"/>
  <c r="L12" i="17"/>
  <c r="H12" i="17"/>
  <c r="K11" i="17"/>
  <c r="G11" i="17"/>
  <c r="C11" i="17"/>
  <c r="K13" i="17"/>
  <c r="J13" i="17"/>
  <c r="B67" i="11" s="1"/>
  <c r="F13" i="17"/>
  <c r="M12" i="17"/>
  <c r="I12" i="17"/>
  <c r="E12" i="17"/>
  <c r="L11" i="17"/>
  <c r="H11" i="17"/>
  <c r="D11" i="17"/>
  <c r="H53" i="50"/>
  <c r="L19" i="17"/>
  <c r="M16" i="17"/>
  <c r="E57" i="11" s="1"/>
  <c r="H41" i="18"/>
  <c r="H73" i="11"/>
  <c r="I17" i="17"/>
  <c r="F19" i="17"/>
  <c r="F21" i="17" s="1"/>
  <c r="F22" i="17" s="1"/>
  <c r="M17" i="17"/>
  <c r="L16" i="17"/>
  <c r="M18" i="17"/>
  <c r="L17" i="17"/>
  <c r="L14" i="17"/>
  <c r="L15" i="17"/>
  <c r="J19" i="17"/>
  <c r="H67" i="11" s="1"/>
  <c r="K17" i="17"/>
  <c r="F15" i="17"/>
  <c r="F14" i="17"/>
  <c r="R47" i="9"/>
  <c r="J17" i="17"/>
  <c r="F67" i="11" s="1"/>
  <c r="K19" i="17"/>
  <c r="M19" i="17"/>
  <c r="M34" i="17" s="1"/>
  <c r="L18" i="17"/>
  <c r="M15" i="17"/>
  <c r="D57" i="11" s="1"/>
  <c r="M14" i="17"/>
  <c r="J15" i="17"/>
  <c r="D67" i="11" s="1"/>
  <c r="J14" i="17"/>
  <c r="C67" i="11" s="1"/>
  <c r="I18" i="17"/>
  <c r="J18" i="17"/>
  <c r="G67" i="11" s="1"/>
  <c r="K16" i="17"/>
  <c r="K14" i="17"/>
  <c r="K15" i="17"/>
  <c r="F17" i="17"/>
  <c r="F16" i="17"/>
  <c r="J16" i="17"/>
  <c r="E67" i="11" s="1"/>
  <c r="K18" i="17"/>
  <c r="F18" i="17"/>
  <c r="P38" i="17" l="1"/>
  <c r="P36" i="17" s="1"/>
  <c r="G72" i="11"/>
  <c r="F42" i="50"/>
  <c r="F77" i="11"/>
  <c r="E48" i="51"/>
  <c r="B53" i="51"/>
  <c r="E72" i="11"/>
  <c r="H48" i="50"/>
  <c r="G42" i="50"/>
  <c r="C77" i="11"/>
  <c r="E42" i="50"/>
  <c r="G35" i="51"/>
  <c r="E53" i="51"/>
  <c r="I8" i="18"/>
  <c r="D42" i="50"/>
  <c r="E77" i="11"/>
  <c r="C35" i="51"/>
  <c r="D77" i="11"/>
  <c r="H72" i="11"/>
  <c r="C42" i="50"/>
  <c r="H77" i="11"/>
  <c r="B42" i="50"/>
  <c r="D53" i="51"/>
  <c r="B72" i="11"/>
  <c r="D72" i="11"/>
  <c r="D48" i="51"/>
  <c r="F72" i="11"/>
  <c r="B77" i="11"/>
  <c r="C72" i="11"/>
  <c r="G77" i="11"/>
  <c r="H42" i="50"/>
  <c r="C53" i="51"/>
  <c r="M27" i="17"/>
  <c r="R59" i="9"/>
  <c r="J34" i="17"/>
  <c r="F34" i="17"/>
  <c r="S41" i="9"/>
  <c r="L34" i="17"/>
  <c r="K34" i="17"/>
  <c r="P21" i="17"/>
  <c r="I62" i="11"/>
  <c r="B39" i="11"/>
  <c r="B35" i="51" s="1"/>
  <c r="Q27" i="17"/>
  <c r="D39" i="11"/>
  <c r="Q29" i="17"/>
  <c r="Q28" i="17"/>
  <c r="E39" i="11"/>
  <c r="Q30" i="17"/>
  <c r="F39" i="11"/>
  <c r="Q31" i="17"/>
  <c r="H39" i="11"/>
  <c r="Q33" i="17"/>
  <c r="Q32" i="17"/>
  <c r="M28" i="17"/>
  <c r="C57" i="11"/>
  <c r="M31" i="17"/>
  <c r="F57" i="11"/>
  <c r="M33" i="17"/>
  <c r="H57" i="11"/>
  <c r="S43" i="9"/>
  <c r="M32" i="17"/>
  <c r="G57" i="11"/>
  <c r="S42" i="9"/>
  <c r="M29" i="17"/>
  <c r="M30" i="17"/>
  <c r="R49" i="9"/>
  <c r="M38" i="17" l="1"/>
  <c r="H52" i="50"/>
  <c r="G52" i="50"/>
  <c r="F47" i="50"/>
  <c r="B47" i="50"/>
  <c r="E52" i="50"/>
  <c r="F35" i="51"/>
  <c r="C52" i="50"/>
  <c r="D35" i="51"/>
  <c r="E47" i="50"/>
  <c r="I53" i="51"/>
  <c r="B52" i="50"/>
  <c r="E35" i="51"/>
  <c r="G47" i="50"/>
  <c r="C47" i="50"/>
  <c r="H47" i="50"/>
  <c r="F52" i="50"/>
  <c r="H35" i="51"/>
  <c r="D47" i="50"/>
  <c r="D52" i="50"/>
  <c r="H79" i="11"/>
  <c r="G48" i="51"/>
  <c r="F48" i="51"/>
  <c r="H48" i="51"/>
  <c r="C48" i="51"/>
  <c r="Q38" i="17"/>
  <c r="Q36" i="17" s="1"/>
  <c r="P22" i="17"/>
  <c r="K62" i="11" s="1"/>
  <c r="J62" i="11"/>
  <c r="S53" i="9"/>
  <c r="S54" i="9"/>
  <c r="R50" i="9"/>
  <c r="M36" i="17" l="1"/>
  <c r="I57" i="11" s="1"/>
  <c r="H54" i="50"/>
  <c r="J53" i="51"/>
  <c r="K53" i="51"/>
  <c r="I48" i="51"/>
  <c r="Q21" i="17"/>
  <c r="M21" i="17"/>
  <c r="M22" i="17" s="1"/>
  <c r="K57" i="11" s="1"/>
  <c r="K48" i="51" l="1"/>
  <c r="I39" i="11"/>
  <c r="Q22" i="17"/>
  <c r="K39" i="11" s="1"/>
  <c r="J39" i="11"/>
  <c r="J57" i="11"/>
  <c r="S12" i="9"/>
  <c r="S11" i="9"/>
  <c r="S10" i="9"/>
  <c r="S9" i="9"/>
  <c r="U12" i="9"/>
  <c r="I104" i="11" s="1"/>
  <c r="U11" i="9"/>
  <c r="U10" i="9"/>
  <c r="U9" i="9"/>
  <c r="J35" i="51" l="1"/>
  <c r="K35" i="51"/>
  <c r="I35" i="51"/>
  <c r="J48" i="51"/>
  <c r="U44" i="9"/>
  <c r="E63" i="11"/>
  <c r="U45" i="9"/>
  <c r="F63" i="11"/>
  <c r="U46" i="9"/>
  <c r="G63" i="11"/>
  <c r="U47" i="9"/>
  <c r="H63" i="11"/>
  <c r="J38" i="18"/>
  <c r="J39" i="18"/>
  <c r="J40" i="18"/>
  <c r="J41" i="18"/>
  <c r="S45" i="9"/>
  <c r="S44" i="9"/>
  <c r="S55" i="9" s="1"/>
  <c r="S46" i="9"/>
  <c r="S47" i="9"/>
  <c r="S59" i="9" s="1"/>
  <c r="G54" i="51" l="1"/>
  <c r="E54" i="51"/>
  <c r="F54" i="51"/>
  <c r="J46" i="18"/>
  <c r="H54" i="51"/>
  <c r="H11" i="11"/>
  <c r="S58" i="9"/>
  <c r="U56" i="9"/>
  <c r="G11" i="11"/>
  <c r="E11" i="11"/>
  <c r="F11" i="11"/>
  <c r="U58" i="9"/>
  <c r="U57" i="9"/>
  <c r="S57" i="9"/>
  <c r="S56" i="9"/>
  <c r="S63" i="9" s="1"/>
  <c r="U49" i="9"/>
  <c r="U63" i="9" l="1"/>
  <c r="U50" i="9"/>
  <c r="U67" i="9" s="1"/>
  <c r="U66" i="9"/>
  <c r="J63" i="11" l="1"/>
  <c r="S93" i="9"/>
  <c r="K63" i="11"/>
  <c r="Q6" i="9"/>
  <c r="B73" i="11" s="1"/>
  <c r="Q7" i="9"/>
  <c r="Q8" i="9"/>
  <c r="B48" i="50" l="1"/>
  <c r="K54" i="51"/>
  <c r="J54" i="51"/>
  <c r="C14" i="54"/>
  <c r="C32" i="54" s="1"/>
  <c r="E32" i="54" s="1"/>
  <c r="J11" i="11"/>
  <c r="K11" i="11"/>
  <c r="C14" i="53"/>
  <c r="C32" i="53" s="1"/>
  <c r="E32" i="53" s="1"/>
  <c r="H36" i="18"/>
  <c r="C73" i="11"/>
  <c r="H37" i="18"/>
  <c r="D73" i="11"/>
  <c r="Q41" i="9"/>
  <c r="H35" i="18"/>
  <c r="Q9" i="9"/>
  <c r="Q10" i="9"/>
  <c r="Q11" i="9"/>
  <c r="D48" i="50" l="1"/>
  <c r="I4" i="18"/>
  <c r="I3" i="18"/>
  <c r="C48" i="50"/>
  <c r="I2" i="18"/>
  <c r="C49" i="54"/>
  <c r="E49" i="54" s="1"/>
  <c r="G49" i="54" s="1"/>
  <c r="H40" i="18"/>
  <c r="G73" i="11"/>
  <c r="G32" i="54"/>
  <c r="H39" i="18"/>
  <c r="F73" i="11"/>
  <c r="G32" i="53"/>
  <c r="H38" i="18"/>
  <c r="E73" i="11"/>
  <c r="C49" i="53"/>
  <c r="E49" i="53" s="1"/>
  <c r="G49" i="53" s="1"/>
  <c r="H52" i="17"/>
  <c r="G52" i="17"/>
  <c r="I7" i="18" l="1"/>
  <c r="E48" i="50"/>
  <c r="C79" i="11"/>
  <c r="G48" i="50"/>
  <c r="I5" i="18"/>
  <c r="F48" i="50"/>
  <c r="D79" i="11"/>
  <c r="I6" i="18"/>
  <c r="B79" i="11"/>
  <c r="H46" i="18"/>
  <c r="E102" i="54"/>
  <c r="E119" i="54" s="1"/>
  <c r="G119" i="54" s="1"/>
  <c r="E102" i="53"/>
  <c r="I49" i="17"/>
  <c r="I16" i="17" s="1"/>
  <c r="C54" i="50" l="1"/>
  <c r="B54" i="50"/>
  <c r="E79" i="11"/>
  <c r="D54" i="50"/>
  <c r="F79" i="11"/>
  <c r="G79" i="11"/>
  <c r="G102" i="54"/>
  <c r="E119" i="53"/>
  <c r="G119" i="53" s="1"/>
  <c r="G102" i="53"/>
  <c r="G53" i="17"/>
  <c r="E54" i="50" l="1"/>
  <c r="F54" i="50"/>
  <c r="G54" i="50"/>
  <c r="G19" i="17"/>
  <c r="H43" i="11" s="1"/>
  <c r="G20" i="17"/>
  <c r="I53" i="17"/>
  <c r="H53" i="17"/>
  <c r="G34" i="17" l="1"/>
  <c r="M48" i="9"/>
  <c r="H19" i="17"/>
  <c r="H20" i="17"/>
  <c r="I19" i="17"/>
  <c r="I20" i="17"/>
  <c r="R11" i="9"/>
  <c r="H34" i="17" l="1"/>
  <c r="N48" i="9"/>
  <c r="I34" i="17"/>
  <c r="O48" i="9"/>
  <c r="R46" i="9"/>
  <c r="R58" i="9" s="1"/>
  <c r="G78" i="11"/>
  <c r="R10" i="9"/>
  <c r="G53" i="50" l="1"/>
  <c r="R45" i="9"/>
  <c r="R57" i="9" s="1"/>
  <c r="F78" i="11"/>
  <c r="F53" i="50" l="1"/>
  <c r="R9" i="9"/>
  <c r="R44" i="9" l="1"/>
  <c r="R56" i="9" s="1"/>
  <c r="E78" i="11"/>
  <c r="R8" i="9"/>
  <c r="E53" i="50" l="1"/>
  <c r="R43" i="9"/>
  <c r="R55" i="9" s="1"/>
  <c r="D78" i="11"/>
  <c r="R7" i="9"/>
  <c r="D53" i="50" l="1"/>
  <c r="R42" i="9"/>
  <c r="R54" i="9" s="1"/>
  <c r="C78" i="11"/>
  <c r="R6" i="9"/>
  <c r="C53" i="50" l="1"/>
  <c r="R41" i="9"/>
  <c r="R53" i="9" s="1"/>
  <c r="R63" i="9" s="1"/>
  <c r="B78" i="11"/>
  <c r="H48" i="17"/>
  <c r="H50" i="17"/>
  <c r="H51" i="17"/>
  <c r="H18" i="17" s="1"/>
  <c r="H49" i="17"/>
  <c r="G49" i="17"/>
  <c r="H16" i="17" l="1"/>
  <c r="B53" i="50"/>
  <c r="H17" i="17"/>
  <c r="H15" i="17"/>
  <c r="I48" i="17"/>
  <c r="I15" i="17" s="1"/>
  <c r="I47" i="17"/>
  <c r="H47" i="17"/>
  <c r="G51" i="17"/>
  <c r="G18" i="17" s="1"/>
  <c r="G43" i="11" s="1"/>
  <c r="G50" i="17"/>
  <c r="G48" i="17"/>
  <c r="G15" i="17" s="1"/>
  <c r="D43" i="11" s="1"/>
  <c r="G47" i="17"/>
  <c r="G17" i="17" l="1"/>
  <c r="F43" i="11" s="1"/>
  <c r="G14" i="17"/>
  <c r="C43" i="11" s="1"/>
  <c r="G13" i="17"/>
  <c r="B43" i="11" s="1"/>
  <c r="H14" i="17"/>
  <c r="H13" i="17"/>
  <c r="G16" i="17"/>
  <c r="E43" i="11" s="1"/>
  <c r="I14" i="17"/>
  <c r="I13" i="17"/>
  <c r="E152" i="42"/>
  <c r="E153" i="42"/>
  <c r="E154" i="42"/>
  <c r="E155" i="42"/>
  <c r="E156" i="42"/>
  <c r="E157" i="42"/>
  <c r="E158" i="42"/>
  <c r="E159" i="42"/>
  <c r="E160" i="42"/>
  <c r="E53" i="17"/>
  <c r="E20" i="17" s="1"/>
  <c r="D53" i="17"/>
  <c r="D20" i="17" s="1"/>
  <c r="C53" i="17"/>
  <c r="C20" i="17" s="1"/>
  <c r="E52" i="17"/>
  <c r="D52" i="17"/>
  <c r="C52" i="17"/>
  <c r="E51" i="17"/>
  <c r="D51" i="17"/>
  <c r="C51" i="17"/>
  <c r="E50" i="17"/>
  <c r="D50" i="17"/>
  <c r="C50" i="17"/>
  <c r="E49" i="17"/>
  <c r="D49" i="17"/>
  <c r="C49" i="17"/>
  <c r="E48" i="17"/>
  <c r="D48" i="17"/>
  <c r="C48" i="17"/>
  <c r="D47" i="17"/>
  <c r="C47" i="17"/>
  <c r="I48" i="9" l="1"/>
  <c r="J48" i="9"/>
  <c r="K48" i="9"/>
  <c r="C15" i="17"/>
  <c r="D16" i="17"/>
  <c r="E17" i="17"/>
  <c r="C19" i="17"/>
  <c r="C34" i="17" s="1"/>
  <c r="E165" i="42"/>
  <c r="C17" i="17"/>
  <c r="D18" i="17"/>
  <c r="E19" i="17"/>
  <c r="E34" i="17" s="1"/>
  <c r="D15" i="17"/>
  <c r="E16" i="17"/>
  <c r="C18" i="17"/>
  <c r="D19" i="17"/>
  <c r="D34" i="17" s="1"/>
  <c r="C14" i="17"/>
  <c r="E15" i="17"/>
  <c r="E14" i="17"/>
  <c r="D14" i="17"/>
  <c r="C16" i="17"/>
  <c r="C30" i="17" s="1"/>
  <c r="D17" i="17"/>
  <c r="E18" i="17"/>
  <c r="C31" i="17" l="1"/>
  <c r="C32" i="17"/>
  <c r="C29" i="17"/>
  <c r="C33" i="17"/>
  <c r="I64" i="11"/>
  <c r="J104" i="11"/>
  <c r="J64" i="11" s="1"/>
  <c r="J55" i="51" l="1"/>
  <c r="I55" i="51"/>
  <c r="D14" i="53"/>
  <c r="E67" i="53" s="1"/>
  <c r="E85" i="53" s="1"/>
  <c r="G85" i="53" s="1"/>
  <c r="K104" i="11"/>
  <c r="G67" i="53" l="1"/>
  <c r="K64" i="11"/>
  <c r="K55" i="51" l="1"/>
  <c r="D14" i="54"/>
  <c r="E67" i="54" s="1"/>
  <c r="G67" i="54" s="1"/>
  <c r="E85" i="54" l="1"/>
  <c r="G85" i="54" s="1"/>
  <c r="B8" i="51" l="1"/>
  <c r="F8" i="51"/>
  <c r="C8" i="51"/>
  <c r="G8" i="51"/>
  <c r="D8" i="51"/>
  <c r="E8" i="51"/>
  <c r="H8" i="51"/>
  <c r="U39" i="32" l="1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U28" i="32"/>
  <c r="U41" i="32" s="1"/>
  <c r="T28" i="32"/>
  <c r="T41" i="32" s="1"/>
  <c r="S28" i="32"/>
  <c r="R28" i="32"/>
  <c r="R41" i="32" s="1"/>
  <c r="Q28" i="32"/>
  <c r="P28" i="32"/>
  <c r="O28" i="32"/>
  <c r="N28" i="32"/>
  <c r="M28" i="32"/>
  <c r="M41" i="32" s="1"/>
  <c r="L28" i="32"/>
  <c r="L41" i="32" s="1"/>
  <c r="K28" i="32"/>
  <c r="J28" i="32"/>
  <c r="J41" i="32" s="1"/>
  <c r="I28" i="32"/>
  <c r="H28" i="32"/>
  <c r="G28" i="32"/>
  <c r="F28" i="32"/>
  <c r="E28" i="32"/>
  <c r="E41" i="32" s="1"/>
  <c r="D28" i="32"/>
  <c r="D41" i="32" s="1"/>
  <c r="C28" i="32"/>
  <c r="B28" i="32"/>
  <c r="B41" i="32" s="1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U8" i="32"/>
  <c r="U21" i="32" s="1"/>
  <c r="T8" i="32"/>
  <c r="T21" i="32" s="1"/>
  <c r="S8" i="32"/>
  <c r="R8" i="32"/>
  <c r="R21" i="32" s="1"/>
  <c r="Q8" i="32"/>
  <c r="P8" i="32"/>
  <c r="O8" i="32"/>
  <c r="N8" i="32"/>
  <c r="M8" i="32"/>
  <c r="M21" i="32" s="1"/>
  <c r="L8" i="32"/>
  <c r="L21" i="32" s="1"/>
  <c r="K8" i="32"/>
  <c r="J8" i="32"/>
  <c r="J21" i="32" s="1"/>
  <c r="I8" i="32"/>
  <c r="H8" i="32"/>
  <c r="G8" i="32"/>
  <c r="F8" i="32"/>
  <c r="E8" i="32"/>
  <c r="E21" i="32" s="1"/>
  <c r="D8" i="32"/>
  <c r="D21" i="32" s="1"/>
  <c r="C8" i="32"/>
  <c r="B8" i="32"/>
  <c r="B21" i="32" s="1"/>
  <c r="U5" i="32"/>
  <c r="P5" i="32"/>
  <c r="O5" i="32"/>
  <c r="N5" i="32"/>
  <c r="M5" i="32"/>
  <c r="L5" i="32"/>
  <c r="K5" i="32"/>
  <c r="J5" i="32"/>
  <c r="Y39" i="32"/>
  <c r="Y19" i="32"/>
  <c r="Y38" i="32"/>
  <c r="Y18" i="32"/>
  <c r="Y37" i="32"/>
  <c r="Y17" i="32"/>
  <c r="Y36" i="32"/>
  <c r="Y16" i="32"/>
  <c r="Y35" i="32"/>
  <c r="Y15" i="32"/>
  <c r="Y34" i="32"/>
  <c r="Y14" i="32"/>
  <c r="Y33" i="32"/>
  <c r="Y13" i="32"/>
  <c r="Y32" i="32"/>
  <c r="Y12" i="32"/>
  <c r="Y31" i="32"/>
  <c r="Y11" i="32"/>
  <c r="Y30" i="32"/>
  <c r="Y10" i="32"/>
  <c r="Y29" i="32"/>
  <c r="Y9" i="32"/>
  <c r="Y28" i="32"/>
  <c r="Y8" i="32"/>
  <c r="X39" i="32"/>
  <c r="X19" i="32"/>
  <c r="X38" i="32"/>
  <c r="X18" i="32"/>
  <c r="X37" i="32"/>
  <c r="X17" i="32"/>
  <c r="X36" i="32"/>
  <c r="X16" i="32"/>
  <c r="X35" i="32"/>
  <c r="X15" i="32"/>
  <c r="X34" i="32"/>
  <c r="X14" i="32"/>
  <c r="X33" i="32"/>
  <c r="X13" i="32"/>
  <c r="X32" i="32"/>
  <c r="X12" i="32"/>
  <c r="X31" i="32"/>
  <c r="X11" i="32"/>
  <c r="X30" i="32"/>
  <c r="X10" i="32"/>
  <c r="X29" i="32"/>
  <c r="X9" i="32"/>
  <c r="X28" i="32"/>
  <c r="X8" i="32"/>
  <c r="W39" i="32"/>
  <c r="W19" i="32"/>
  <c r="W38" i="32"/>
  <c r="W18" i="32"/>
  <c r="W37" i="32"/>
  <c r="W17" i="32"/>
  <c r="W36" i="32"/>
  <c r="W16" i="32"/>
  <c r="W35" i="32"/>
  <c r="W15" i="32"/>
  <c r="W34" i="32"/>
  <c r="W14" i="32"/>
  <c r="W33" i="32"/>
  <c r="W13" i="32"/>
  <c r="W32" i="32"/>
  <c r="W12" i="32"/>
  <c r="W31" i="32"/>
  <c r="W11" i="32"/>
  <c r="W30" i="32"/>
  <c r="W10" i="32"/>
  <c r="W29" i="32"/>
  <c r="W9" i="32"/>
  <c r="W28" i="32"/>
  <c r="W8" i="32"/>
  <c r="V39" i="32"/>
  <c r="V19" i="32"/>
  <c r="V38" i="32"/>
  <c r="V18" i="32"/>
  <c r="V37" i="32"/>
  <c r="V17" i="32"/>
  <c r="V36" i="32"/>
  <c r="V16" i="32"/>
  <c r="V35" i="32"/>
  <c r="V15" i="32"/>
  <c r="V34" i="32"/>
  <c r="V14" i="32"/>
  <c r="V33" i="32"/>
  <c r="V13" i="32"/>
  <c r="V32" i="32"/>
  <c r="V12" i="32"/>
  <c r="V31" i="32"/>
  <c r="V11" i="32"/>
  <c r="V30" i="32"/>
  <c r="V10" i="32"/>
  <c r="V29" i="32"/>
  <c r="V9" i="32"/>
  <c r="V28" i="32"/>
  <c r="V8" i="32"/>
  <c r="E266" i="27"/>
  <c r="D266" i="27"/>
  <c r="E254" i="27"/>
  <c r="D254" i="27"/>
  <c r="E242" i="27"/>
  <c r="D242" i="27"/>
  <c r="E230" i="27"/>
  <c r="D230" i="27"/>
  <c r="E218" i="27"/>
  <c r="D218" i="27"/>
  <c r="E206" i="27"/>
  <c r="D206" i="27"/>
  <c r="E194" i="27"/>
  <c r="D194" i="27"/>
  <c r="E182" i="27"/>
  <c r="D182" i="27"/>
  <c r="E170" i="27"/>
  <c r="D170" i="27"/>
  <c r="E158" i="27"/>
  <c r="D158" i="27"/>
  <c r="E146" i="27"/>
  <c r="D146" i="27"/>
  <c r="E134" i="27"/>
  <c r="D134" i="27"/>
  <c r="E122" i="27"/>
  <c r="D122" i="27"/>
  <c r="E110" i="27"/>
  <c r="D110" i="27"/>
  <c r="E98" i="27"/>
  <c r="D98" i="27"/>
  <c r="E86" i="27"/>
  <c r="D86" i="27"/>
  <c r="E74" i="27"/>
  <c r="D74" i="27"/>
  <c r="E62" i="27"/>
  <c r="D62" i="27"/>
  <c r="E50" i="27"/>
  <c r="D50" i="27"/>
  <c r="E38" i="27"/>
  <c r="D38" i="27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O15" i="41"/>
  <c r="D12" i="41"/>
  <c r="D11" i="41"/>
  <c r="D10" i="41"/>
  <c r="D9" i="41"/>
  <c r="D8" i="41"/>
  <c r="C8" i="41"/>
  <c r="D7" i="41"/>
  <c r="C7" i="41"/>
  <c r="D6" i="41"/>
  <c r="C6" i="41"/>
  <c r="D5" i="41"/>
  <c r="C5" i="41"/>
  <c r="D4" i="41"/>
  <c r="C4" i="41"/>
  <c r="B4" i="18"/>
  <c r="B3" i="18"/>
  <c r="B2" i="18"/>
  <c r="B8" i="18"/>
  <c r="B49" i="17"/>
  <c r="N49" i="17" s="1"/>
  <c r="U49" i="17" s="1"/>
  <c r="B48" i="17"/>
  <c r="N48" i="17" s="1"/>
  <c r="U48" i="17" s="1"/>
  <c r="B47" i="17"/>
  <c r="N47" i="17" s="1"/>
  <c r="U47" i="17" s="1"/>
  <c r="B51" i="17"/>
  <c r="N51" i="17" s="1"/>
  <c r="U51" i="17" s="1"/>
  <c r="D59" i="17"/>
  <c r="D46" i="17" s="1"/>
  <c r="C59" i="17"/>
  <c r="C46" i="17" s="1"/>
  <c r="B46" i="17"/>
  <c r="B45" i="17"/>
  <c r="B44" i="17"/>
  <c r="J10" i="17"/>
  <c r="E10" i="17"/>
  <c r="C10" i="17"/>
  <c r="L33" i="17"/>
  <c r="G33" i="17"/>
  <c r="L32" i="17"/>
  <c r="G32" i="17"/>
  <c r="L31" i="17"/>
  <c r="G31" i="17"/>
  <c r="L30" i="17"/>
  <c r="G30" i="17"/>
  <c r="L29" i="17"/>
  <c r="G29" i="17"/>
  <c r="L28" i="17"/>
  <c r="G28" i="17"/>
  <c r="L27" i="17"/>
  <c r="G27" i="17"/>
  <c r="G26" i="17"/>
  <c r="M10" i="17"/>
  <c r="L10" i="17"/>
  <c r="D10" i="17"/>
  <c r="B10" i="17"/>
  <c r="M9" i="17"/>
  <c r="L9" i="17"/>
  <c r="J9" i="17"/>
  <c r="H9" i="17"/>
  <c r="G9" i="17"/>
  <c r="F9" i="17"/>
  <c r="E9" i="17"/>
  <c r="D9" i="17"/>
  <c r="C9" i="17"/>
  <c r="B9" i="17"/>
  <c r="M8" i="17"/>
  <c r="L8" i="17"/>
  <c r="J8" i="17"/>
  <c r="H8" i="17"/>
  <c r="G8" i="17"/>
  <c r="F8" i="17"/>
  <c r="E8" i="17"/>
  <c r="D8" i="17"/>
  <c r="C8" i="17"/>
  <c r="B8" i="17"/>
  <c r="M7" i="17"/>
  <c r="L7" i="17"/>
  <c r="J7" i="17"/>
  <c r="H7" i="17"/>
  <c r="G7" i="17"/>
  <c r="F7" i="17"/>
  <c r="E7" i="17"/>
  <c r="D7" i="17"/>
  <c r="C7" i="17"/>
  <c r="B7" i="17"/>
  <c r="M6" i="17"/>
  <c r="L6" i="17"/>
  <c r="J6" i="17"/>
  <c r="G6" i="17"/>
  <c r="F6" i="17"/>
  <c r="E6" i="17"/>
  <c r="D6" i="17"/>
  <c r="C6" i="17"/>
  <c r="B6" i="17"/>
  <c r="M5" i="17"/>
  <c r="L5" i="17"/>
  <c r="J5" i="17"/>
  <c r="H5" i="17"/>
  <c r="G5" i="17"/>
  <c r="F5" i="17"/>
  <c r="E5" i="17"/>
  <c r="D5" i="17"/>
  <c r="C5" i="17"/>
  <c r="B5" i="17"/>
  <c r="N5" i="17" s="1"/>
  <c r="N4" i="17"/>
  <c r="H1" i="18"/>
  <c r="F1" i="18"/>
  <c r="E1" i="18"/>
  <c r="D1" i="18"/>
  <c r="C1" i="18"/>
  <c r="B1" i="18"/>
  <c r="B2" i="17"/>
  <c r="H73" i="9"/>
  <c r="P12" i="9"/>
  <c r="N12" i="9"/>
  <c r="P11" i="9"/>
  <c r="N11" i="9"/>
  <c r="P10" i="9"/>
  <c r="N10" i="9"/>
  <c r="P9" i="9"/>
  <c r="N9" i="9"/>
  <c r="P8" i="9"/>
  <c r="O8" i="9"/>
  <c r="D54" i="11" s="1"/>
  <c r="N8" i="9"/>
  <c r="M8" i="9"/>
  <c r="D44" i="11" s="1"/>
  <c r="K8" i="9"/>
  <c r="C37" i="18" s="1"/>
  <c r="J8" i="9"/>
  <c r="I8" i="9"/>
  <c r="H8" i="9"/>
  <c r="P7" i="9"/>
  <c r="O7" i="9"/>
  <c r="C54" i="11" s="1"/>
  <c r="N7" i="9"/>
  <c r="M7" i="9"/>
  <c r="C44" i="11" s="1"/>
  <c r="J7" i="9"/>
  <c r="I7" i="9"/>
  <c r="H7" i="9"/>
  <c r="P6" i="9"/>
  <c r="O6" i="9"/>
  <c r="B54" i="11" s="1"/>
  <c r="N6" i="9"/>
  <c r="M6" i="9"/>
  <c r="B44" i="11" s="1"/>
  <c r="K6" i="9"/>
  <c r="K41" i="9" s="1"/>
  <c r="J6" i="9"/>
  <c r="I6" i="9"/>
  <c r="H6" i="9"/>
  <c r="B17" i="11" s="1"/>
  <c r="O12" i="9"/>
  <c r="H54" i="11" s="1"/>
  <c r="L12" i="9"/>
  <c r="K12" i="9"/>
  <c r="C41" i="18" s="1"/>
  <c r="J12" i="9"/>
  <c r="I12" i="9"/>
  <c r="H12" i="9"/>
  <c r="O11" i="9"/>
  <c r="G54" i="11" s="1"/>
  <c r="L11" i="9"/>
  <c r="K11" i="9"/>
  <c r="C40" i="18" s="1"/>
  <c r="J11" i="9"/>
  <c r="I11" i="9"/>
  <c r="H11" i="9"/>
  <c r="O10" i="9"/>
  <c r="F54" i="11" s="1"/>
  <c r="L10" i="9"/>
  <c r="K10" i="9"/>
  <c r="C39" i="18" s="1"/>
  <c r="J10" i="9"/>
  <c r="I10" i="9"/>
  <c r="H10" i="9"/>
  <c r="O9" i="9"/>
  <c r="E54" i="11" s="1"/>
  <c r="L9" i="9"/>
  <c r="K9" i="9"/>
  <c r="C38" i="18" s="1"/>
  <c r="J9" i="9"/>
  <c r="I9" i="9"/>
  <c r="H9" i="9"/>
  <c r="A15" i="9"/>
  <c r="A50" i="9" s="1"/>
  <c r="A14" i="9"/>
  <c r="A49" i="9" s="1"/>
  <c r="A13" i="9"/>
  <c r="A48" i="9" s="1"/>
  <c r="V12" i="9"/>
  <c r="A12" i="9"/>
  <c r="A47" i="9" s="1"/>
  <c r="V11" i="9"/>
  <c r="A11" i="9"/>
  <c r="A46" i="9" s="1"/>
  <c r="V10" i="9"/>
  <c r="A10" i="9"/>
  <c r="V9" i="9"/>
  <c r="A9" i="9"/>
  <c r="V8" i="9"/>
  <c r="L8" i="9"/>
  <c r="D37" i="18" s="1"/>
  <c r="A8" i="9"/>
  <c r="V7" i="9"/>
  <c r="L7" i="9"/>
  <c r="K7" i="9"/>
  <c r="C36" i="18" s="1"/>
  <c r="A7" i="9"/>
  <c r="V6" i="9"/>
  <c r="L6" i="9"/>
  <c r="A6" i="9"/>
  <c r="A41" i="9" s="1"/>
  <c r="I15" i="38"/>
  <c r="H15" i="38"/>
  <c r="J15" i="38" s="1"/>
  <c r="L14" i="38"/>
  <c r="K14" i="38"/>
  <c r="E14" i="38"/>
  <c r="D14" i="38"/>
  <c r="L13" i="38"/>
  <c r="K13" i="38"/>
  <c r="E13" i="38"/>
  <c r="D13" i="38"/>
  <c r="L12" i="38"/>
  <c r="M12" i="38" s="1"/>
  <c r="K12" i="38"/>
  <c r="E12" i="38"/>
  <c r="D12" i="38"/>
  <c r="L11" i="38"/>
  <c r="K11" i="38"/>
  <c r="E11" i="38"/>
  <c r="D11" i="38"/>
  <c r="L10" i="38"/>
  <c r="K10" i="38"/>
  <c r="E10" i="38"/>
  <c r="D10" i="38"/>
  <c r="L9" i="38"/>
  <c r="K9" i="38"/>
  <c r="E9" i="38"/>
  <c r="D9" i="38"/>
  <c r="L8" i="38"/>
  <c r="M8" i="38" s="1"/>
  <c r="K8" i="38"/>
  <c r="E8" i="38"/>
  <c r="D8" i="38"/>
  <c r="L7" i="38"/>
  <c r="K7" i="38"/>
  <c r="E7" i="38"/>
  <c r="F7" i="38" s="1"/>
  <c r="D7" i="38"/>
  <c r="L6" i="38"/>
  <c r="K6" i="38"/>
  <c r="E6" i="38"/>
  <c r="D6" i="38"/>
  <c r="F6" i="38" s="1"/>
  <c r="E5" i="38"/>
  <c r="D5" i="38"/>
  <c r="E4" i="38"/>
  <c r="D4" i="38"/>
  <c r="E3" i="38"/>
  <c r="D3" i="38"/>
  <c r="C62" i="42"/>
  <c r="B62" i="42"/>
  <c r="C61" i="42"/>
  <c r="B61" i="42"/>
  <c r="C60" i="42"/>
  <c r="B60" i="42"/>
  <c r="C59" i="42"/>
  <c r="B59" i="42"/>
  <c r="C58" i="42"/>
  <c r="B58" i="42"/>
  <c r="C57" i="42"/>
  <c r="B57" i="42"/>
  <c r="C56" i="42"/>
  <c r="B56" i="42"/>
  <c r="C55" i="42"/>
  <c r="B55" i="42"/>
  <c r="C54" i="42"/>
  <c r="B54" i="42"/>
  <c r="C53" i="42"/>
  <c r="B53" i="42"/>
  <c r="C52" i="42"/>
  <c r="B52" i="42"/>
  <c r="C51" i="42"/>
  <c r="B51" i="42"/>
  <c r="C50" i="42"/>
  <c r="B50" i="42"/>
  <c r="C49" i="42"/>
  <c r="B49" i="42"/>
  <c r="C48" i="42"/>
  <c r="B48" i="42"/>
  <c r="C47" i="42"/>
  <c r="B47" i="42"/>
  <c r="C46" i="42"/>
  <c r="B46" i="42"/>
  <c r="C45" i="42"/>
  <c r="B45" i="42"/>
  <c r="C44" i="42"/>
  <c r="B44" i="42"/>
  <c r="C43" i="42"/>
  <c r="B43" i="42"/>
  <c r="C42" i="42"/>
  <c r="B42" i="42"/>
  <c r="C41" i="42"/>
  <c r="B41" i="42"/>
  <c r="C40" i="42"/>
  <c r="B40" i="42"/>
  <c r="C39" i="42"/>
  <c r="B39" i="42"/>
  <c r="C38" i="42"/>
  <c r="D38" i="42" s="1"/>
  <c r="C37" i="42"/>
  <c r="D37" i="42" s="1"/>
  <c r="C36" i="42"/>
  <c r="D36" i="42" s="1"/>
  <c r="C35" i="42"/>
  <c r="D35" i="42" s="1"/>
  <c r="C34" i="42"/>
  <c r="D34" i="42" s="1"/>
  <c r="C33" i="42"/>
  <c r="D33" i="42" s="1"/>
  <c r="C32" i="42"/>
  <c r="D32" i="42" s="1"/>
  <c r="C31" i="42"/>
  <c r="D31" i="42" s="1"/>
  <c r="C30" i="42"/>
  <c r="D30" i="42" s="1"/>
  <c r="C29" i="42"/>
  <c r="D29" i="42" s="1"/>
  <c r="C28" i="42"/>
  <c r="D28" i="42" s="1"/>
  <c r="C27" i="42"/>
  <c r="D27" i="42" s="1"/>
  <c r="C26" i="42"/>
  <c r="D26" i="42" s="1"/>
  <c r="C25" i="42"/>
  <c r="D25" i="42" s="1"/>
  <c r="C24" i="42"/>
  <c r="D24" i="42" s="1"/>
  <c r="C23" i="42"/>
  <c r="D23" i="42" s="1"/>
  <c r="C22" i="42"/>
  <c r="D22" i="42" s="1"/>
  <c r="C21" i="42"/>
  <c r="D21" i="42" s="1"/>
  <c r="C20" i="42"/>
  <c r="D20" i="42" s="1"/>
  <c r="C19" i="42"/>
  <c r="D19" i="42" s="1"/>
  <c r="C18" i="42"/>
  <c r="D18" i="42" s="1"/>
  <c r="C17" i="42"/>
  <c r="D17" i="42" s="1"/>
  <c r="C16" i="42"/>
  <c r="D16" i="42" s="1"/>
  <c r="C15" i="42"/>
  <c r="D15" i="42" s="1"/>
  <c r="C14" i="42"/>
  <c r="D14" i="42" s="1"/>
  <c r="C13" i="42"/>
  <c r="D13" i="42" s="1"/>
  <c r="C12" i="42"/>
  <c r="D12" i="42" s="1"/>
  <c r="C11" i="42"/>
  <c r="D11" i="42" s="1"/>
  <c r="C10" i="42"/>
  <c r="D10" i="42" s="1"/>
  <c r="C9" i="42"/>
  <c r="D9" i="42" s="1"/>
  <c r="C8" i="42"/>
  <c r="D8" i="42" s="1"/>
  <c r="C7" i="42"/>
  <c r="D7" i="42" s="1"/>
  <c r="C6" i="42"/>
  <c r="D6" i="42" s="1"/>
  <c r="C5" i="42"/>
  <c r="D5" i="42" s="1"/>
  <c r="C4" i="42"/>
  <c r="D4" i="42" s="1"/>
  <c r="C3" i="42"/>
  <c r="D3" i="42" s="1"/>
  <c r="A52" i="11"/>
  <c r="A47" i="11"/>
  <c r="A42" i="11"/>
  <c r="A38" i="11"/>
  <c r="K34" i="11"/>
  <c r="J34" i="11"/>
  <c r="I34" i="11"/>
  <c r="A33" i="11"/>
  <c r="A28" i="11"/>
  <c r="A23" i="11"/>
  <c r="A19" i="11"/>
  <c r="A15" i="11"/>
  <c r="B11" i="41" l="1"/>
  <c r="C14" i="41"/>
  <c r="B17" i="41"/>
  <c r="B14" i="41"/>
  <c r="F8" i="38"/>
  <c r="F10" i="38"/>
  <c r="F14" i="38"/>
  <c r="B6" i="41"/>
  <c r="G6" i="41" s="1"/>
  <c r="C11" i="41"/>
  <c r="C17" i="41"/>
  <c r="C21" i="32"/>
  <c r="K21" i="32"/>
  <c r="S21" i="32"/>
  <c r="C41" i="32"/>
  <c r="K41" i="32"/>
  <c r="S41" i="32"/>
  <c r="B12" i="41"/>
  <c r="B15" i="41"/>
  <c r="I30" i="51"/>
  <c r="G38" i="17"/>
  <c r="G36" i="17" s="1"/>
  <c r="J30" i="51"/>
  <c r="L38" i="17"/>
  <c r="K30" i="51"/>
  <c r="F4" i="38"/>
  <c r="F9" i="38"/>
  <c r="F11" i="38"/>
  <c r="F13" i="38"/>
  <c r="V21" i="32"/>
  <c r="W21" i="32"/>
  <c r="X21" i="32"/>
  <c r="Y21" i="32"/>
  <c r="V41" i="32"/>
  <c r="W41" i="32"/>
  <c r="X41" i="32"/>
  <c r="Y41" i="32"/>
  <c r="M14" i="38"/>
  <c r="AA31" i="32"/>
  <c r="K175" i="42" s="1"/>
  <c r="AA39" i="32"/>
  <c r="K183" i="42" s="1"/>
  <c r="AA15" i="32"/>
  <c r="J179" i="42" s="1"/>
  <c r="AA16" i="32"/>
  <c r="J180" i="42" s="1"/>
  <c r="AA17" i="32"/>
  <c r="J181" i="42" s="1"/>
  <c r="AA11" i="32"/>
  <c r="J175" i="42" s="1"/>
  <c r="AA8" i="32"/>
  <c r="J172" i="42" s="1"/>
  <c r="AA32" i="32"/>
  <c r="K176" i="42" s="1"/>
  <c r="AA28" i="32"/>
  <c r="K172" i="42" s="1"/>
  <c r="AA10" i="32"/>
  <c r="J174" i="42" s="1"/>
  <c r="AA19" i="32"/>
  <c r="J183" i="42" s="1"/>
  <c r="AA13" i="32"/>
  <c r="J177" i="42" s="1"/>
  <c r="AA33" i="32"/>
  <c r="K177" i="42" s="1"/>
  <c r="AA34" i="32"/>
  <c r="K178" i="42" s="1"/>
  <c r="AA35" i="32"/>
  <c r="K179" i="42" s="1"/>
  <c r="AA36" i="32"/>
  <c r="K180" i="42" s="1"/>
  <c r="AA29" i="32"/>
  <c r="K173" i="42" s="1"/>
  <c r="AA30" i="32"/>
  <c r="K174" i="42" s="1"/>
  <c r="AA38" i="32"/>
  <c r="K182" i="42" s="1"/>
  <c r="AA14" i="32"/>
  <c r="J178" i="42" s="1"/>
  <c r="AA9" i="32"/>
  <c r="J173" i="42" s="1"/>
  <c r="AA18" i="32"/>
  <c r="J182" i="42" s="1"/>
  <c r="AA12" i="32"/>
  <c r="J176" i="42" s="1"/>
  <c r="AA37" i="32"/>
  <c r="K181" i="42" s="1"/>
  <c r="M9" i="38"/>
  <c r="F3" i="38"/>
  <c r="M6" i="38"/>
  <c r="F12" i="38"/>
  <c r="M13" i="38"/>
  <c r="B9" i="41"/>
  <c r="B13" i="41"/>
  <c r="F21" i="32"/>
  <c r="N21" i="32"/>
  <c r="F41" i="32"/>
  <c r="N41" i="32"/>
  <c r="M11" i="38"/>
  <c r="B8" i="41"/>
  <c r="G8" i="41" s="1"/>
  <c r="G21" i="32"/>
  <c r="O21" i="32"/>
  <c r="G41" i="32"/>
  <c r="O41" i="32"/>
  <c r="F5" i="38"/>
  <c r="M7" i="38"/>
  <c r="M10" i="38"/>
  <c r="C16" i="41"/>
  <c r="H21" i="32"/>
  <c r="P21" i="32"/>
  <c r="H41" i="32"/>
  <c r="P41" i="32"/>
  <c r="I21" i="32"/>
  <c r="I41" i="32"/>
  <c r="L36" i="17"/>
  <c r="Q21" i="32"/>
  <c r="Q41" i="32"/>
  <c r="S7" i="17"/>
  <c r="S9" i="17"/>
  <c r="D40" i="42"/>
  <c r="D42" i="42"/>
  <c r="D44" i="42"/>
  <c r="D46" i="42"/>
  <c r="D48" i="42"/>
  <c r="D50" i="42"/>
  <c r="D52" i="42"/>
  <c r="D54" i="42"/>
  <c r="D39" i="42"/>
  <c r="D41" i="42"/>
  <c r="D43" i="42"/>
  <c r="D45" i="42"/>
  <c r="D47" i="42"/>
  <c r="D49" i="42"/>
  <c r="D51" i="42"/>
  <c r="D53" i="42"/>
  <c r="D55" i="42"/>
  <c r="D57" i="42"/>
  <c r="D59" i="42"/>
  <c r="D61" i="42"/>
  <c r="J139" i="42"/>
  <c r="D56" i="42"/>
  <c r="D58" i="42"/>
  <c r="D60" i="42"/>
  <c r="D62" i="42"/>
  <c r="D154" i="42"/>
  <c r="J141" i="42"/>
  <c r="C12" i="17"/>
  <c r="C13" i="17"/>
  <c r="J143" i="42"/>
  <c r="D152" i="42"/>
  <c r="J137" i="42"/>
  <c r="J145" i="42"/>
  <c r="D153" i="42"/>
  <c r="D15" i="38"/>
  <c r="E15" i="38" s="1"/>
  <c r="K137" i="42"/>
  <c r="K139" i="42"/>
  <c r="K141" i="42"/>
  <c r="K143" i="42"/>
  <c r="K145" i="42"/>
  <c r="D12" i="17"/>
  <c r="D13" i="17"/>
  <c r="J136" i="42"/>
  <c r="J138" i="42"/>
  <c r="J140" i="42"/>
  <c r="J142" i="42"/>
  <c r="J144" i="42"/>
  <c r="J146" i="42"/>
  <c r="S6" i="17"/>
  <c r="S8" i="17"/>
  <c r="K136" i="42"/>
  <c r="K138" i="42"/>
  <c r="K140" i="42"/>
  <c r="K142" i="42"/>
  <c r="K144" i="42"/>
  <c r="K146" i="42"/>
  <c r="S5" i="17"/>
  <c r="N6" i="17"/>
  <c r="B11" i="54"/>
  <c r="B11" i="53"/>
  <c r="B61" i="53"/>
  <c r="B79" i="53" s="1"/>
  <c r="B61" i="54"/>
  <c r="B79" i="54" s="1"/>
  <c r="V42" i="9"/>
  <c r="N36" i="18"/>
  <c r="F35" i="18"/>
  <c r="B49" i="11"/>
  <c r="F39" i="18"/>
  <c r="F49" i="11"/>
  <c r="F41" i="18"/>
  <c r="H49" i="11"/>
  <c r="G36" i="18"/>
  <c r="C68" i="11"/>
  <c r="G37" i="18"/>
  <c r="D68" i="11"/>
  <c r="G39" i="18"/>
  <c r="F68" i="11"/>
  <c r="G41" i="18"/>
  <c r="H68" i="11"/>
  <c r="G35" i="18"/>
  <c r="B68" i="11"/>
  <c r="F38" i="18"/>
  <c r="E49" i="11"/>
  <c r="F40" i="18"/>
  <c r="G49" i="11"/>
  <c r="V41" i="9"/>
  <c r="N35" i="18"/>
  <c r="V43" i="9"/>
  <c r="N37" i="18"/>
  <c r="F36" i="18"/>
  <c r="C49" i="11"/>
  <c r="F37" i="18"/>
  <c r="D49" i="11"/>
  <c r="G38" i="18"/>
  <c r="E68" i="11"/>
  <c r="G40" i="18"/>
  <c r="G68" i="11"/>
  <c r="B12" i="17"/>
  <c r="L42" i="9"/>
  <c r="D36" i="18"/>
  <c r="B13" i="17"/>
  <c r="V44" i="9"/>
  <c r="N38" i="18"/>
  <c r="V46" i="9"/>
  <c r="N40" i="18"/>
  <c r="L45" i="9"/>
  <c r="D39" i="18"/>
  <c r="L47" i="9"/>
  <c r="L59" i="9" s="1"/>
  <c r="D41" i="18"/>
  <c r="M42" i="9"/>
  <c r="E36" i="18"/>
  <c r="M43" i="9"/>
  <c r="E37" i="18"/>
  <c r="K2" i="18"/>
  <c r="B88" i="11" s="1"/>
  <c r="B37" i="18"/>
  <c r="K4" i="18"/>
  <c r="D88" i="11" s="1"/>
  <c r="V45" i="9"/>
  <c r="N39" i="18"/>
  <c r="V47" i="9"/>
  <c r="N41" i="18"/>
  <c r="L44" i="9"/>
  <c r="D38" i="18"/>
  <c r="L46" i="9"/>
  <c r="D40" i="18"/>
  <c r="M41" i="9"/>
  <c r="E35" i="18"/>
  <c r="B41" i="18"/>
  <c r="K8" i="18"/>
  <c r="H88" i="11" s="1"/>
  <c r="K3" i="18"/>
  <c r="C88" i="11" s="1"/>
  <c r="B36" i="18"/>
  <c r="H30" i="11"/>
  <c r="E25" i="11"/>
  <c r="G25" i="11"/>
  <c r="C25" i="11"/>
  <c r="B35" i="11"/>
  <c r="L41" i="9"/>
  <c r="C30" i="11"/>
  <c r="D35" i="11"/>
  <c r="L43" i="9"/>
  <c r="E30" i="11"/>
  <c r="F21" i="11"/>
  <c r="G30" i="11"/>
  <c r="H21" i="11"/>
  <c r="P41" i="9"/>
  <c r="F30" i="11"/>
  <c r="B21" i="11"/>
  <c r="F17" i="11"/>
  <c r="H25" i="11"/>
  <c r="D21" i="11"/>
  <c r="B36" i="11"/>
  <c r="D36" i="11"/>
  <c r="F10" i="17"/>
  <c r="S10" i="17" s="1"/>
  <c r="D34" i="11"/>
  <c r="H26" i="17"/>
  <c r="E27" i="17"/>
  <c r="B11" i="17"/>
  <c r="N11" i="17" s="1"/>
  <c r="U11" i="17" s="1"/>
  <c r="B34" i="11"/>
  <c r="B53" i="11"/>
  <c r="N10" i="17"/>
  <c r="N7" i="17"/>
  <c r="N8" i="17"/>
  <c r="N9" i="17"/>
  <c r="F29" i="17"/>
  <c r="I73" i="9"/>
  <c r="K26" i="17"/>
  <c r="F26" i="17"/>
  <c r="C36" i="11"/>
  <c r="E34" i="11"/>
  <c r="E30" i="51" s="1"/>
  <c r="K42" i="9"/>
  <c r="J26" i="17"/>
  <c r="F53" i="11"/>
  <c r="C35" i="11"/>
  <c r="B58" i="11"/>
  <c r="B49" i="51" s="1"/>
  <c r="D58" i="11"/>
  <c r="D35" i="18"/>
  <c r="C58" i="11"/>
  <c r="B31" i="11"/>
  <c r="C26" i="11"/>
  <c r="E36" i="11"/>
  <c r="F50" i="11"/>
  <c r="G36" i="11"/>
  <c r="B50" i="11"/>
  <c r="C31" i="11"/>
  <c r="D26" i="11"/>
  <c r="H31" i="11"/>
  <c r="C50" i="11"/>
  <c r="D31" i="11"/>
  <c r="E58" i="11"/>
  <c r="F58" i="11"/>
  <c r="G58" i="11"/>
  <c r="H58" i="11"/>
  <c r="D50" i="11"/>
  <c r="B5" i="41"/>
  <c r="K45" i="9"/>
  <c r="G29" i="11"/>
  <c r="G24" i="11"/>
  <c r="B10" i="41"/>
  <c r="C35" i="18"/>
  <c r="E48" i="11"/>
  <c r="B53" i="17"/>
  <c r="P45" i="9"/>
  <c r="B7" i="41"/>
  <c r="B4" i="41"/>
  <c r="C10" i="41"/>
  <c r="C12" i="41"/>
  <c r="C15" i="41"/>
  <c r="M9" i="9"/>
  <c r="M10" i="9"/>
  <c r="M11" i="9"/>
  <c r="M12" i="9"/>
  <c r="H44" i="11" s="1"/>
  <c r="B52" i="17"/>
  <c r="N52" i="17" s="1"/>
  <c r="U52" i="17" s="1"/>
  <c r="B7" i="18"/>
  <c r="C9" i="41"/>
  <c r="C13" i="41"/>
  <c r="B16" i="41"/>
  <c r="D29" i="11"/>
  <c r="J45" i="9"/>
  <c r="B57" i="41"/>
  <c r="D30" i="11"/>
  <c r="D48" i="11"/>
  <c r="C57" i="41"/>
  <c r="E278" i="27"/>
  <c r="E314" i="27"/>
  <c r="B5" i="18"/>
  <c r="C24" i="11"/>
  <c r="J43" i="9"/>
  <c r="G34" i="11"/>
  <c r="N41" i="9"/>
  <c r="C48" i="11"/>
  <c r="G7" i="9"/>
  <c r="C87" i="11" s="1"/>
  <c r="B6" i="18"/>
  <c r="B30" i="11"/>
  <c r="I42" i="9"/>
  <c r="B14" i="17"/>
  <c r="B50" i="17"/>
  <c r="G48" i="11"/>
  <c r="P46" i="9"/>
  <c r="G20" i="11"/>
  <c r="B40" i="41"/>
  <c r="C40" i="41"/>
  <c r="H34" i="11"/>
  <c r="D290" i="27"/>
  <c r="D302" i="27"/>
  <c r="D314" i="27"/>
  <c r="Q44" i="9"/>
  <c r="D40" i="41"/>
  <c r="G8" i="9"/>
  <c r="D87" i="11" s="1"/>
  <c r="D17" i="11"/>
  <c r="H35" i="11"/>
  <c r="C17" i="11"/>
  <c r="D157" i="42"/>
  <c r="D158" i="42"/>
  <c r="D159" i="42"/>
  <c r="E17" i="11"/>
  <c r="G35" i="11"/>
  <c r="D25" i="11"/>
  <c r="E21" i="11"/>
  <c r="F36" i="11"/>
  <c r="H36" i="11"/>
  <c r="B35" i="18"/>
  <c r="B26" i="11"/>
  <c r="F35" i="11"/>
  <c r="G6" i="9"/>
  <c r="B87" i="11" s="1"/>
  <c r="H26" i="11"/>
  <c r="G17" i="11"/>
  <c r="G21" i="11"/>
  <c r="H17" i="11"/>
  <c r="E35" i="11"/>
  <c r="C21" i="11"/>
  <c r="F25" i="11"/>
  <c r="B25" i="11"/>
  <c r="Q42" i="9"/>
  <c r="Q53" i="9" s="1"/>
  <c r="B15" i="17"/>
  <c r="O43" i="9"/>
  <c r="O42" i="9"/>
  <c r="I21" i="17"/>
  <c r="I22" i="17" s="1"/>
  <c r="O46" i="9"/>
  <c r="D160" i="42"/>
  <c r="D57" i="41"/>
  <c r="Q46" i="9"/>
  <c r="Q45" i="9"/>
  <c r="P42" i="9"/>
  <c r="I45" i="9"/>
  <c r="I43" i="9"/>
  <c r="O44" i="9"/>
  <c r="D278" i="27"/>
  <c r="E302" i="27"/>
  <c r="E290" i="27"/>
  <c r="U146" i="42" l="1"/>
  <c r="U137" i="42"/>
  <c r="U140" i="42"/>
  <c r="U143" i="42"/>
  <c r="U138" i="42"/>
  <c r="U136" i="42"/>
  <c r="U141" i="42"/>
  <c r="U139" i="42"/>
  <c r="U144" i="42"/>
  <c r="U142" i="42"/>
  <c r="U145" i="42"/>
  <c r="B17" i="17"/>
  <c r="F16" i="11" s="1"/>
  <c r="N50" i="17"/>
  <c r="U50" i="17" s="1"/>
  <c r="B20" i="17"/>
  <c r="H48" i="9" s="1"/>
  <c r="N53" i="17"/>
  <c r="U53" i="17" s="1"/>
  <c r="G14" i="41"/>
  <c r="G11" i="41"/>
  <c r="C33" i="50"/>
  <c r="H85" i="9"/>
  <c r="H34" i="50"/>
  <c r="M15" i="38"/>
  <c r="F32" i="51"/>
  <c r="F60" i="51" s="1"/>
  <c r="H32" i="51"/>
  <c r="H60" i="51" s="1"/>
  <c r="B27" i="17"/>
  <c r="G34" i="50"/>
  <c r="F34" i="50"/>
  <c r="E34" i="50"/>
  <c r="G33" i="50"/>
  <c r="G57" i="50" s="1"/>
  <c r="E33" i="50"/>
  <c r="E57" i="50" s="1"/>
  <c r="H30" i="51"/>
  <c r="G30" i="51"/>
  <c r="D33" i="50"/>
  <c r="C26" i="17"/>
  <c r="B26" i="17"/>
  <c r="B28" i="17"/>
  <c r="G46" i="18"/>
  <c r="B20" i="11"/>
  <c r="C27" i="17"/>
  <c r="C28" i="17"/>
  <c r="N46" i="18"/>
  <c r="N15" i="17"/>
  <c r="U15" i="17" s="1"/>
  <c r="B29" i="17"/>
  <c r="C46" i="18"/>
  <c r="D46" i="18"/>
  <c r="F46" i="18"/>
  <c r="E31" i="51"/>
  <c r="G31" i="51"/>
  <c r="G49" i="51"/>
  <c r="C31" i="51"/>
  <c r="C32" i="51"/>
  <c r="C60" i="51" s="1"/>
  <c r="B32" i="51"/>
  <c r="B60" i="51" s="1"/>
  <c r="H31" i="51"/>
  <c r="B35" i="50"/>
  <c r="B59" i="50" s="1"/>
  <c r="D34" i="50"/>
  <c r="F31" i="51"/>
  <c r="H49" i="51"/>
  <c r="F49" i="51"/>
  <c r="C49" i="51"/>
  <c r="D49" i="51"/>
  <c r="E58" i="51"/>
  <c r="B31" i="51"/>
  <c r="D35" i="50"/>
  <c r="D59" i="50" s="1"/>
  <c r="E49" i="51"/>
  <c r="C35" i="50"/>
  <c r="D30" i="51"/>
  <c r="F35" i="50"/>
  <c r="F59" i="50" s="1"/>
  <c r="G32" i="51"/>
  <c r="G60" i="51" s="1"/>
  <c r="E32" i="51"/>
  <c r="E60" i="51" s="1"/>
  <c r="B30" i="51"/>
  <c r="D32" i="51"/>
  <c r="D60" i="51" s="1"/>
  <c r="D31" i="51"/>
  <c r="C34" i="50"/>
  <c r="B34" i="50"/>
  <c r="V56" i="9"/>
  <c r="V54" i="9"/>
  <c r="D27" i="17"/>
  <c r="D26" i="17"/>
  <c r="D155" i="42"/>
  <c r="V57" i="9"/>
  <c r="V53" i="9"/>
  <c r="D156" i="42"/>
  <c r="Q56" i="9"/>
  <c r="V55" i="9"/>
  <c r="H43" i="50"/>
  <c r="H83" i="11"/>
  <c r="D43" i="50"/>
  <c r="D83" i="11"/>
  <c r="D100" i="11" s="1"/>
  <c r="G43" i="50"/>
  <c r="B43" i="50"/>
  <c r="B83" i="11"/>
  <c r="F43" i="50"/>
  <c r="C43" i="50"/>
  <c r="C83" i="11"/>
  <c r="C100" i="11" s="1"/>
  <c r="E43" i="50"/>
  <c r="M53" i="9"/>
  <c r="L54" i="9"/>
  <c r="M54" i="9"/>
  <c r="B99" i="53"/>
  <c r="B116" i="53" s="1"/>
  <c r="B29" i="53"/>
  <c r="B46" i="53" s="1"/>
  <c r="B64" i="53" s="1"/>
  <c r="B82" i="53" s="1"/>
  <c r="B99" i="54"/>
  <c r="B116" i="54" s="1"/>
  <c r="B29" i="54"/>
  <c r="B46" i="54" s="1"/>
  <c r="B64" i="54" s="1"/>
  <c r="B82" i="54" s="1"/>
  <c r="I77" i="11"/>
  <c r="E38" i="18"/>
  <c r="E44" i="11"/>
  <c r="P53" i="9"/>
  <c r="H42" i="9"/>
  <c r="N14" i="17"/>
  <c r="U14" i="17" s="1"/>
  <c r="I43" i="11"/>
  <c r="L57" i="9"/>
  <c r="S12" i="17"/>
  <c r="N12" i="17"/>
  <c r="T12" i="17" s="1"/>
  <c r="E40" i="18"/>
  <c r="G44" i="11"/>
  <c r="H41" i="9"/>
  <c r="N13" i="17"/>
  <c r="U13" i="17" s="1"/>
  <c r="E39" i="18"/>
  <c r="F44" i="11"/>
  <c r="L53" i="9"/>
  <c r="D84" i="11"/>
  <c r="D101" i="11" s="1"/>
  <c r="C84" i="11"/>
  <c r="C101" i="11" s="1"/>
  <c r="B84" i="11"/>
  <c r="Q85" i="9"/>
  <c r="R85" i="9"/>
  <c r="S11" i="17"/>
  <c r="B16" i="11"/>
  <c r="V58" i="9"/>
  <c r="L56" i="9"/>
  <c r="M47" i="9"/>
  <c r="M59" i="9" s="1"/>
  <c r="E41" i="18"/>
  <c r="B38" i="18"/>
  <c r="K5" i="18"/>
  <c r="E88" i="11" s="1"/>
  <c r="K7" i="18"/>
  <c r="G88" i="11" s="1"/>
  <c r="B40" i="18"/>
  <c r="B39" i="18"/>
  <c r="K6" i="18"/>
  <c r="F88" i="11" s="1"/>
  <c r="L58" i="9"/>
  <c r="G21" i="17"/>
  <c r="J43" i="11" s="1"/>
  <c r="O47" i="9"/>
  <c r="O54" i="9"/>
  <c r="S13" i="17"/>
  <c r="S15" i="17"/>
  <c r="N44" i="9"/>
  <c r="J46" i="9"/>
  <c r="J57" i="9" s="1"/>
  <c r="O55" i="9"/>
  <c r="K46" i="9"/>
  <c r="K57" i="9" s="1"/>
  <c r="N42" i="9"/>
  <c r="N53" i="9" s="1"/>
  <c r="K43" i="9"/>
  <c r="K54" i="9" s="1"/>
  <c r="K53" i="9"/>
  <c r="I54" i="9"/>
  <c r="Q47" i="9"/>
  <c r="Q59" i="9" s="1"/>
  <c r="H48" i="11"/>
  <c r="N47" i="9"/>
  <c r="N59" i="9" s="1"/>
  <c r="O41" i="9"/>
  <c r="O53" i="9" s="1"/>
  <c r="H43" i="9"/>
  <c r="Q57" i="9"/>
  <c r="C16" i="11"/>
  <c r="S14" i="17"/>
  <c r="Q43" i="9"/>
  <c r="Q54" i="9" s="1"/>
  <c r="N43" i="9"/>
  <c r="I41" i="9"/>
  <c r="I53" i="9" s="1"/>
  <c r="N46" i="9"/>
  <c r="O45" i="9"/>
  <c r="O57" i="9" s="1"/>
  <c r="P43" i="9"/>
  <c r="P54" i="9" s="1"/>
  <c r="J42" i="9"/>
  <c r="J54" i="9" s="1"/>
  <c r="V49" i="9"/>
  <c r="V66" i="9" s="1"/>
  <c r="I46" i="9"/>
  <c r="I57" i="9" s="1"/>
  <c r="J41" i="9"/>
  <c r="P57" i="9"/>
  <c r="L55" i="9"/>
  <c r="M46" i="9"/>
  <c r="M45" i="9"/>
  <c r="M44" i="9"/>
  <c r="M55" i="9" s="1"/>
  <c r="L21" i="17"/>
  <c r="C29" i="11"/>
  <c r="E28" i="17"/>
  <c r="F27" i="17"/>
  <c r="B29" i="11"/>
  <c r="F28" i="17"/>
  <c r="I26" i="17"/>
  <c r="E26" i="17"/>
  <c r="T11" i="17"/>
  <c r="F30" i="17"/>
  <c r="F31" i="17"/>
  <c r="I27" i="17"/>
  <c r="B24" i="11"/>
  <c r="C34" i="11"/>
  <c r="H50" i="11"/>
  <c r="G12" i="41"/>
  <c r="E50" i="11"/>
  <c r="F26" i="11"/>
  <c r="G50" i="11"/>
  <c r="G13" i="41"/>
  <c r="G5" i="41"/>
  <c r="G9" i="41"/>
  <c r="G26" i="11"/>
  <c r="G7" i="41"/>
  <c r="G31" i="11"/>
  <c r="F34" i="11"/>
  <c r="G11" i="9"/>
  <c r="G87" i="11" s="1"/>
  <c r="G10" i="41"/>
  <c r="D33" i="17"/>
  <c r="G10" i="9"/>
  <c r="F87" i="11" s="1"/>
  <c r="B19" i="17"/>
  <c r="G12" i="9"/>
  <c r="H87" i="11" s="1"/>
  <c r="B18" i="17"/>
  <c r="B18" i="41"/>
  <c r="E29" i="17"/>
  <c r="P44" i="9"/>
  <c r="G9" i="9"/>
  <c r="E87" i="11" s="1"/>
  <c r="C18" i="41"/>
  <c r="G4" i="41"/>
  <c r="H4" i="41" s="1"/>
  <c r="I4" i="41" s="1"/>
  <c r="H60" i="41" s="1"/>
  <c r="K33" i="17"/>
  <c r="D29" i="17"/>
  <c r="H33" i="17"/>
  <c r="H29" i="17"/>
  <c r="F24" i="11"/>
  <c r="D32" i="17"/>
  <c r="H30" i="17"/>
  <c r="B16" i="17"/>
  <c r="F33" i="17"/>
  <c r="E26" i="11"/>
  <c r="F32" i="17"/>
  <c r="H27" i="17"/>
  <c r="B48" i="11"/>
  <c r="D28" i="17"/>
  <c r="D24" i="11"/>
  <c r="F31" i="11"/>
  <c r="C20" i="11"/>
  <c r="H28" i="17"/>
  <c r="K30" i="17"/>
  <c r="C10" i="11"/>
  <c r="C12" i="11" s="1"/>
  <c r="J32" i="17"/>
  <c r="I28" i="17"/>
  <c r="C53" i="11"/>
  <c r="F29" i="11"/>
  <c r="F20" i="11"/>
  <c r="K31" i="17"/>
  <c r="B10" i="11"/>
  <c r="B12" i="11" s="1"/>
  <c r="I30" i="17"/>
  <c r="E53" i="11"/>
  <c r="D18" i="41"/>
  <c r="J28" i="17"/>
  <c r="K29" i="17"/>
  <c r="I33" i="17"/>
  <c r="H53" i="11"/>
  <c r="I31" i="17"/>
  <c r="D16" i="11"/>
  <c r="E31" i="11"/>
  <c r="D20" i="11"/>
  <c r="K27" i="17"/>
  <c r="I29" i="17"/>
  <c r="D53" i="11"/>
  <c r="K28" i="17"/>
  <c r="E32" i="17"/>
  <c r="I44" i="9"/>
  <c r="I55" i="9" s="1"/>
  <c r="J27" i="17"/>
  <c r="K32" i="17"/>
  <c r="J29" i="17"/>
  <c r="I32" i="17"/>
  <c r="G53" i="11"/>
  <c r="D10" i="11"/>
  <c r="D12" i="11" s="1"/>
  <c r="B31" i="17" l="1"/>
  <c r="N17" i="17"/>
  <c r="U17" i="17" s="1"/>
  <c r="H45" i="9"/>
  <c r="S17" i="17"/>
  <c r="D57" i="50"/>
  <c r="G58" i="50"/>
  <c r="K38" i="17"/>
  <c r="F58" i="50"/>
  <c r="N20" i="17"/>
  <c r="U20" i="17" s="1"/>
  <c r="F38" i="17"/>
  <c r="G58" i="51"/>
  <c r="G109" i="11" s="1"/>
  <c r="C57" i="50"/>
  <c r="I38" i="17"/>
  <c r="H58" i="51"/>
  <c r="F30" i="51"/>
  <c r="F58" i="51" s="1"/>
  <c r="F86" i="11"/>
  <c r="F83" i="11"/>
  <c r="F100" i="11" s="1"/>
  <c r="B86" i="11"/>
  <c r="C86" i="11"/>
  <c r="E58" i="50"/>
  <c r="D86" i="11"/>
  <c r="D44" i="18"/>
  <c r="H33" i="50"/>
  <c r="H57" i="50" s="1"/>
  <c r="B58" i="50"/>
  <c r="C38" i="17"/>
  <c r="B33" i="50"/>
  <c r="B57" i="50" s="1"/>
  <c r="G83" i="11"/>
  <c r="G100" i="11" s="1"/>
  <c r="E83" i="11"/>
  <c r="E100" i="11" s="1"/>
  <c r="H59" i="51"/>
  <c r="E59" i="51"/>
  <c r="C58" i="50"/>
  <c r="B111" i="11"/>
  <c r="B116" i="11" s="1"/>
  <c r="E46" i="18"/>
  <c r="N19" i="17"/>
  <c r="U19" i="17" s="1"/>
  <c r="B33" i="17"/>
  <c r="T32" i="42"/>
  <c r="D111" i="11"/>
  <c r="D116" i="11" s="1"/>
  <c r="B46" i="18"/>
  <c r="B44" i="18" s="1"/>
  <c r="N16" i="17"/>
  <c r="U16" i="17" s="1"/>
  <c r="B30" i="17"/>
  <c r="N18" i="17"/>
  <c r="U18" i="17" s="1"/>
  <c r="B32" i="17"/>
  <c r="B34" i="17"/>
  <c r="E109" i="11"/>
  <c r="E119" i="11" s="1"/>
  <c r="E35" i="50"/>
  <c r="E59" i="50" s="1"/>
  <c r="E111" i="11" s="1"/>
  <c r="E116" i="11" s="1"/>
  <c r="G35" i="50"/>
  <c r="G59" i="50" s="1"/>
  <c r="G111" i="11" s="1"/>
  <c r="G116" i="11" s="1"/>
  <c r="C30" i="51"/>
  <c r="C59" i="51"/>
  <c r="J39" i="51"/>
  <c r="J28" i="50"/>
  <c r="I52" i="50"/>
  <c r="H58" i="50"/>
  <c r="B59" i="51"/>
  <c r="F111" i="11"/>
  <c r="F116" i="11" s="1"/>
  <c r="B58" i="51"/>
  <c r="C59" i="50"/>
  <c r="C111" i="11" s="1"/>
  <c r="C116" i="11" s="1"/>
  <c r="H35" i="50"/>
  <c r="H59" i="50" s="1"/>
  <c r="H111" i="11" s="1"/>
  <c r="H116" i="11" s="1"/>
  <c r="D58" i="50"/>
  <c r="D58" i="51"/>
  <c r="D109" i="11" s="1"/>
  <c r="D59" i="51"/>
  <c r="F59" i="51"/>
  <c r="G59" i="51"/>
  <c r="O58" i="9"/>
  <c r="O59" i="9"/>
  <c r="V63" i="9"/>
  <c r="L63" i="9"/>
  <c r="D165" i="42"/>
  <c r="T20" i="42"/>
  <c r="T13" i="17"/>
  <c r="H53" i="9"/>
  <c r="H100" i="11"/>
  <c r="K21" i="17"/>
  <c r="I72" i="11"/>
  <c r="E84" i="11"/>
  <c r="E101" i="11" s="1"/>
  <c r="R66" i="9"/>
  <c r="R74" i="9" s="1"/>
  <c r="J77" i="11"/>
  <c r="G84" i="11"/>
  <c r="G101" i="11" s="1"/>
  <c r="F84" i="11"/>
  <c r="F101" i="11" s="1"/>
  <c r="H84" i="11"/>
  <c r="H101" i="11" s="1"/>
  <c r="D82" i="11"/>
  <c r="C82" i="11"/>
  <c r="B82" i="11"/>
  <c r="G22" i="17"/>
  <c r="K43" i="11" s="1"/>
  <c r="N54" i="9"/>
  <c r="O56" i="9"/>
  <c r="N58" i="9"/>
  <c r="Q55" i="9"/>
  <c r="N45" i="9"/>
  <c r="N56" i="9" s="1"/>
  <c r="T14" i="17"/>
  <c r="J33" i="17"/>
  <c r="P47" i="9"/>
  <c r="P59" i="9" s="1"/>
  <c r="I47" i="9"/>
  <c r="G16" i="11"/>
  <c r="S18" i="17"/>
  <c r="H46" i="9"/>
  <c r="D31" i="17"/>
  <c r="J44" i="9"/>
  <c r="M56" i="9"/>
  <c r="I56" i="9"/>
  <c r="H16" i="11"/>
  <c r="S19" i="17"/>
  <c r="H47" i="9"/>
  <c r="H59" i="9" s="1"/>
  <c r="P55" i="9"/>
  <c r="J47" i="9"/>
  <c r="P56" i="9"/>
  <c r="V50" i="9"/>
  <c r="V67" i="9" s="1"/>
  <c r="Q58" i="9"/>
  <c r="N55" i="9"/>
  <c r="T15" i="17"/>
  <c r="S16" i="17"/>
  <c r="H44" i="9"/>
  <c r="H55" i="9" s="1"/>
  <c r="H29" i="11"/>
  <c r="K47" i="9"/>
  <c r="E29" i="11"/>
  <c r="K44" i="9"/>
  <c r="J53" i="9"/>
  <c r="M57" i="9"/>
  <c r="M58" i="9"/>
  <c r="L22" i="17"/>
  <c r="K77" i="11" s="1"/>
  <c r="T8" i="42"/>
  <c r="E24" i="11"/>
  <c r="D30" i="17"/>
  <c r="E10" i="11"/>
  <c r="H10" i="11"/>
  <c r="F10" i="11"/>
  <c r="G17" i="41"/>
  <c r="T56" i="42"/>
  <c r="T80" i="42"/>
  <c r="G10" i="11"/>
  <c r="G12" i="11" s="1"/>
  <c r="T44" i="42"/>
  <c r="E30" i="17"/>
  <c r="E31" i="17"/>
  <c r="E33" i="17"/>
  <c r="C44" i="18"/>
  <c r="H24" i="11"/>
  <c r="E18" i="41"/>
  <c r="G15" i="41"/>
  <c r="E16" i="11"/>
  <c r="G16" i="41"/>
  <c r="F48" i="11"/>
  <c r="J30" i="17"/>
  <c r="J31" i="17"/>
  <c r="B100" i="11"/>
  <c r="H31" i="17"/>
  <c r="H20" i="11"/>
  <c r="H32" i="17"/>
  <c r="H54" i="9"/>
  <c r="I53" i="11"/>
  <c r="H61" i="41"/>
  <c r="H62" i="41" s="1"/>
  <c r="H63" i="41" s="1"/>
  <c r="H64" i="41" s="1"/>
  <c r="H65" i="41" s="1"/>
  <c r="H66" i="41" s="1"/>
  <c r="H67" i="41" s="1"/>
  <c r="H68" i="41" s="1"/>
  <c r="H69" i="41" s="1"/>
  <c r="H70" i="41" s="1"/>
  <c r="H71" i="41" s="1"/>
  <c r="S49" i="9"/>
  <c r="S66" i="9" s="1"/>
  <c r="E20" i="11"/>
  <c r="L49" i="9"/>
  <c r="F18" i="41"/>
  <c r="G110" i="11" l="1"/>
  <c r="G115" i="11" s="1"/>
  <c r="B110" i="11"/>
  <c r="B115" i="11" s="1"/>
  <c r="H110" i="11"/>
  <c r="H115" i="11" s="1"/>
  <c r="I86" i="11"/>
  <c r="F110" i="11"/>
  <c r="F115" i="11" s="1"/>
  <c r="E38" i="17"/>
  <c r="E110" i="11"/>
  <c r="E115" i="11" s="1"/>
  <c r="J38" i="17"/>
  <c r="D38" i="17"/>
  <c r="C99" i="11"/>
  <c r="B99" i="11"/>
  <c r="T21" i="42"/>
  <c r="T22" i="42" s="1"/>
  <c r="T23" i="42" s="1"/>
  <c r="T24" i="42" s="1"/>
  <c r="T25" i="42" s="1"/>
  <c r="T26" i="42" s="1"/>
  <c r="T27" i="42" s="1"/>
  <c r="T28" i="42" s="1"/>
  <c r="T29" i="42" s="1"/>
  <c r="T30" i="42" s="1"/>
  <c r="T31" i="42" s="1"/>
  <c r="G86" i="11"/>
  <c r="G114" i="11" s="1"/>
  <c r="H86" i="11"/>
  <c r="I47" i="50"/>
  <c r="H109" i="11"/>
  <c r="H119" i="11" s="1"/>
  <c r="E86" i="11"/>
  <c r="E114" i="11" s="1"/>
  <c r="M86" i="9"/>
  <c r="N86" i="9"/>
  <c r="O86" i="9"/>
  <c r="P86" i="9"/>
  <c r="Q86" i="9"/>
  <c r="I86" i="9"/>
  <c r="R86" i="9"/>
  <c r="J86" i="9"/>
  <c r="K86" i="9"/>
  <c r="H86" i="9"/>
  <c r="S86" i="9"/>
  <c r="L86" i="9"/>
  <c r="H38" i="17"/>
  <c r="C110" i="11"/>
  <c r="C115" i="11" s="1"/>
  <c r="D99" i="11"/>
  <c r="T33" i="42"/>
  <c r="T34" i="42" s="1"/>
  <c r="T35" i="42" s="1"/>
  <c r="T36" i="42" s="1"/>
  <c r="T37" i="42" s="1"/>
  <c r="T38" i="42" s="1"/>
  <c r="T39" i="42" s="1"/>
  <c r="T40" i="42" s="1"/>
  <c r="T41" i="42" s="1"/>
  <c r="T42" i="42" s="1"/>
  <c r="T43" i="42" s="1"/>
  <c r="K28" i="50"/>
  <c r="D114" i="11"/>
  <c r="D119" i="11"/>
  <c r="G119" i="11"/>
  <c r="K39" i="51"/>
  <c r="B109" i="11"/>
  <c r="B38" i="17"/>
  <c r="J52" i="50"/>
  <c r="F82" i="11"/>
  <c r="F99" i="11" s="1"/>
  <c r="F33" i="50"/>
  <c r="D110" i="11"/>
  <c r="D115" i="11" s="1"/>
  <c r="K52" i="50"/>
  <c r="C58" i="51"/>
  <c r="C109" i="11" s="1"/>
  <c r="O63" i="9"/>
  <c r="Q63" i="9"/>
  <c r="M63" i="9"/>
  <c r="J58" i="9"/>
  <c r="J59" i="9"/>
  <c r="I58" i="9"/>
  <c r="I59" i="9"/>
  <c r="K58" i="9"/>
  <c r="K59" i="9"/>
  <c r="T9" i="42"/>
  <c r="T10" i="42" s="1"/>
  <c r="T11" i="42" s="1"/>
  <c r="T12" i="42" s="1"/>
  <c r="T13" i="42" s="1"/>
  <c r="T14" i="42" s="1"/>
  <c r="T15" i="42" s="1"/>
  <c r="T16" i="42" s="1"/>
  <c r="T17" i="42" s="1"/>
  <c r="T18" i="42" s="1"/>
  <c r="T19" i="42" s="1"/>
  <c r="R70" i="9"/>
  <c r="K22" i="17"/>
  <c r="K72" i="11" s="1"/>
  <c r="J72" i="11"/>
  <c r="F12" i="11"/>
  <c r="H12" i="11"/>
  <c r="E12" i="11"/>
  <c r="H82" i="11"/>
  <c r="G82" i="11"/>
  <c r="E82" i="11"/>
  <c r="I49" i="9"/>
  <c r="I50" i="9" s="1"/>
  <c r="Q49" i="9"/>
  <c r="R67" i="9"/>
  <c r="H56" i="9"/>
  <c r="N57" i="9"/>
  <c r="N63" i="9" s="1"/>
  <c r="P58" i="9"/>
  <c r="P63" i="9" s="1"/>
  <c r="T19" i="17"/>
  <c r="T18" i="17"/>
  <c r="J55" i="9"/>
  <c r="J56" i="9"/>
  <c r="N49" i="9"/>
  <c r="T16" i="17"/>
  <c r="K55" i="9"/>
  <c r="K56" i="9"/>
  <c r="T17" i="17"/>
  <c r="T3" i="42"/>
  <c r="T4" i="42" s="1"/>
  <c r="T5" i="42" s="1"/>
  <c r="T6" i="42" s="1"/>
  <c r="T7" i="42" s="1"/>
  <c r="T45" i="42"/>
  <c r="T46" i="42" s="1"/>
  <c r="T47" i="42" s="1"/>
  <c r="T48" i="42" s="1"/>
  <c r="T49" i="42" s="1"/>
  <c r="T50" i="42" s="1"/>
  <c r="T51" i="42" s="1"/>
  <c r="T52" i="42" s="1"/>
  <c r="T53" i="42" s="1"/>
  <c r="T54" i="42" s="1"/>
  <c r="T55" i="42" s="1"/>
  <c r="H49" i="9"/>
  <c r="H50" i="9" s="1"/>
  <c r="O49" i="9"/>
  <c r="H58" i="9"/>
  <c r="T68" i="42"/>
  <c r="T69" i="42" s="1"/>
  <c r="T70" i="42" s="1"/>
  <c r="T71" i="42" s="1"/>
  <c r="T72" i="42" s="1"/>
  <c r="T73" i="42" s="1"/>
  <c r="T74" i="42" s="1"/>
  <c r="T75" i="42" s="1"/>
  <c r="T76" i="42" s="1"/>
  <c r="T77" i="42" s="1"/>
  <c r="T78" i="42" s="1"/>
  <c r="T79" i="42" s="1"/>
  <c r="T92" i="42"/>
  <c r="T81" i="42" s="1"/>
  <c r="T82" i="42" s="1"/>
  <c r="T83" i="42" s="1"/>
  <c r="T84" i="42" s="1"/>
  <c r="T85" i="42" s="1"/>
  <c r="T86" i="42" s="1"/>
  <c r="T87" i="42" s="1"/>
  <c r="T88" i="42" s="1"/>
  <c r="T89" i="42" s="1"/>
  <c r="T90" i="42" s="1"/>
  <c r="T91" i="42" s="1"/>
  <c r="T104" i="42"/>
  <c r="H57" i="9"/>
  <c r="G18" i="41"/>
  <c r="J71" i="41"/>
  <c r="H5" i="41" s="1"/>
  <c r="I5" i="41" s="1"/>
  <c r="H72" i="41" s="1"/>
  <c r="S50" i="9"/>
  <c r="S67" i="9" s="1"/>
  <c r="K53" i="11"/>
  <c r="J53" i="11"/>
  <c r="I71" i="41"/>
  <c r="K4" i="41" s="1"/>
  <c r="L4" i="41" s="1"/>
  <c r="L66" i="9"/>
  <c r="L50" i="9"/>
  <c r="L67" i="9" s="1"/>
  <c r="H114" i="11" l="1"/>
  <c r="G99" i="11"/>
  <c r="E99" i="11"/>
  <c r="K47" i="50"/>
  <c r="J47" i="50"/>
  <c r="H99" i="11"/>
  <c r="K44" i="51"/>
  <c r="J38" i="50"/>
  <c r="C114" i="11"/>
  <c r="C119" i="11"/>
  <c r="B114" i="11"/>
  <c r="B119" i="11"/>
  <c r="J78" i="11"/>
  <c r="I10" i="18"/>
  <c r="J44" i="51"/>
  <c r="K38" i="50"/>
  <c r="F57" i="50"/>
  <c r="F109" i="11" s="1"/>
  <c r="J63" i="9"/>
  <c r="H63" i="9"/>
  <c r="K63" i="9"/>
  <c r="I63" i="9"/>
  <c r="K49" i="9"/>
  <c r="K50" i="9" s="1"/>
  <c r="O50" i="9"/>
  <c r="O67" i="9" s="1"/>
  <c r="O66" i="9"/>
  <c r="D36" i="17"/>
  <c r="D21" i="17" s="1"/>
  <c r="R75" i="9"/>
  <c r="R71" i="9"/>
  <c r="Q50" i="9"/>
  <c r="Q67" i="9" s="1"/>
  <c r="Q66" i="9"/>
  <c r="J49" i="9"/>
  <c r="J50" i="9" s="1"/>
  <c r="N50" i="9"/>
  <c r="P49" i="9"/>
  <c r="C36" i="17"/>
  <c r="T93" i="42"/>
  <c r="T94" i="42" s="1"/>
  <c r="T95" i="42" s="1"/>
  <c r="T96" i="42" s="1"/>
  <c r="T97" i="42" s="1"/>
  <c r="T98" i="42" s="1"/>
  <c r="T99" i="42" s="1"/>
  <c r="T100" i="42" s="1"/>
  <c r="T101" i="42" s="1"/>
  <c r="T102" i="42" s="1"/>
  <c r="T103" i="42" s="1"/>
  <c r="E36" i="17"/>
  <c r="E21" i="17" s="1"/>
  <c r="B36" i="17"/>
  <c r="J36" i="17"/>
  <c r="T105" i="42"/>
  <c r="T106" i="42" s="1"/>
  <c r="T107" i="42" s="1"/>
  <c r="T108" i="42" s="1"/>
  <c r="T109" i="42" s="1"/>
  <c r="T110" i="42" s="1"/>
  <c r="T57" i="42"/>
  <c r="T58" i="42" s="1"/>
  <c r="T59" i="42" s="1"/>
  <c r="T60" i="42" s="1"/>
  <c r="T61" i="42" s="1"/>
  <c r="T62" i="42" s="1"/>
  <c r="T63" i="42" s="1"/>
  <c r="T64" i="42" s="1"/>
  <c r="T65" i="42" s="1"/>
  <c r="T66" i="42" s="1"/>
  <c r="T67" i="42" s="1"/>
  <c r="S75" i="9"/>
  <c r="L75" i="9"/>
  <c r="H73" i="41"/>
  <c r="L74" i="9"/>
  <c r="S94" i="9"/>
  <c r="S74" i="9"/>
  <c r="J79" i="11" l="1"/>
  <c r="J54" i="50" s="1"/>
  <c r="E22" i="17"/>
  <c r="K29" i="11" s="1"/>
  <c r="J29" i="11"/>
  <c r="D22" i="17"/>
  <c r="K24" i="11" s="1"/>
  <c r="J24" i="11"/>
  <c r="C17" i="53"/>
  <c r="C35" i="53" s="1"/>
  <c r="E35" i="53" s="1"/>
  <c r="G35" i="53" s="1"/>
  <c r="J53" i="50"/>
  <c r="F114" i="11"/>
  <c r="F119" i="11"/>
  <c r="K78" i="11"/>
  <c r="I11" i="18"/>
  <c r="Q75" i="9"/>
  <c r="Q71" i="9"/>
  <c r="K73" i="11" s="1"/>
  <c r="Q74" i="9"/>
  <c r="Q70" i="9"/>
  <c r="J73" i="11" s="1"/>
  <c r="C21" i="17"/>
  <c r="J20" i="11" s="1"/>
  <c r="P50" i="9"/>
  <c r="P67" i="9" s="1"/>
  <c r="P75" i="9" s="1"/>
  <c r="P66" i="9"/>
  <c r="P74" i="9" s="1"/>
  <c r="I24" i="11"/>
  <c r="J66" i="9"/>
  <c r="J74" i="9" s="1"/>
  <c r="B21" i="17"/>
  <c r="I16" i="11"/>
  <c r="I29" i="11"/>
  <c r="H74" i="41"/>
  <c r="C52" i="53" l="1"/>
  <c r="E52" i="53" s="1"/>
  <c r="G52" i="53" s="1"/>
  <c r="D17" i="53"/>
  <c r="E70" i="53" s="1"/>
  <c r="G70" i="53" s="1"/>
  <c r="K79" i="11"/>
  <c r="D17" i="54" s="1"/>
  <c r="E70" i="54" s="1"/>
  <c r="K48" i="50"/>
  <c r="K53" i="50"/>
  <c r="C17" i="54"/>
  <c r="C35" i="54" s="1"/>
  <c r="E35" i="54" s="1"/>
  <c r="G35" i="54" s="1"/>
  <c r="K18" i="50"/>
  <c r="J20" i="51"/>
  <c r="K20" i="51"/>
  <c r="J18" i="50"/>
  <c r="J48" i="50"/>
  <c r="C16" i="53"/>
  <c r="C34" i="53" s="1"/>
  <c r="E34" i="53" s="1"/>
  <c r="C16" i="54"/>
  <c r="C34" i="54" s="1"/>
  <c r="C51" i="54" s="1"/>
  <c r="E51" i="54" s="1"/>
  <c r="G51" i="54" s="1"/>
  <c r="J21" i="17"/>
  <c r="I67" i="11"/>
  <c r="I69" i="11"/>
  <c r="H21" i="17"/>
  <c r="J48" i="11" s="1"/>
  <c r="I48" i="11"/>
  <c r="C22" i="17"/>
  <c r="I67" i="9" s="1"/>
  <c r="I66" i="9"/>
  <c r="I74" i="9" s="1"/>
  <c r="I20" i="11"/>
  <c r="S21" i="17"/>
  <c r="S20" i="17"/>
  <c r="J67" i="9"/>
  <c r="J75" i="9" s="1"/>
  <c r="O74" i="9"/>
  <c r="K66" i="9"/>
  <c r="K74" i="9" s="1"/>
  <c r="J23" i="50"/>
  <c r="H66" i="9"/>
  <c r="H74" i="9" s="1"/>
  <c r="B22" i="17"/>
  <c r="J16" i="11"/>
  <c r="H75" i="41"/>
  <c r="E105" i="53" l="1"/>
  <c r="E122" i="53" s="1"/>
  <c r="G122" i="53" s="1"/>
  <c r="E88" i="53"/>
  <c r="G88" i="53" s="1"/>
  <c r="K54" i="50"/>
  <c r="I33" i="50"/>
  <c r="J33" i="50"/>
  <c r="I44" i="50"/>
  <c r="J10" i="50"/>
  <c r="C52" i="54"/>
  <c r="E52" i="54" s="1"/>
  <c r="G52" i="54" s="1"/>
  <c r="E88" i="54"/>
  <c r="G88" i="54" s="1"/>
  <c r="G70" i="54"/>
  <c r="J25" i="51"/>
  <c r="J12" i="51"/>
  <c r="I42" i="50"/>
  <c r="I82" i="11"/>
  <c r="I99" i="11" s="1"/>
  <c r="J16" i="51"/>
  <c r="J14" i="50"/>
  <c r="K20" i="11"/>
  <c r="E34" i="54"/>
  <c r="G34" i="54" s="1"/>
  <c r="N21" i="17"/>
  <c r="U21" i="17" s="1"/>
  <c r="V21" i="17" s="1"/>
  <c r="C51" i="53"/>
  <c r="E51" i="53" s="1"/>
  <c r="G51" i="53" s="1"/>
  <c r="G34" i="53"/>
  <c r="J22" i="17"/>
  <c r="K67" i="11" s="1"/>
  <c r="J67" i="11"/>
  <c r="H22" i="17"/>
  <c r="N66" i="9"/>
  <c r="S22" i="17"/>
  <c r="M49" i="9"/>
  <c r="T20" i="17"/>
  <c r="O75" i="9"/>
  <c r="H67" i="9"/>
  <c r="H75" i="9" s="1"/>
  <c r="K16" i="11"/>
  <c r="K67" i="9"/>
  <c r="K75" i="9" s="1"/>
  <c r="I75" i="9"/>
  <c r="H76" i="41"/>
  <c r="G105" i="53" l="1"/>
  <c r="I57" i="50"/>
  <c r="K16" i="51"/>
  <c r="J86" i="11"/>
  <c r="J82" i="11"/>
  <c r="E105" i="54"/>
  <c r="G105" i="54" s="1"/>
  <c r="K14" i="50"/>
  <c r="K23" i="50"/>
  <c r="K25" i="51"/>
  <c r="K12" i="51"/>
  <c r="K10" i="50"/>
  <c r="K42" i="50"/>
  <c r="J58" i="51"/>
  <c r="T21" i="17"/>
  <c r="N22" i="17"/>
  <c r="E104" i="54"/>
  <c r="G104" i="54" s="1"/>
  <c r="J42" i="50"/>
  <c r="E104" i="53"/>
  <c r="E121" i="53" s="1"/>
  <c r="G121" i="53" s="1"/>
  <c r="K48" i="11"/>
  <c r="N67" i="9"/>
  <c r="M50" i="9"/>
  <c r="M66" i="9"/>
  <c r="M74" i="9" s="1"/>
  <c r="T74" i="9" s="1"/>
  <c r="H77" i="41"/>
  <c r="U22" i="17" l="1"/>
  <c r="V22" i="17" s="1"/>
  <c r="E122" i="54"/>
  <c r="G122" i="54" s="1"/>
  <c r="J57" i="50"/>
  <c r="J109" i="11" s="1"/>
  <c r="K33" i="50"/>
  <c r="J99" i="11"/>
  <c r="K82" i="11"/>
  <c r="T22" i="17"/>
  <c r="K86" i="11"/>
  <c r="K58" i="51"/>
  <c r="G66" i="9"/>
  <c r="E121" i="54"/>
  <c r="G121" i="54" s="1"/>
  <c r="G104" i="53"/>
  <c r="M67" i="9"/>
  <c r="G67" i="9" s="1"/>
  <c r="I85" i="9"/>
  <c r="P85" i="9"/>
  <c r="P70" i="9" s="1"/>
  <c r="J68" i="11" s="1"/>
  <c r="P71" i="9"/>
  <c r="K68" i="11" s="1"/>
  <c r="J85" i="9"/>
  <c r="K85" i="9"/>
  <c r="M85" i="9"/>
  <c r="O85" i="9"/>
  <c r="N71" i="9"/>
  <c r="N85" i="9"/>
  <c r="N70" i="9" s="1"/>
  <c r="S85" i="9"/>
  <c r="L85" i="9"/>
  <c r="H78" i="41"/>
  <c r="K57" i="50" l="1"/>
  <c r="J114" i="11"/>
  <c r="J119" i="11"/>
  <c r="K99" i="11"/>
  <c r="K109" i="11"/>
  <c r="C15" i="54"/>
  <c r="C33" i="54" s="1"/>
  <c r="E33" i="54" s="1"/>
  <c r="K43" i="50"/>
  <c r="C15" i="53"/>
  <c r="C33" i="53" s="1"/>
  <c r="E33" i="53" s="1"/>
  <c r="J43" i="50"/>
  <c r="F11" i="18"/>
  <c r="K49" i="11"/>
  <c r="F10" i="18"/>
  <c r="J49" i="11"/>
  <c r="M75" i="9"/>
  <c r="T75" i="9" s="1"/>
  <c r="T85" i="9"/>
  <c r="U85" i="9" s="1"/>
  <c r="T86" i="9"/>
  <c r="U86" i="9" s="1"/>
  <c r="G11" i="18"/>
  <c r="G10" i="18"/>
  <c r="H79" i="41"/>
  <c r="J34" i="50" l="1"/>
  <c r="J69" i="11"/>
  <c r="D15" i="53" s="1"/>
  <c r="E68" i="53" s="1"/>
  <c r="G68" i="53" s="1"/>
  <c r="K69" i="11"/>
  <c r="D15" i="54" s="1"/>
  <c r="E68" i="54" s="1"/>
  <c r="G68" i="54" s="1"/>
  <c r="K114" i="11"/>
  <c r="K119" i="11"/>
  <c r="C11" i="54"/>
  <c r="C29" i="54" s="1"/>
  <c r="E29" i="54" s="1"/>
  <c r="K34" i="50"/>
  <c r="C11" i="53"/>
  <c r="C29" i="53" s="1"/>
  <c r="E29" i="53" s="1"/>
  <c r="C50" i="54"/>
  <c r="E50" i="54" s="1"/>
  <c r="G50" i="54" s="1"/>
  <c r="C50" i="53"/>
  <c r="E50" i="53" s="1"/>
  <c r="G50" i="53" s="1"/>
  <c r="G33" i="54"/>
  <c r="G33" i="53"/>
  <c r="H80" i="41"/>
  <c r="K44" i="50" l="1"/>
  <c r="J44" i="50"/>
  <c r="E86" i="54"/>
  <c r="G86" i="54" s="1"/>
  <c r="E86" i="53"/>
  <c r="G86" i="53" s="1"/>
  <c r="E103" i="53"/>
  <c r="E120" i="53" s="1"/>
  <c r="G120" i="53" s="1"/>
  <c r="C46" i="53"/>
  <c r="E46" i="53" s="1"/>
  <c r="G46" i="53" s="1"/>
  <c r="E103" i="54"/>
  <c r="E120" i="54" s="1"/>
  <c r="G120" i="54" s="1"/>
  <c r="C46" i="54"/>
  <c r="E46" i="54" s="1"/>
  <c r="G46" i="54" s="1"/>
  <c r="G29" i="53"/>
  <c r="G29" i="54"/>
  <c r="H81" i="41"/>
  <c r="G103" i="53" l="1"/>
  <c r="E99" i="54"/>
  <c r="E116" i="54" s="1"/>
  <c r="G116" i="54" s="1"/>
  <c r="G103" i="54"/>
  <c r="E99" i="53"/>
  <c r="E116" i="53" s="1"/>
  <c r="G116" i="53" s="1"/>
  <c r="H82" i="41"/>
  <c r="G99" i="54" l="1"/>
  <c r="G99" i="53"/>
  <c r="H83" i="41"/>
  <c r="J83" i="41" l="1"/>
  <c r="H6" i="41" s="1"/>
  <c r="I6" i="41" s="1"/>
  <c r="H84" i="41" s="1"/>
  <c r="I83" i="41"/>
  <c r="K5" i="41" s="1"/>
  <c r="L5" i="41" s="1"/>
  <c r="H85" i="41" l="1"/>
  <c r="F3" i="42"/>
  <c r="H86" i="41" l="1"/>
  <c r="F4" i="42"/>
  <c r="H87" i="41" l="1"/>
  <c r="F5" i="42"/>
  <c r="H88" i="41" l="1"/>
  <c r="F6" i="42"/>
  <c r="H89" i="41" l="1"/>
  <c r="F7" i="42"/>
  <c r="H90" i="41" l="1"/>
  <c r="F8" i="42"/>
  <c r="H91" i="41" l="1"/>
  <c r="F9" i="42"/>
  <c r="H92" i="41" l="1"/>
  <c r="F10" i="42"/>
  <c r="H93" i="41" l="1"/>
  <c r="F11" i="42"/>
  <c r="H94" i="41" l="1"/>
  <c r="F12" i="42"/>
  <c r="H95" i="41" l="1"/>
  <c r="F13" i="42"/>
  <c r="J95" i="41" l="1"/>
  <c r="H7" i="41" s="1"/>
  <c r="I7" i="41" s="1"/>
  <c r="H96" i="41" s="1"/>
  <c r="F14" i="42"/>
  <c r="F152" i="42" s="1"/>
  <c r="I95" i="41"/>
  <c r="K6" i="41" s="1"/>
  <c r="L6" i="41" s="1"/>
  <c r="H97" i="41" l="1"/>
  <c r="F15" i="42"/>
  <c r="U152" i="42"/>
  <c r="H98" i="41" l="1"/>
  <c r="F16" i="42"/>
  <c r="H99" i="41" l="1"/>
  <c r="F17" i="42"/>
  <c r="H100" i="41" l="1"/>
  <c r="F18" i="42"/>
  <c r="H101" i="41" l="1"/>
  <c r="F19" i="42"/>
  <c r="H102" i="41" l="1"/>
  <c r="F20" i="42"/>
  <c r="H103" i="41" l="1"/>
  <c r="F21" i="42"/>
  <c r="H104" i="41" l="1"/>
  <c r="F22" i="42"/>
  <c r="H105" i="41" l="1"/>
  <c r="F23" i="42"/>
  <c r="H106" i="41" l="1"/>
  <c r="F24" i="42"/>
  <c r="H107" i="41" l="1"/>
  <c r="F25" i="42"/>
  <c r="J107" i="41" l="1"/>
  <c r="H8" i="41" s="1"/>
  <c r="I8" i="41" s="1"/>
  <c r="H108" i="41" s="1"/>
  <c r="F26" i="42"/>
  <c r="F153" i="42" s="1"/>
  <c r="I107" i="41"/>
  <c r="K7" i="41" s="1"/>
  <c r="L7" i="41" s="1"/>
  <c r="H109" i="41" l="1"/>
  <c r="F27" i="42"/>
  <c r="U153" i="42"/>
  <c r="H110" i="41" l="1"/>
  <c r="F28" i="42"/>
  <c r="H111" i="41" l="1"/>
  <c r="F29" i="42"/>
  <c r="H112" i="41" l="1"/>
  <c r="F30" i="42"/>
  <c r="H113" i="41" l="1"/>
  <c r="F31" i="42"/>
  <c r="F32" i="42" l="1"/>
  <c r="H114" i="41"/>
  <c r="H115" i="41" l="1"/>
  <c r="F33" i="42"/>
  <c r="H116" i="41" l="1"/>
  <c r="F34" i="42"/>
  <c r="H117" i="41" l="1"/>
  <c r="F35" i="42"/>
  <c r="H118" i="41" l="1"/>
  <c r="F36" i="42"/>
  <c r="H119" i="41" l="1"/>
  <c r="F37" i="42"/>
  <c r="J119" i="41" l="1"/>
  <c r="H9" i="41" s="1"/>
  <c r="I9" i="41" s="1"/>
  <c r="H120" i="41" s="1"/>
  <c r="F38" i="42"/>
  <c r="F154" i="42" s="1"/>
  <c r="I119" i="41"/>
  <c r="K8" i="41" s="1"/>
  <c r="L8" i="41" s="1"/>
  <c r="H121" i="41" l="1"/>
  <c r="F39" i="42"/>
  <c r="U154" i="42"/>
  <c r="B5" i="11" l="1"/>
  <c r="H122" i="41"/>
  <c r="F40" i="42"/>
  <c r="H123" i="41" l="1"/>
  <c r="F41" i="42"/>
  <c r="H124" i="41" l="1"/>
  <c r="F42" i="42"/>
  <c r="H125" i="41" l="1"/>
  <c r="F43" i="42"/>
  <c r="H126" i="41" l="1"/>
  <c r="F44" i="42"/>
  <c r="H127" i="41" l="1"/>
  <c r="F45" i="42"/>
  <c r="F46" i="42" l="1"/>
  <c r="H128" i="41"/>
  <c r="H129" i="41" l="1"/>
  <c r="F47" i="42"/>
  <c r="H130" i="41" l="1"/>
  <c r="F48" i="42"/>
  <c r="H131" i="41" l="1"/>
  <c r="F49" i="42"/>
  <c r="J131" i="41" l="1"/>
  <c r="H10" i="41" s="1"/>
  <c r="I10" i="41" s="1"/>
  <c r="H132" i="41" s="1"/>
  <c r="F50" i="42"/>
  <c r="F155" i="42" s="1"/>
  <c r="I131" i="41"/>
  <c r="K9" i="41" s="1"/>
  <c r="L9" i="41" s="1"/>
  <c r="H133" i="41" l="1"/>
  <c r="F51" i="42"/>
  <c r="U155" i="42"/>
  <c r="C5" i="11" l="1"/>
  <c r="H134" i="41"/>
  <c r="F52" i="42"/>
  <c r="H135" i="41" l="1"/>
  <c r="F53" i="42"/>
  <c r="H136" i="41" l="1"/>
  <c r="F54" i="42"/>
  <c r="H137" i="41" l="1"/>
  <c r="F55" i="42"/>
  <c r="H138" i="41" l="1"/>
  <c r="F56" i="42"/>
  <c r="H139" i="41" l="1"/>
  <c r="F57" i="42"/>
  <c r="H140" i="41" l="1"/>
  <c r="F58" i="42"/>
  <c r="H141" i="41" l="1"/>
  <c r="F59" i="42"/>
  <c r="H142" i="41" l="1"/>
  <c r="F60" i="42"/>
  <c r="H143" i="41" l="1"/>
  <c r="F61" i="42"/>
  <c r="J143" i="41" l="1"/>
  <c r="H11" i="41" s="1"/>
  <c r="I11" i="41" s="1"/>
  <c r="H144" i="41" s="1"/>
  <c r="F62" i="42"/>
  <c r="F156" i="42" s="1"/>
  <c r="I143" i="41"/>
  <c r="K10" i="41" s="1"/>
  <c r="L10" i="41" s="1"/>
  <c r="H145" i="41" l="1"/>
  <c r="F63" i="42"/>
  <c r="U156" i="42"/>
  <c r="D5" i="11" l="1"/>
  <c r="H146" i="41"/>
  <c r="F64" i="42"/>
  <c r="H147" i="41" l="1"/>
  <c r="F65" i="42"/>
  <c r="H148" i="41" l="1"/>
  <c r="F66" i="42"/>
  <c r="H149" i="41" l="1"/>
  <c r="F67" i="42"/>
  <c r="H150" i="41" l="1"/>
  <c r="F68" i="42"/>
  <c r="H151" i="41" l="1"/>
  <c r="F69" i="42"/>
  <c r="H152" i="41" l="1"/>
  <c r="F70" i="42"/>
  <c r="H153" i="41" l="1"/>
  <c r="F71" i="42"/>
  <c r="H154" i="41" l="1"/>
  <c r="F72" i="42"/>
  <c r="H155" i="41" l="1"/>
  <c r="F73" i="42"/>
  <c r="J155" i="41" l="1"/>
  <c r="H12" i="41" s="1"/>
  <c r="I12" i="41" s="1"/>
  <c r="H156" i="41" s="1"/>
  <c r="F74" i="42"/>
  <c r="F157" i="42" s="1"/>
  <c r="I155" i="41"/>
  <c r="K11" i="41" s="1"/>
  <c r="L11" i="41" s="1"/>
  <c r="H157" i="41" l="1"/>
  <c r="F75" i="42"/>
  <c r="U157" i="42"/>
  <c r="E5" i="11" l="1"/>
  <c r="H158" i="41"/>
  <c r="F76" i="42"/>
  <c r="H159" i="41" l="1"/>
  <c r="F77" i="42"/>
  <c r="H160" i="41" l="1"/>
  <c r="F78" i="42"/>
  <c r="H161" i="41" l="1"/>
  <c r="F79" i="42"/>
  <c r="H162" i="41" l="1"/>
  <c r="F80" i="42"/>
  <c r="H163" i="41" l="1"/>
  <c r="F81" i="42"/>
  <c r="H164" i="41" l="1"/>
  <c r="F82" i="42"/>
  <c r="H165" i="41" l="1"/>
  <c r="F83" i="42"/>
  <c r="H166" i="41" l="1"/>
  <c r="F84" i="42"/>
  <c r="H167" i="41" l="1"/>
  <c r="F85" i="42"/>
  <c r="J167" i="41" l="1"/>
  <c r="H13" i="41" s="1"/>
  <c r="I13" i="41" s="1"/>
  <c r="H168" i="41" s="1"/>
  <c r="F86" i="42"/>
  <c r="F158" i="42" s="1"/>
  <c r="I167" i="41"/>
  <c r="K12" i="41" s="1"/>
  <c r="L12" i="41" s="1"/>
  <c r="H169" i="41" l="1"/>
  <c r="F87" i="42"/>
  <c r="U158" i="42"/>
  <c r="F5" i="11" l="1"/>
  <c r="H170" i="41"/>
  <c r="F88" i="42"/>
  <c r="H171" i="41" l="1"/>
  <c r="F89" i="42"/>
  <c r="H172" i="41" l="1"/>
  <c r="F90" i="42"/>
  <c r="H173" i="41" l="1"/>
  <c r="F91" i="42"/>
  <c r="H174" i="41" l="1"/>
  <c r="F92" i="42"/>
  <c r="H175" i="41" l="1"/>
  <c r="F93" i="42"/>
  <c r="H176" i="41" l="1"/>
  <c r="F94" i="42"/>
  <c r="H177" i="41" l="1"/>
  <c r="F95" i="42"/>
  <c r="H178" i="41" l="1"/>
  <c r="F96" i="42"/>
  <c r="H179" i="41" l="1"/>
  <c r="F97" i="42"/>
  <c r="J179" i="41" l="1"/>
  <c r="H14" i="41" s="1"/>
  <c r="I14" i="41" s="1"/>
  <c r="H180" i="41" s="1"/>
  <c r="F98" i="42"/>
  <c r="F159" i="42" s="1"/>
  <c r="I179" i="41"/>
  <c r="K13" i="41" s="1"/>
  <c r="L13" i="41" s="1"/>
  <c r="F99" i="42" l="1"/>
  <c r="H181" i="41"/>
  <c r="U159" i="42"/>
  <c r="F100" i="42" l="1"/>
  <c r="G5" i="11"/>
  <c r="H182" i="41"/>
  <c r="F101" i="42" l="1"/>
  <c r="H183" i="41"/>
  <c r="F102" i="42" l="1"/>
  <c r="H184" i="41"/>
  <c r="F103" i="42" l="1"/>
  <c r="H185" i="41"/>
  <c r="F104" i="42" l="1"/>
  <c r="H186" i="41"/>
  <c r="F105" i="42" l="1"/>
  <c r="H187" i="41"/>
  <c r="F106" i="42" l="1"/>
  <c r="H188" i="41"/>
  <c r="F107" i="42" l="1"/>
  <c r="H189" i="41"/>
  <c r="F108" i="42" l="1"/>
  <c r="H190" i="41"/>
  <c r="F109" i="42" l="1"/>
  <c r="H191" i="41"/>
  <c r="F110" i="42" l="1"/>
  <c r="F160" i="42" s="1"/>
  <c r="J191" i="41"/>
  <c r="H15" i="41" s="1"/>
  <c r="I15" i="41" s="1"/>
  <c r="H192" i="41" s="1"/>
  <c r="I191" i="41"/>
  <c r="K14" i="41" s="1"/>
  <c r="L14" i="41" s="1"/>
  <c r="H193" i="41" l="1"/>
  <c r="F111" i="42"/>
  <c r="U160" i="42"/>
  <c r="H5" i="11" l="1"/>
  <c r="H194" i="41"/>
  <c r="F112" i="42"/>
  <c r="H195" i="41" l="1"/>
  <c r="F113" i="42"/>
  <c r="F114" i="42" l="1"/>
  <c r="H196" i="41"/>
  <c r="H197" i="41" l="1"/>
  <c r="F115" i="42"/>
  <c r="H198" i="41" l="1"/>
  <c r="F116" i="42"/>
  <c r="H199" i="41" l="1"/>
  <c r="F117" i="42"/>
  <c r="H200" i="41" l="1"/>
  <c r="F118" i="42"/>
  <c r="H201" i="41" l="1"/>
  <c r="F119" i="42"/>
  <c r="H202" i="41" l="1"/>
  <c r="F120" i="42"/>
  <c r="H203" i="41" l="1"/>
  <c r="F121" i="42"/>
  <c r="J203" i="41" l="1"/>
  <c r="H16" i="41" s="1"/>
  <c r="I16" i="41" s="1"/>
  <c r="H204" i="41" s="1"/>
  <c r="F122" i="42"/>
  <c r="F161" i="42" s="1"/>
  <c r="I203" i="41"/>
  <c r="K15" i="41" s="1"/>
  <c r="L15" i="41" s="1"/>
  <c r="U161" i="42" l="1"/>
  <c r="H205" i="41"/>
  <c r="F123" i="42"/>
  <c r="I5" i="11" l="1"/>
  <c r="U165" i="42"/>
  <c r="H206" i="41"/>
  <c r="F124" i="42"/>
  <c r="I106" i="11" l="1"/>
  <c r="I105" i="11" s="1"/>
  <c r="I59" i="11" s="1"/>
  <c r="H207" i="41"/>
  <c r="F125" i="42"/>
  <c r="I50" i="51" l="1"/>
  <c r="I45" i="11"/>
  <c r="I74" i="11"/>
  <c r="H208" i="41"/>
  <c r="F126" i="42"/>
  <c r="I49" i="50" l="1"/>
  <c r="K9" i="18"/>
  <c r="I88" i="11" s="1"/>
  <c r="I31" i="11"/>
  <c r="I36" i="11"/>
  <c r="I50" i="11"/>
  <c r="I26" i="11"/>
  <c r="H209" i="41"/>
  <c r="F127" i="42"/>
  <c r="I35" i="50" l="1"/>
  <c r="I59" i="50" s="1"/>
  <c r="I32" i="51"/>
  <c r="I84" i="11"/>
  <c r="I101" i="11" s="1"/>
  <c r="I12" i="11"/>
  <c r="F128" i="42"/>
  <c r="H210" i="41"/>
  <c r="I60" i="51" l="1"/>
  <c r="H211" i="41"/>
  <c r="F129" i="42"/>
  <c r="I111" i="11" l="1"/>
  <c r="I116" i="11" s="1"/>
  <c r="H212" i="41"/>
  <c r="F130" i="42"/>
  <c r="H213" i="41" l="1"/>
  <c r="F131" i="42"/>
  <c r="H214" i="41" l="1"/>
  <c r="F132" i="42"/>
  <c r="H215" i="41" l="1"/>
  <c r="F133" i="42"/>
  <c r="J215" i="41" l="1"/>
  <c r="H17" i="41" s="1"/>
  <c r="I17" i="41" s="1"/>
  <c r="H216" i="41" s="1"/>
  <c r="F134" i="42"/>
  <c r="F162" i="42" s="1"/>
  <c r="I215" i="41"/>
  <c r="K16" i="41" s="1"/>
  <c r="L16" i="41" s="1"/>
  <c r="U162" i="42" l="1"/>
  <c r="H217" i="41"/>
  <c r="F135" i="42"/>
  <c r="F172" i="42" l="1"/>
  <c r="U172" i="42" s="1"/>
  <c r="J5" i="11"/>
  <c r="H218" i="41"/>
  <c r="F136" i="42"/>
  <c r="F173" i="42" l="1"/>
  <c r="U173" i="42" s="1"/>
  <c r="H219" i="41"/>
  <c r="F137" i="42"/>
  <c r="F174" i="42" l="1"/>
  <c r="U174" i="42" s="1"/>
  <c r="H220" i="41"/>
  <c r="F138" i="42"/>
  <c r="F175" i="42" l="1"/>
  <c r="U175" i="42" s="1"/>
  <c r="H221" i="41"/>
  <c r="F139" i="42"/>
  <c r="F176" i="42" l="1"/>
  <c r="U176" i="42" s="1"/>
  <c r="J50" i="11"/>
  <c r="H222" i="41"/>
  <c r="F140" i="42"/>
  <c r="J35" i="50" l="1"/>
  <c r="F177" i="42"/>
  <c r="U177" i="42" s="1"/>
  <c r="D11" i="53"/>
  <c r="E64" i="53" s="1"/>
  <c r="G64" i="53" s="1"/>
  <c r="H223" i="41"/>
  <c r="F141" i="42"/>
  <c r="F178" i="42" l="1"/>
  <c r="U178" i="42" s="1"/>
  <c r="E82" i="53"/>
  <c r="G82" i="53" s="1"/>
  <c r="F142" i="42"/>
  <c r="H224" i="41"/>
  <c r="F179" i="42" l="1"/>
  <c r="U179" i="42" s="1"/>
  <c r="H225" i="41"/>
  <c r="F143" i="42"/>
  <c r="F180" i="42" l="1"/>
  <c r="U180" i="42" s="1"/>
  <c r="H226" i="41"/>
  <c r="F144" i="42"/>
  <c r="F181" i="42" l="1"/>
  <c r="U181" i="42" s="1"/>
  <c r="H227" i="41"/>
  <c r="F145" i="42"/>
  <c r="F182" i="42" l="1"/>
  <c r="U182" i="42" s="1"/>
  <c r="J227" i="41"/>
  <c r="F146" i="42"/>
  <c r="F163" i="42" s="1"/>
  <c r="F165" i="42" s="1"/>
  <c r="H228" i="41"/>
  <c r="I227" i="41"/>
  <c r="K17" i="41" s="1"/>
  <c r="L17" i="41" s="1"/>
  <c r="U150" i="42" l="1"/>
  <c r="F183" i="42"/>
  <c r="U183" i="42" s="1"/>
  <c r="V183" i="42" s="1"/>
  <c r="U163" i="42" l="1"/>
  <c r="U167" i="42" l="1"/>
  <c r="V167" i="42" s="1"/>
  <c r="K5" i="11"/>
  <c r="K50" i="11" l="1"/>
  <c r="K35" i="50" l="1"/>
  <c r="D11" i="54"/>
  <c r="E64" i="54" s="1"/>
  <c r="E82" i="54" s="1"/>
  <c r="G82" i="54" s="1"/>
  <c r="G64" i="54" l="1"/>
  <c r="I90" i="11" l="1"/>
  <c r="I94" i="11" s="1"/>
  <c r="J90" i="11" l="1"/>
  <c r="J94" i="11" s="1"/>
  <c r="K90" i="11" l="1"/>
  <c r="K94" i="11" s="1"/>
  <c r="I92" i="11" l="1"/>
  <c r="I96" i="11" s="1"/>
  <c r="I91" i="11" l="1"/>
  <c r="I95" i="11" s="1"/>
  <c r="J92" i="11"/>
  <c r="J96" i="11" s="1"/>
  <c r="K92" i="11" l="1"/>
  <c r="K96" i="11" s="1"/>
  <c r="J91" i="11"/>
  <c r="J95" i="11" s="1"/>
  <c r="K91" i="11" l="1"/>
  <c r="K95" i="11" s="1"/>
  <c r="B101" i="11" l="1"/>
  <c r="I58" i="51" l="1"/>
  <c r="I109" i="11" s="1"/>
  <c r="I114" i="11" l="1"/>
  <c r="I119" i="11"/>
  <c r="H99" i="42" l="1"/>
  <c r="I99" i="42" s="1"/>
  <c r="V99" i="42" s="1"/>
  <c r="W99" i="42" s="1"/>
  <c r="X99" i="42" s="1"/>
  <c r="H39" i="42" l="1"/>
  <c r="I39" i="42" s="1"/>
  <c r="H100" i="42"/>
  <c r="I100" i="42" s="1"/>
  <c r="V100" i="42" s="1"/>
  <c r="W100" i="42" s="1"/>
  <c r="X100" i="42" s="1"/>
  <c r="H87" i="42"/>
  <c r="I87" i="42" s="1"/>
  <c r="V87" i="42" l="1"/>
  <c r="W87" i="42" s="1"/>
  <c r="X87" i="42" s="1"/>
  <c r="V39" i="42"/>
  <c r="W39" i="42" s="1"/>
  <c r="X39" i="42" s="1"/>
  <c r="H101" i="42"/>
  <c r="I101" i="42" s="1"/>
  <c r="V101" i="42" s="1"/>
  <c r="W101" i="42" s="1"/>
  <c r="X101" i="42" s="1"/>
  <c r="H75" i="42"/>
  <c r="I75" i="42" s="1"/>
  <c r="H88" i="42"/>
  <c r="I88" i="42" s="1"/>
  <c r="V88" i="42" s="1"/>
  <c r="W88" i="42" s="1"/>
  <c r="X88" i="42" s="1"/>
  <c r="H40" i="42"/>
  <c r="I40" i="42" s="1"/>
  <c r="V40" i="42" s="1"/>
  <c r="W40" i="42" s="1"/>
  <c r="X40" i="42" s="1"/>
  <c r="V75" i="42" l="1"/>
  <c r="W75" i="42" s="1"/>
  <c r="X75" i="42" s="1"/>
  <c r="H102" i="42"/>
  <c r="I102" i="42" s="1"/>
  <c r="V102" i="42" s="1"/>
  <c r="W102" i="42" s="1"/>
  <c r="X102" i="42" s="1"/>
  <c r="H63" i="42"/>
  <c r="I63" i="42" s="1"/>
  <c r="H76" i="42"/>
  <c r="I76" i="42" s="1"/>
  <c r="V76" i="42" s="1"/>
  <c r="W76" i="42" s="1"/>
  <c r="X76" i="42" s="1"/>
  <c r="H51" i="42"/>
  <c r="I51" i="42" s="1"/>
  <c r="H89" i="42"/>
  <c r="I89" i="42" s="1"/>
  <c r="V89" i="42" s="1"/>
  <c r="W89" i="42" s="1"/>
  <c r="X89" i="42" s="1"/>
  <c r="H41" i="42"/>
  <c r="I41" i="42" s="1"/>
  <c r="H111" i="42"/>
  <c r="I111" i="42" s="1"/>
  <c r="V63" i="42" l="1"/>
  <c r="W63" i="42" s="1"/>
  <c r="X63" i="42" s="1"/>
  <c r="V51" i="42"/>
  <c r="W51" i="42" s="1"/>
  <c r="X51" i="42" s="1"/>
  <c r="V41" i="42"/>
  <c r="W41" i="42" s="1"/>
  <c r="X41" i="42" s="1"/>
  <c r="V111" i="42"/>
  <c r="W111" i="42" s="1"/>
  <c r="X111" i="42" s="1"/>
  <c r="H112" i="42"/>
  <c r="I112" i="42" s="1"/>
  <c r="V112" i="42" s="1"/>
  <c r="W112" i="42" s="1"/>
  <c r="X112" i="42" s="1"/>
  <c r="H64" i="42"/>
  <c r="I64" i="42" s="1"/>
  <c r="V64" i="42" s="1"/>
  <c r="W64" i="42" s="1"/>
  <c r="X64" i="42" s="1"/>
  <c r="H90" i="42"/>
  <c r="I90" i="42" s="1"/>
  <c r="H77" i="42"/>
  <c r="I77" i="42" s="1"/>
  <c r="V77" i="42" s="1"/>
  <c r="W77" i="42" s="1"/>
  <c r="X77" i="42" s="1"/>
  <c r="H42" i="42"/>
  <c r="I42" i="42" s="1"/>
  <c r="V42" i="42" s="1"/>
  <c r="W42" i="42" s="1"/>
  <c r="X42" i="42" s="1"/>
  <c r="H52" i="42"/>
  <c r="I52" i="42" s="1"/>
  <c r="V52" i="42" s="1"/>
  <c r="W52" i="42" s="1"/>
  <c r="X52" i="42" s="1"/>
  <c r="H103" i="42"/>
  <c r="I103" i="42" s="1"/>
  <c r="V103" i="42" l="1"/>
  <c r="W103" i="42" s="1"/>
  <c r="X103" i="42" s="1"/>
  <c r="V90" i="42"/>
  <c r="W90" i="42" s="1"/>
  <c r="X90" i="42" s="1"/>
  <c r="H65" i="42"/>
  <c r="I65" i="42" s="1"/>
  <c r="V65" i="42" s="1"/>
  <c r="W65" i="42" s="1"/>
  <c r="X65" i="42" s="1"/>
  <c r="H104" i="42"/>
  <c r="I104" i="42" s="1"/>
  <c r="V104" i="42" s="1"/>
  <c r="W104" i="42" s="1"/>
  <c r="X104" i="42" s="1"/>
  <c r="H43" i="42"/>
  <c r="I43" i="42" s="1"/>
  <c r="V43" i="42" s="1"/>
  <c r="W43" i="42" s="1"/>
  <c r="X43" i="42" s="1"/>
  <c r="H53" i="42"/>
  <c r="I53" i="42" s="1"/>
  <c r="V53" i="42" s="1"/>
  <c r="W53" i="42" s="1"/>
  <c r="X53" i="42" s="1"/>
  <c r="H78" i="42"/>
  <c r="I78" i="42" s="1"/>
  <c r="V78" i="42" s="1"/>
  <c r="W78" i="42" s="1"/>
  <c r="X78" i="42" s="1"/>
  <c r="H91" i="42"/>
  <c r="I91" i="42" s="1"/>
  <c r="V91" i="42" s="1"/>
  <c r="W91" i="42" s="1"/>
  <c r="X91" i="42" s="1"/>
  <c r="H113" i="42"/>
  <c r="I113" i="42" s="1"/>
  <c r="V113" i="42" l="1"/>
  <c r="W113" i="42" s="1"/>
  <c r="X113" i="42" s="1"/>
  <c r="H92" i="42"/>
  <c r="I92" i="42" s="1"/>
  <c r="V92" i="42" s="1"/>
  <c r="W92" i="42" s="1"/>
  <c r="X92" i="42" s="1"/>
  <c r="H66" i="42"/>
  <c r="I66" i="42" s="1"/>
  <c r="H54" i="42"/>
  <c r="I54" i="42" s="1"/>
  <c r="V54" i="42" s="1"/>
  <c r="W54" i="42" s="1"/>
  <c r="X54" i="42" s="1"/>
  <c r="H44" i="42"/>
  <c r="I44" i="42" s="1"/>
  <c r="H79" i="42"/>
  <c r="I79" i="42" s="1"/>
  <c r="H114" i="42"/>
  <c r="I114" i="42" s="1"/>
  <c r="V114" i="42" s="1"/>
  <c r="W114" i="42" s="1"/>
  <c r="X114" i="42" s="1"/>
  <c r="H105" i="42"/>
  <c r="I105" i="42" s="1"/>
  <c r="V105" i="42" s="1"/>
  <c r="W105" i="42" s="1"/>
  <c r="X105" i="42" s="1"/>
  <c r="V66" i="42" l="1"/>
  <c r="W66" i="42" s="1"/>
  <c r="X66" i="42" s="1"/>
  <c r="V79" i="42"/>
  <c r="W79" i="42" s="1"/>
  <c r="X79" i="42" s="1"/>
  <c r="V44" i="42"/>
  <c r="W44" i="42" s="1"/>
  <c r="X44" i="42" s="1"/>
  <c r="H80" i="42"/>
  <c r="I80" i="42" s="1"/>
  <c r="V80" i="42" s="1"/>
  <c r="W80" i="42" s="1"/>
  <c r="X80" i="42" s="1"/>
  <c r="H55" i="42"/>
  <c r="I55" i="42" s="1"/>
  <c r="V55" i="42" s="1"/>
  <c r="W55" i="42" s="1"/>
  <c r="X55" i="42" s="1"/>
  <c r="H106" i="42"/>
  <c r="I106" i="42" s="1"/>
  <c r="V106" i="42" s="1"/>
  <c r="W106" i="42" s="1"/>
  <c r="X106" i="42" s="1"/>
  <c r="H115" i="42"/>
  <c r="I115" i="42" s="1"/>
  <c r="V115" i="42" s="1"/>
  <c r="W115" i="42" s="1"/>
  <c r="X115" i="42" s="1"/>
  <c r="H45" i="42"/>
  <c r="I45" i="42" s="1"/>
  <c r="V45" i="42" s="1"/>
  <c r="W45" i="42" s="1"/>
  <c r="X45" i="42" s="1"/>
  <c r="H67" i="42"/>
  <c r="I67" i="42" s="1"/>
  <c r="V67" i="42" s="1"/>
  <c r="W67" i="42" s="1"/>
  <c r="X67" i="42" s="1"/>
  <c r="H93" i="42"/>
  <c r="I93" i="42" s="1"/>
  <c r="V93" i="42" s="1"/>
  <c r="W93" i="42" s="1"/>
  <c r="X93" i="42" s="1"/>
  <c r="H46" i="42" l="1"/>
  <c r="I46" i="42" s="1"/>
  <c r="H56" i="42"/>
  <c r="I56" i="42" s="1"/>
  <c r="V56" i="42" s="1"/>
  <c r="W56" i="42" s="1"/>
  <c r="X56" i="42" s="1"/>
  <c r="H94" i="42"/>
  <c r="I94" i="42" s="1"/>
  <c r="V94" i="42" s="1"/>
  <c r="W94" i="42" s="1"/>
  <c r="X94" i="42" s="1"/>
  <c r="H107" i="42"/>
  <c r="I107" i="42" s="1"/>
  <c r="V107" i="42" s="1"/>
  <c r="W107" i="42" s="1"/>
  <c r="X107" i="42" s="1"/>
  <c r="H68" i="42"/>
  <c r="I68" i="42" s="1"/>
  <c r="V68" i="42" s="1"/>
  <c r="W68" i="42" s="1"/>
  <c r="X68" i="42" s="1"/>
  <c r="H116" i="42"/>
  <c r="I116" i="42" s="1"/>
  <c r="H81" i="42"/>
  <c r="I81" i="42" s="1"/>
  <c r="V116" i="42" l="1"/>
  <c r="W116" i="42" s="1"/>
  <c r="X116" i="42" s="1"/>
  <c r="V46" i="42"/>
  <c r="W46" i="42" s="1"/>
  <c r="X46" i="42" s="1"/>
  <c r="V81" i="42"/>
  <c r="W81" i="42" s="1"/>
  <c r="X81" i="42" s="1"/>
  <c r="H82" i="42"/>
  <c r="I82" i="42" s="1"/>
  <c r="V82" i="42" s="1"/>
  <c r="W82" i="42" s="1"/>
  <c r="X82" i="42" s="1"/>
  <c r="H117" i="42"/>
  <c r="I117" i="42" s="1"/>
  <c r="V117" i="42" s="1"/>
  <c r="W117" i="42" s="1"/>
  <c r="X117" i="42" s="1"/>
  <c r="H69" i="42"/>
  <c r="I69" i="42" s="1"/>
  <c r="V69" i="42" s="1"/>
  <c r="W69" i="42" s="1"/>
  <c r="X69" i="42" s="1"/>
  <c r="H57" i="42"/>
  <c r="I57" i="42" s="1"/>
  <c r="V57" i="42" s="1"/>
  <c r="W57" i="42" s="1"/>
  <c r="X57" i="42" s="1"/>
  <c r="H108" i="42"/>
  <c r="I108" i="42" s="1"/>
  <c r="V108" i="42" s="1"/>
  <c r="W108" i="42" s="1"/>
  <c r="X108" i="42" s="1"/>
  <c r="H95" i="42"/>
  <c r="I95" i="42" s="1"/>
  <c r="V95" i="42" s="1"/>
  <c r="W95" i="42" s="1"/>
  <c r="X95" i="42" s="1"/>
  <c r="H47" i="42"/>
  <c r="I47" i="42" s="1"/>
  <c r="V47" i="42" s="1"/>
  <c r="W47" i="42" s="1"/>
  <c r="X47" i="42" s="1"/>
  <c r="H96" i="42" l="1"/>
  <c r="I96" i="42" s="1"/>
  <c r="V96" i="42" s="1"/>
  <c r="W96" i="42" s="1"/>
  <c r="X96" i="42" s="1"/>
  <c r="H48" i="42"/>
  <c r="I48" i="42" s="1"/>
  <c r="V48" i="42" s="1"/>
  <c r="W48" i="42" s="1"/>
  <c r="X48" i="42" s="1"/>
  <c r="H70" i="42"/>
  <c r="I70" i="42" s="1"/>
  <c r="V70" i="42" s="1"/>
  <c r="W70" i="42" s="1"/>
  <c r="X70" i="42" s="1"/>
  <c r="H83" i="42"/>
  <c r="I83" i="42" s="1"/>
  <c r="V83" i="42" s="1"/>
  <c r="W83" i="42" s="1"/>
  <c r="X83" i="42" s="1"/>
  <c r="H110" i="42"/>
  <c r="I110" i="42" s="1"/>
  <c r="H109" i="42"/>
  <c r="I109" i="42" s="1"/>
  <c r="V109" i="42" s="1"/>
  <c r="W109" i="42" s="1"/>
  <c r="X109" i="42" s="1"/>
  <c r="H58" i="42"/>
  <c r="I58" i="42" s="1"/>
  <c r="V58" i="42" s="1"/>
  <c r="W58" i="42" s="1"/>
  <c r="X58" i="42" s="1"/>
  <c r="H118" i="42"/>
  <c r="I118" i="42" s="1"/>
  <c r="V118" i="42" l="1"/>
  <c r="W118" i="42" s="1"/>
  <c r="X118" i="42" s="1"/>
  <c r="V110" i="42"/>
  <c r="W110" i="42" s="1"/>
  <c r="X110" i="42" s="1"/>
  <c r="I160" i="42"/>
  <c r="H97" i="42"/>
  <c r="I97" i="42" s="1"/>
  <c r="V97" i="42" s="1"/>
  <c r="W97" i="42" s="1"/>
  <c r="X97" i="42" s="1"/>
  <c r="H98" i="42"/>
  <c r="H71" i="42"/>
  <c r="I71" i="42" s="1"/>
  <c r="V71" i="42" s="1"/>
  <c r="W71" i="42" s="1"/>
  <c r="X71" i="42" s="1"/>
  <c r="H119" i="42"/>
  <c r="I119" i="42" s="1"/>
  <c r="V119" i="42" s="1"/>
  <c r="W119" i="42" s="1"/>
  <c r="X119" i="42" s="1"/>
  <c r="H49" i="42"/>
  <c r="I49" i="42" s="1"/>
  <c r="V49" i="42" s="1"/>
  <c r="W49" i="42" s="1"/>
  <c r="X49" i="42" s="1"/>
  <c r="H50" i="42"/>
  <c r="H59" i="42"/>
  <c r="I59" i="42" s="1"/>
  <c r="V59" i="42" s="1"/>
  <c r="W59" i="42" s="1"/>
  <c r="X59" i="42" s="1"/>
  <c r="H84" i="42"/>
  <c r="I84" i="42" s="1"/>
  <c r="V84" i="42" s="1"/>
  <c r="W84" i="42" s="1"/>
  <c r="X84" i="42" s="1"/>
  <c r="H160" i="42"/>
  <c r="Y160" i="42" s="1"/>
  <c r="Z160" i="42" s="1"/>
  <c r="C12" i="9" s="1"/>
  <c r="B12" i="9" l="1"/>
  <c r="H159" i="42"/>
  <c r="Y159" i="42" s="1"/>
  <c r="Z159" i="42" s="1"/>
  <c r="C11" i="9" s="1"/>
  <c r="I98" i="42"/>
  <c r="V160" i="42"/>
  <c r="W160" i="42" s="1"/>
  <c r="X160" i="42" s="1"/>
  <c r="H4" i="11"/>
  <c r="H155" i="42"/>
  <c r="Y155" i="42" s="1"/>
  <c r="Z155" i="42" s="1"/>
  <c r="C7" i="9" s="1"/>
  <c r="I50" i="42"/>
  <c r="H72" i="42"/>
  <c r="I72" i="42" s="1"/>
  <c r="V72" i="42" s="1"/>
  <c r="W72" i="42" s="1"/>
  <c r="X72" i="42" s="1"/>
  <c r="H120" i="42"/>
  <c r="I120" i="42" s="1"/>
  <c r="V120" i="42" s="1"/>
  <c r="W120" i="42" s="1"/>
  <c r="X120" i="42" s="1"/>
  <c r="H85" i="42"/>
  <c r="I85" i="42" s="1"/>
  <c r="V85" i="42" s="1"/>
  <c r="W85" i="42" s="1"/>
  <c r="X85" i="42" s="1"/>
  <c r="H86" i="42"/>
  <c r="H60" i="42"/>
  <c r="I60" i="42" s="1"/>
  <c r="V60" i="42" s="1"/>
  <c r="W60" i="42" s="1"/>
  <c r="X60" i="42" s="1"/>
  <c r="V50" i="42" l="1"/>
  <c r="W50" i="42" s="1"/>
  <c r="X50" i="42" s="1"/>
  <c r="I155" i="42"/>
  <c r="B7" i="9" s="1"/>
  <c r="H6" i="11"/>
  <c r="V98" i="42"/>
  <c r="W98" i="42" s="1"/>
  <c r="X98" i="42" s="1"/>
  <c r="I159" i="42"/>
  <c r="B11" i="9" s="1"/>
  <c r="H158" i="42"/>
  <c r="Y158" i="42" s="1"/>
  <c r="Z158" i="42" s="1"/>
  <c r="C10" i="9" s="1"/>
  <c r="I86" i="42"/>
  <c r="D12" i="9"/>
  <c r="E12" i="9" s="1"/>
  <c r="F12" i="9"/>
  <c r="H122" i="42"/>
  <c r="I122" i="42" s="1"/>
  <c r="H121" i="42"/>
  <c r="I121" i="42" s="1"/>
  <c r="V121" i="42" s="1"/>
  <c r="W121" i="42" s="1"/>
  <c r="X121" i="42" s="1"/>
  <c r="H74" i="42"/>
  <c r="I74" i="42" s="1"/>
  <c r="H73" i="42"/>
  <c r="I73" i="42" s="1"/>
  <c r="V73" i="42" s="1"/>
  <c r="W73" i="42" s="1"/>
  <c r="X73" i="42" s="1"/>
  <c r="H62" i="42"/>
  <c r="H61" i="42"/>
  <c r="I61" i="42" s="1"/>
  <c r="V61" i="42" s="1"/>
  <c r="W61" i="42" s="1"/>
  <c r="X61" i="42" s="1"/>
  <c r="V159" i="42" l="1"/>
  <c r="W159" i="42" s="1"/>
  <c r="X159" i="42" s="1"/>
  <c r="G4" i="11"/>
  <c r="V122" i="42"/>
  <c r="W122" i="42" s="1"/>
  <c r="X122" i="42" s="1"/>
  <c r="I161" i="42"/>
  <c r="V86" i="42"/>
  <c r="W86" i="42" s="1"/>
  <c r="X86" i="42" s="1"/>
  <c r="I158" i="42"/>
  <c r="B10" i="9" s="1"/>
  <c r="C4" i="11"/>
  <c r="V155" i="42"/>
  <c r="W155" i="42" s="1"/>
  <c r="X155" i="42" s="1"/>
  <c r="V74" i="42"/>
  <c r="W74" i="42" s="1"/>
  <c r="X74" i="42" s="1"/>
  <c r="I157" i="42"/>
  <c r="H156" i="42"/>
  <c r="Y156" i="42" s="1"/>
  <c r="Z156" i="42" s="1"/>
  <c r="C8" i="9" s="1"/>
  <c r="I62" i="42"/>
  <c r="H157" i="42"/>
  <c r="Y157" i="42" s="1"/>
  <c r="Z157" i="42" s="1"/>
  <c r="C9" i="9" s="1"/>
  <c r="H161" i="42"/>
  <c r="Y161" i="42" s="1"/>
  <c r="Z161" i="42" s="1"/>
  <c r="C13" i="9" s="1"/>
  <c r="B13" i="9" l="1"/>
  <c r="B9" i="9"/>
  <c r="V157" i="42"/>
  <c r="W157" i="42" s="1"/>
  <c r="X157" i="42" s="1"/>
  <c r="E4" i="11"/>
  <c r="V161" i="42"/>
  <c r="W161" i="42" s="1"/>
  <c r="X161" i="42" s="1"/>
  <c r="I4" i="11"/>
  <c r="V158" i="42"/>
  <c r="W158" i="42" s="1"/>
  <c r="X158" i="42" s="1"/>
  <c r="F4" i="11"/>
  <c r="C6" i="11"/>
  <c r="V62" i="42"/>
  <c r="W62" i="42" s="1"/>
  <c r="X62" i="42" s="1"/>
  <c r="I156" i="42"/>
  <c r="B8" i="9" s="1"/>
  <c r="G6" i="11"/>
  <c r="F7" i="9"/>
  <c r="D7" i="9"/>
  <c r="E7" i="9" s="1"/>
  <c r="D11" i="9"/>
  <c r="E11" i="9" s="1"/>
  <c r="F11" i="9"/>
  <c r="V156" i="42" l="1"/>
  <c r="W156" i="42" s="1"/>
  <c r="X156" i="42" s="1"/>
  <c r="D4" i="11"/>
  <c r="I6" i="11"/>
  <c r="F6" i="11"/>
  <c r="D13" i="9"/>
  <c r="E13" i="9" s="1"/>
  <c r="F13" i="9"/>
  <c r="E6" i="11"/>
  <c r="F10" i="9"/>
  <c r="D10" i="9"/>
  <c r="E10" i="9" s="1"/>
  <c r="F9" i="9"/>
  <c r="D9" i="9"/>
  <c r="E9" i="9" s="1"/>
  <c r="D8" i="9" l="1"/>
  <c r="E8" i="9" s="1"/>
  <c r="F8" i="9"/>
  <c r="D6" i="11"/>
  <c r="H3" i="42" l="1"/>
  <c r="H123" i="42" l="1"/>
  <c r="I3" i="42"/>
  <c r="H4" i="42"/>
  <c r="I4" i="42" l="1"/>
  <c r="V4" i="42" s="1"/>
  <c r="W4" i="42" s="1"/>
  <c r="X4" i="42" s="1"/>
  <c r="H5" i="42"/>
  <c r="H124" i="42"/>
  <c r="V3" i="42"/>
  <c r="W3" i="42" s="1"/>
  <c r="X3" i="42" s="1"/>
  <c r="I5" i="42" l="1"/>
  <c r="V5" i="42" s="1"/>
  <c r="W5" i="42" s="1"/>
  <c r="X5" i="42" s="1"/>
  <c r="H125" i="42"/>
  <c r="H6" i="42"/>
  <c r="I6" i="42" s="1"/>
  <c r="H7" i="42" l="1"/>
  <c r="H126" i="42"/>
  <c r="I7" i="42" l="1"/>
  <c r="V7" i="42" s="1"/>
  <c r="W7" i="42" s="1"/>
  <c r="X7" i="42" s="1"/>
  <c r="V6" i="42"/>
  <c r="W6" i="42" s="1"/>
  <c r="X6" i="42" s="1"/>
  <c r="H8" i="42"/>
  <c r="I8" i="42" s="1"/>
  <c r="H127" i="42"/>
  <c r="H128" i="42" l="1"/>
  <c r="H9" i="42"/>
  <c r="I9" i="42" l="1"/>
  <c r="V9" i="42" s="1"/>
  <c r="W9" i="42" s="1"/>
  <c r="X9" i="42" s="1"/>
  <c r="V8" i="42"/>
  <c r="W8" i="42" s="1"/>
  <c r="X8" i="42" s="1"/>
  <c r="H10" i="42"/>
  <c r="I10" i="42" s="1"/>
  <c r="H129" i="42"/>
  <c r="H11" i="42" l="1"/>
  <c r="H130" i="42"/>
  <c r="I11" i="42" l="1"/>
  <c r="V11" i="42" s="1"/>
  <c r="W11" i="42" s="1"/>
  <c r="X11" i="42" s="1"/>
  <c r="V10" i="42"/>
  <c r="W10" i="42" s="1"/>
  <c r="X10" i="42" s="1"/>
  <c r="H12" i="42"/>
  <c r="H131" i="42"/>
  <c r="I12" i="42" l="1"/>
  <c r="V12" i="42" s="1"/>
  <c r="W12" i="42" s="1"/>
  <c r="X12" i="42" s="1"/>
  <c r="H13" i="42"/>
  <c r="H132" i="42"/>
  <c r="I13" i="42" l="1"/>
  <c r="V13" i="42" s="1"/>
  <c r="W13" i="42" s="1"/>
  <c r="X13" i="42" s="1"/>
  <c r="H133" i="42"/>
  <c r="H14" i="42"/>
  <c r="I14" i="42" s="1"/>
  <c r="H152" i="42" l="1"/>
  <c r="H15" i="42"/>
  <c r="I15" i="42" s="1"/>
  <c r="H134" i="42"/>
  <c r="H162" i="42" s="1"/>
  <c r="Y162" i="42" s="1"/>
  <c r="Z162" i="42" s="1"/>
  <c r="C14" i="9" s="1"/>
  <c r="Y152" i="42" l="1"/>
  <c r="V15" i="42"/>
  <c r="W15" i="42" s="1"/>
  <c r="X15" i="42" s="1"/>
  <c r="H16" i="42"/>
  <c r="I16" i="42" s="1"/>
  <c r="V16" i="42" s="1"/>
  <c r="W16" i="42" s="1"/>
  <c r="X16" i="42" s="1"/>
  <c r="H135" i="42"/>
  <c r="V14" i="42"/>
  <c r="W14" i="42" s="1"/>
  <c r="X14" i="42" s="1"/>
  <c r="I152" i="42"/>
  <c r="Z152" i="42" l="1"/>
  <c r="V152" i="42"/>
  <c r="W152" i="42" s="1"/>
  <c r="X152" i="42" s="1"/>
  <c r="H136" i="42"/>
  <c r="H17" i="42"/>
  <c r="I17" i="42" s="1"/>
  <c r="V17" i="42" s="1"/>
  <c r="W17" i="42" s="1"/>
  <c r="X17" i="42" s="1"/>
  <c r="H137" i="42" l="1"/>
  <c r="H18" i="42"/>
  <c r="I18" i="42" s="1"/>
  <c r="V18" i="42" s="1"/>
  <c r="W18" i="42" s="1"/>
  <c r="X18" i="42" s="1"/>
  <c r="H19" i="42" l="1"/>
  <c r="I19" i="42" s="1"/>
  <c r="V19" i="42" s="1"/>
  <c r="W19" i="42" s="1"/>
  <c r="X19" i="42" s="1"/>
  <c r="H138" i="42"/>
  <c r="H139" i="42" l="1"/>
  <c r="H20" i="42"/>
  <c r="I20" i="42" s="1"/>
  <c r="V20" i="42" s="1"/>
  <c r="W20" i="42" s="1"/>
  <c r="X20" i="42" s="1"/>
  <c r="H21" i="42" l="1"/>
  <c r="I21" i="42" s="1"/>
  <c r="V21" i="42" s="1"/>
  <c r="W21" i="42" s="1"/>
  <c r="X21" i="42" s="1"/>
  <c r="H140" i="42"/>
  <c r="H141" i="42" l="1"/>
  <c r="H22" i="42"/>
  <c r="I22" i="42" s="1"/>
  <c r="V22" i="42" s="1"/>
  <c r="W22" i="42" s="1"/>
  <c r="X22" i="42" s="1"/>
  <c r="H23" i="42" l="1"/>
  <c r="I23" i="42" s="1"/>
  <c r="V23" i="42" s="1"/>
  <c r="W23" i="42" s="1"/>
  <c r="X23" i="42" s="1"/>
  <c r="H142" i="42"/>
  <c r="H143" i="42" l="1"/>
  <c r="H24" i="42"/>
  <c r="I24" i="42" s="1"/>
  <c r="V24" i="42" s="1"/>
  <c r="W24" i="42" s="1"/>
  <c r="X24" i="42" s="1"/>
  <c r="H25" i="42" l="1"/>
  <c r="I25" i="42" s="1"/>
  <c r="V25" i="42" s="1"/>
  <c r="W25" i="42" s="1"/>
  <c r="X25" i="42" s="1"/>
  <c r="H144" i="42"/>
  <c r="H146" i="42" l="1"/>
  <c r="H145" i="42"/>
  <c r="H26" i="42"/>
  <c r="H153" i="42" l="1"/>
  <c r="I26" i="42"/>
  <c r="H27" i="42"/>
  <c r="I27" i="42" s="1"/>
  <c r="H163" i="42"/>
  <c r="Y163" i="42" s="1"/>
  <c r="Z163" i="42" s="1"/>
  <c r="C15" i="9" s="1"/>
  <c r="Y153" i="42" l="1"/>
  <c r="V27" i="42"/>
  <c r="W27" i="42" s="1"/>
  <c r="X27" i="42" s="1"/>
  <c r="V26" i="42"/>
  <c r="W26" i="42" s="1"/>
  <c r="X26" i="42" s="1"/>
  <c r="I153" i="42"/>
  <c r="H28" i="42"/>
  <c r="I28" i="42" s="1"/>
  <c r="V28" i="42" s="1"/>
  <c r="W28" i="42" s="1"/>
  <c r="X28" i="42" s="1"/>
  <c r="Z153" i="42" l="1"/>
  <c r="V153" i="42"/>
  <c r="W153" i="42" s="1"/>
  <c r="X153" i="42" s="1"/>
  <c r="H29" i="42"/>
  <c r="I29" i="42" s="1"/>
  <c r="V29" i="42" s="1"/>
  <c r="W29" i="42" s="1"/>
  <c r="X29" i="42" s="1"/>
  <c r="H30" i="42" l="1"/>
  <c r="I30" i="42" s="1"/>
  <c r="V30" i="42" s="1"/>
  <c r="W30" i="42" s="1"/>
  <c r="X30" i="42" s="1"/>
  <c r="H31" i="42" l="1"/>
  <c r="I31" i="42" s="1"/>
  <c r="V31" i="42" s="1"/>
  <c r="W31" i="42" s="1"/>
  <c r="X31" i="42" s="1"/>
  <c r="H32" i="42" l="1"/>
  <c r="I32" i="42" s="1"/>
  <c r="V32" i="42" s="1"/>
  <c r="W32" i="42" s="1"/>
  <c r="X32" i="42" s="1"/>
  <c r="H33" i="42" l="1"/>
  <c r="I33" i="42" s="1"/>
  <c r="V33" i="42" s="1"/>
  <c r="W33" i="42" s="1"/>
  <c r="X33" i="42" s="1"/>
  <c r="H34" i="42" l="1"/>
  <c r="I34" i="42" s="1"/>
  <c r="V34" i="42" s="1"/>
  <c r="W34" i="42" s="1"/>
  <c r="X34" i="42" s="1"/>
  <c r="H35" i="42" l="1"/>
  <c r="I35" i="42" s="1"/>
  <c r="V35" i="42" s="1"/>
  <c r="W35" i="42" s="1"/>
  <c r="X35" i="42" s="1"/>
  <c r="H36" i="42" l="1"/>
  <c r="I36" i="42" s="1"/>
  <c r="V36" i="42" s="1"/>
  <c r="W36" i="42" s="1"/>
  <c r="X36" i="42" s="1"/>
  <c r="H38" i="42" l="1"/>
  <c r="I38" i="42" s="1"/>
  <c r="H37" i="42"/>
  <c r="I37" i="42" s="1"/>
  <c r="V37" i="42" s="1"/>
  <c r="W37" i="42" s="1"/>
  <c r="X37" i="42" s="1"/>
  <c r="V38" i="42" l="1"/>
  <c r="W38" i="42" s="1"/>
  <c r="X38" i="42" s="1"/>
  <c r="X123" i="42" s="1"/>
  <c r="I154" i="42"/>
  <c r="H154" i="42"/>
  <c r="Y154" i="42" l="1"/>
  <c r="H165" i="42"/>
  <c r="G165" i="42" s="1"/>
  <c r="B6" i="9"/>
  <c r="V154" i="42"/>
  <c r="W154" i="42" s="1"/>
  <c r="X154" i="42" s="1"/>
  <c r="B4" i="11"/>
  <c r="I165" i="42"/>
  <c r="V165" i="42" s="1"/>
  <c r="Z154" i="42" l="1"/>
  <c r="C6" i="9" s="1"/>
  <c r="Y165" i="42"/>
  <c r="B6" i="11"/>
  <c r="F6" i="9"/>
  <c r="F17" i="9" s="1"/>
  <c r="D6" i="9"/>
  <c r="E6" i="9" s="1"/>
  <c r="J7" i="11" l="1"/>
  <c r="J8" i="11" s="1"/>
  <c r="G15" i="9"/>
  <c r="G71" i="9" s="1"/>
  <c r="K7" i="11"/>
  <c r="K8" i="11" s="1"/>
  <c r="G14" i="9"/>
  <c r="G70" i="9" s="1"/>
  <c r="G74" i="9" l="1"/>
  <c r="G75" i="9"/>
  <c r="J79" i="9" l="1"/>
  <c r="K79" i="9"/>
  <c r="I79" i="9"/>
  <c r="H79" i="9"/>
  <c r="O79" i="9"/>
  <c r="S79" i="9"/>
  <c r="S71" i="9" s="1"/>
  <c r="M79" i="9"/>
  <c r="L79" i="9"/>
  <c r="J78" i="9"/>
  <c r="O78" i="9"/>
  <c r="H78" i="9"/>
  <c r="M78" i="9"/>
  <c r="S78" i="9"/>
  <c r="S70" i="9" s="1"/>
  <c r="L78" i="9"/>
  <c r="I78" i="9"/>
  <c r="K78" i="9"/>
  <c r="L70" i="9" l="1"/>
  <c r="K70" i="9"/>
  <c r="I70" i="9"/>
  <c r="J21" i="11" s="1"/>
  <c r="K58" i="11"/>
  <c r="H11" i="18"/>
  <c r="J11" i="18"/>
  <c r="T79" i="9"/>
  <c r="H71" i="9"/>
  <c r="L71" i="9"/>
  <c r="M71" i="9"/>
  <c r="J58" i="11"/>
  <c r="H10" i="18"/>
  <c r="J10" i="18"/>
  <c r="O71" i="9"/>
  <c r="K54" i="11" s="1"/>
  <c r="M70" i="9"/>
  <c r="T78" i="9"/>
  <c r="H70" i="9"/>
  <c r="I71" i="9"/>
  <c r="K21" i="11" s="1"/>
  <c r="O70" i="9"/>
  <c r="J54" i="11" s="1"/>
  <c r="K71" i="9"/>
  <c r="J70" i="9"/>
  <c r="J71" i="9"/>
  <c r="J45" i="51" l="1"/>
  <c r="C12" i="53"/>
  <c r="J39" i="50"/>
  <c r="C6" i="53"/>
  <c r="J15" i="50"/>
  <c r="J17" i="51"/>
  <c r="B11" i="18"/>
  <c r="K25" i="11"/>
  <c r="K45" i="51"/>
  <c r="K39" i="50"/>
  <c r="C12" i="54"/>
  <c r="T71" i="9"/>
  <c r="K17" i="11"/>
  <c r="E11" i="18"/>
  <c r="K44" i="11"/>
  <c r="C11" i="18"/>
  <c r="K30" i="11"/>
  <c r="J106" i="11"/>
  <c r="J105" i="11" s="1"/>
  <c r="J59" i="11" s="1"/>
  <c r="T70" i="9"/>
  <c r="J17" i="11"/>
  <c r="J74" i="11"/>
  <c r="J35" i="11"/>
  <c r="D10" i="18"/>
  <c r="K74" i="11"/>
  <c r="J44" i="11"/>
  <c r="E10" i="18"/>
  <c r="C13" i="54"/>
  <c r="K49" i="51"/>
  <c r="D11" i="18"/>
  <c r="K35" i="11"/>
  <c r="K15" i="50"/>
  <c r="C6" i="54"/>
  <c r="K17" i="51"/>
  <c r="J30" i="11"/>
  <c r="C10" i="18"/>
  <c r="B10" i="18"/>
  <c r="J25" i="11"/>
  <c r="C13" i="53"/>
  <c r="J49" i="51"/>
  <c r="K106" i="11"/>
  <c r="K105" i="11" s="1"/>
  <c r="K59" i="11" s="1"/>
  <c r="K36" i="11" l="1"/>
  <c r="J11" i="50"/>
  <c r="J13" i="51"/>
  <c r="C5" i="53"/>
  <c r="C7" i="54"/>
  <c r="K19" i="50"/>
  <c r="K21" i="51"/>
  <c r="C24" i="53"/>
  <c r="E24" i="53" s="1"/>
  <c r="K83" i="11"/>
  <c r="K49" i="50"/>
  <c r="D16" i="54"/>
  <c r="E69" i="54" s="1"/>
  <c r="J87" i="11"/>
  <c r="J10" i="11"/>
  <c r="U70" i="9"/>
  <c r="K10" i="11"/>
  <c r="K87" i="11"/>
  <c r="U71" i="9"/>
  <c r="K26" i="11"/>
  <c r="K11" i="18"/>
  <c r="K88" i="11" s="1"/>
  <c r="J36" i="11"/>
  <c r="D13" i="53"/>
  <c r="E66" i="53" s="1"/>
  <c r="J50" i="51"/>
  <c r="C30" i="54"/>
  <c r="E30" i="54" s="1"/>
  <c r="C30" i="53"/>
  <c r="E30" i="53" s="1"/>
  <c r="C31" i="53"/>
  <c r="E31" i="53" s="1"/>
  <c r="J31" i="51"/>
  <c r="C9" i="53"/>
  <c r="D13" i="54"/>
  <c r="E66" i="54" s="1"/>
  <c r="K50" i="51"/>
  <c r="C31" i="54"/>
  <c r="E31" i="54" s="1"/>
  <c r="J83" i="11"/>
  <c r="K10" i="18"/>
  <c r="J88" i="11" s="1"/>
  <c r="J26" i="11"/>
  <c r="J45" i="11"/>
  <c r="D16" i="53"/>
  <c r="E69" i="53" s="1"/>
  <c r="J49" i="50"/>
  <c r="K40" i="51"/>
  <c r="K29" i="50"/>
  <c r="C10" i="54"/>
  <c r="J26" i="51"/>
  <c r="J24" i="50"/>
  <c r="C8" i="53"/>
  <c r="K11" i="50"/>
  <c r="C5" i="54"/>
  <c r="K13" i="51"/>
  <c r="K26" i="51"/>
  <c r="C8" i="54"/>
  <c r="K24" i="50"/>
  <c r="J21" i="51"/>
  <c r="C7" i="53"/>
  <c r="J19" i="50"/>
  <c r="C24" i="54"/>
  <c r="E24" i="54" s="1"/>
  <c r="K31" i="11"/>
  <c r="J31" i="11"/>
  <c r="K31" i="51"/>
  <c r="C9" i="54"/>
  <c r="J40" i="51"/>
  <c r="C10" i="53"/>
  <c r="J29" i="50"/>
  <c r="K45" i="11"/>
  <c r="C47" i="54" l="1"/>
  <c r="E47" i="54" s="1"/>
  <c r="G47" i="54" s="1"/>
  <c r="C41" i="53"/>
  <c r="E41" i="53" s="1"/>
  <c r="G41" i="53" s="1"/>
  <c r="K58" i="50"/>
  <c r="C48" i="54"/>
  <c r="E48" i="54" s="1"/>
  <c r="G48" i="54" s="1"/>
  <c r="C48" i="53"/>
  <c r="E48" i="53" s="1"/>
  <c r="G48" i="53" s="1"/>
  <c r="K100" i="11"/>
  <c r="C25" i="53"/>
  <c r="E25" i="53" s="1"/>
  <c r="C42" i="53"/>
  <c r="E42" i="53" s="1"/>
  <c r="G42" i="53" s="1"/>
  <c r="E87" i="53"/>
  <c r="G87" i="53" s="1"/>
  <c r="G69" i="53"/>
  <c r="G30" i="53"/>
  <c r="C18" i="53"/>
  <c r="C23" i="53"/>
  <c r="J12" i="11"/>
  <c r="G30" i="54"/>
  <c r="E100" i="54"/>
  <c r="J59" i="51"/>
  <c r="C27" i="54"/>
  <c r="E27" i="54" s="1"/>
  <c r="K27" i="51"/>
  <c r="D8" i="54"/>
  <c r="E60" i="54" s="1"/>
  <c r="K25" i="50"/>
  <c r="J41" i="51"/>
  <c r="D10" i="53"/>
  <c r="E63" i="53" s="1"/>
  <c r="J30" i="50"/>
  <c r="J58" i="50"/>
  <c r="C41" i="54"/>
  <c r="E41" i="54" s="1"/>
  <c r="G41" i="54" s="1"/>
  <c r="C26" i="54"/>
  <c r="E26" i="54" s="1"/>
  <c r="C43" i="54"/>
  <c r="E43" i="54" s="1"/>
  <c r="G43" i="54" s="1"/>
  <c r="J84" i="11"/>
  <c r="J101" i="11" s="1"/>
  <c r="J20" i="50"/>
  <c r="J22" i="51"/>
  <c r="D7" i="53"/>
  <c r="K84" i="11"/>
  <c r="K101" i="11" s="1"/>
  <c r="K20" i="50"/>
  <c r="K22" i="51"/>
  <c r="D7" i="54"/>
  <c r="G69" i="54"/>
  <c r="E87" i="54"/>
  <c r="G87" i="54" s="1"/>
  <c r="J32" i="51"/>
  <c r="D9" i="53"/>
  <c r="E62" i="53" s="1"/>
  <c r="K41" i="51"/>
  <c r="K30" i="50"/>
  <c r="D10" i="54"/>
  <c r="E63" i="54" s="1"/>
  <c r="G24" i="54"/>
  <c r="J25" i="50"/>
  <c r="J27" i="51"/>
  <c r="D8" i="53"/>
  <c r="E60" i="53" s="1"/>
  <c r="K59" i="51"/>
  <c r="K110" i="11" s="1"/>
  <c r="K115" i="11" s="1"/>
  <c r="G31" i="53"/>
  <c r="G66" i="53"/>
  <c r="E84" i="53"/>
  <c r="G84" i="53" s="1"/>
  <c r="C25" i="54"/>
  <c r="E25" i="54" s="1"/>
  <c r="D9" i="54"/>
  <c r="E62" i="54" s="1"/>
  <c r="K32" i="51"/>
  <c r="C28" i="54"/>
  <c r="E28" i="54" s="1"/>
  <c r="C26" i="53"/>
  <c r="E26" i="53" s="1"/>
  <c r="G31" i="54"/>
  <c r="C27" i="53"/>
  <c r="E27" i="53" s="1"/>
  <c r="E58" i="53"/>
  <c r="E94" i="53"/>
  <c r="G24" i="53"/>
  <c r="C28" i="53"/>
  <c r="E28" i="53" s="1"/>
  <c r="C18" i="54"/>
  <c r="C23" i="54"/>
  <c r="J100" i="11"/>
  <c r="G66" i="54"/>
  <c r="E84" i="54"/>
  <c r="G84" i="54" s="1"/>
  <c r="C47" i="53"/>
  <c r="E47" i="53" s="1"/>
  <c r="G47" i="53" s="1"/>
  <c r="K12" i="11"/>
  <c r="E65" i="54" l="1"/>
  <c r="E101" i="54"/>
  <c r="E101" i="53"/>
  <c r="E65" i="53"/>
  <c r="G65" i="53" s="1"/>
  <c r="C43" i="53"/>
  <c r="E43" i="53" s="1"/>
  <c r="G43" i="53" s="1"/>
  <c r="J59" i="50"/>
  <c r="C45" i="54"/>
  <c r="E45" i="54" s="1"/>
  <c r="G45" i="54" s="1"/>
  <c r="C42" i="54"/>
  <c r="E42" i="54" s="1"/>
  <c r="G42" i="54" s="1"/>
  <c r="E58" i="54"/>
  <c r="G58" i="54" s="1"/>
  <c r="K59" i="50"/>
  <c r="E94" i="54"/>
  <c r="G94" i="54" s="1"/>
  <c r="G28" i="53"/>
  <c r="G27" i="53"/>
  <c r="E81" i="54"/>
  <c r="G81" i="54" s="1"/>
  <c r="G63" i="54"/>
  <c r="C36" i="53"/>
  <c r="E23" i="53"/>
  <c r="G25" i="54"/>
  <c r="D18" i="54"/>
  <c r="E59" i="54"/>
  <c r="E81" i="53"/>
  <c r="G81" i="53" s="1"/>
  <c r="G63" i="53"/>
  <c r="G65" i="54"/>
  <c r="E83" i="54"/>
  <c r="G83" i="54" s="1"/>
  <c r="G28" i="54"/>
  <c r="G60" i="53"/>
  <c r="E78" i="53"/>
  <c r="G78" i="53" s="1"/>
  <c r="K60" i="51"/>
  <c r="C44" i="54"/>
  <c r="E44" i="54" s="1"/>
  <c r="G44" i="54" s="1"/>
  <c r="E100" i="53"/>
  <c r="E118" i="54"/>
  <c r="G118" i="54" s="1"/>
  <c r="G101" i="54"/>
  <c r="G27" i="54"/>
  <c r="C40" i="54"/>
  <c r="C36" i="54"/>
  <c r="E23" i="54"/>
  <c r="E111" i="53"/>
  <c r="G111" i="53" s="1"/>
  <c r="G94" i="53"/>
  <c r="E96" i="54"/>
  <c r="G26" i="54"/>
  <c r="E76" i="53"/>
  <c r="G76" i="53" s="1"/>
  <c r="G58" i="53"/>
  <c r="G62" i="54"/>
  <c r="E80" i="54"/>
  <c r="G80" i="54" s="1"/>
  <c r="J60" i="51"/>
  <c r="E78" i="54"/>
  <c r="G78" i="54" s="1"/>
  <c r="G60" i="54"/>
  <c r="G100" i="54"/>
  <c r="E117" i="54"/>
  <c r="G117" i="54" s="1"/>
  <c r="E76" i="54"/>
  <c r="G76" i="54" s="1"/>
  <c r="D18" i="53"/>
  <c r="E59" i="53"/>
  <c r="G26" i="53"/>
  <c r="E96" i="53"/>
  <c r="E118" i="53"/>
  <c r="G118" i="53" s="1"/>
  <c r="G101" i="53"/>
  <c r="C45" i="53"/>
  <c r="E45" i="53" s="1"/>
  <c r="G45" i="53" s="1"/>
  <c r="C44" i="53"/>
  <c r="E44" i="53" s="1"/>
  <c r="G44" i="53" s="1"/>
  <c r="G62" i="53"/>
  <c r="E80" i="53"/>
  <c r="G80" i="53" s="1"/>
  <c r="J110" i="11"/>
  <c r="J115" i="11" s="1"/>
  <c r="C40" i="53"/>
  <c r="G25" i="53"/>
  <c r="E95" i="53"/>
  <c r="J111" i="11" l="1"/>
  <c r="J116" i="11" s="1"/>
  <c r="K111" i="11"/>
  <c r="K116" i="11" s="1"/>
  <c r="E83" i="53"/>
  <c r="G83" i="53" s="1"/>
  <c r="E98" i="54"/>
  <c r="E115" i="54" s="1"/>
  <c r="G115" i="54" s="1"/>
  <c r="E111" i="54"/>
  <c r="G111" i="54" s="1"/>
  <c r="E95" i="54"/>
  <c r="E112" i="54" s="1"/>
  <c r="G112" i="54" s="1"/>
  <c r="E97" i="53"/>
  <c r="G97" i="53" s="1"/>
  <c r="E113" i="54"/>
  <c r="G113" i="54" s="1"/>
  <c r="G96" i="54"/>
  <c r="G100" i="53"/>
  <c r="E117" i="53"/>
  <c r="G117" i="53" s="1"/>
  <c r="E40" i="54"/>
  <c r="E57" i="54" s="1"/>
  <c r="C53" i="54"/>
  <c r="E77" i="54"/>
  <c r="G77" i="54" s="1"/>
  <c r="G59" i="54"/>
  <c r="G98" i="54"/>
  <c r="G95" i="53"/>
  <c r="E112" i="53"/>
  <c r="G112" i="53" s="1"/>
  <c r="E97" i="54"/>
  <c r="G95" i="54"/>
  <c r="E98" i="53"/>
  <c r="E40" i="53"/>
  <c r="C53" i="53"/>
  <c r="G23" i="53"/>
  <c r="G36" i="53" s="1"/>
  <c r="E36" i="53"/>
  <c r="E36" i="54"/>
  <c r="G23" i="54"/>
  <c r="G36" i="54" s="1"/>
  <c r="G59" i="53"/>
  <c r="E77" i="53"/>
  <c r="G77" i="53" s="1"/>
  <c r="G96" i="53"/>
  <c r="E113" i="53"/>
  <c r="G113" i="53" s="1"/>
  <c r="E93" i="54" l="1"/>
  <c r="E114" i="53"/>
  <c r="G114" i="53" s="1"/>
  <c r="G40" i="53"/>
  <c r="G53" i="53" s="1"/>
  <c r="C127" i="53" s="1"/>
  <c r="E53" i="53"/>
  <c r="E114" i="54"/>
  <c r="G114" i="54" s="1"/>
  <c r="G97" i="54"/>
  <c r="E115" i="53"/>
  <c r="G115" i="53" s="1"/>
  <c r="G98" i="53"/>
  <c r="G93" i="54"/>
  <c r="E106" i="54"/>
  <c r="E110" i="54"/>
  <c r="E57" i="53"/>
  <c r="E93" i="53"/>
  <c r="G57" i="54"/>
  <c r="G71" i="54" s="1"/>
  <c r="C129" i="54" s="1"/>
  <c r="E75" i="54"/>
  <c r="G75" i="54" s="1"/>
  <c r="G89" i="54" s="1"/>
  <c r="C130" i="54" s="1"/>
  <c r="G40" i="54"/>
  <c r="G53" i="54" s="1"/>
  <c r="C127" i="54" s="1"/>
  <c r="E53" i="54"/>
  <c r="G106" i="54" l="1"/>
  <c r="C128" i="54" s="1"/>
  <c r="E110" i="53"/>
  <c r="G93" i="53"/>
  <c r="G106" i="53" s="1"/>
  <c r="C128" i="53" s="1"/>
  <c r="E106" i="53"/>
  <c r="E75" i="53"/>
  <c r="G75" i="53" s="1"/>
  <c r="G89" i="53" s="1"/>
  <c r="C130" i="53" s="1"/>
  <c r="G57" i="53"/>
  <c r="G71" i="53" s="1"/>
  <c r="C129" i="53" s="1"/>
  <c r="E123" i="54"/>
  <c r="G110" i="54"/>
  <c r="G123" i="54" s="1"/>
  <c r="C131" i="54" s="1"/>
  <c r="C134" i="54" s="1"/>
  <c r="G110" i="53" l="1"/>
  <c r="G123" i="53" s="1"/>
  <c r="C131" i="53" s="1"/>
  <c r="C134" i="53" s="1"/>
  <c r="E123" i="53"/>
</calcChain>
</file>

<file path=xl/comments1.xml><?xml version="1.0" encoding="utf-8"?>
<comments xmlns="http://schemas.openxmlformats.org/spreadsheetml/2006/main">
  <authors>
    <author>Author</author>
  </authors>
  <commentList>
    <comment ref="B3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D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total from Jean</t>
        </r>
      </text>
    </comment>
  </commentList>
</comments>
</file>

<file path=xl/sharedStrings.xml><?xml version="1.0" encoding="utf-8"?>
<sst xmlns="http://schemas.openxmlformats.org/spreadsheetml/2006/main" count="1288" uniqueCount="247">
  <si>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</si>
  <si>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</si>
  <si>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</si>
  <si>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</si>
  <si>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</si>
  <si>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</si>
  <si>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</si>
  <si>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</si>
  <si>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</si>
  <si>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</si>
  <si>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</si>
  <si>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</si>
  <si>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</si>
  <si>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</si>
  <si>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</si>
  <si>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</si>
  <si>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</si>
  <si>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</si>
  <si>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</si>
  <si>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Check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</si>
  <si>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</si>
  <si>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</si>
  <si>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</si>
  <si>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</si>
  <si>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</si>
  <si>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</si>
  <si>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</si>
  <si>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</si>
  <si>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</si>
  <si>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</si>
  <si>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</si>
  <si>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</si>
  <si>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</si>
  <si>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</si>
  <si>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</si>
  <si>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</si>
  <si>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</si>
  <si>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</si>
  <si>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</si>
  <si>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</si>
  <si>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</si>
  <si>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</si>
  <si>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</si>
  <si>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</si>
  <si>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</si>
  <si>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</si>
  <si>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</si>
  <si>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</si>
  <si>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</si>
  <si>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</si>
  <si>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</si>
  <si>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</si>
  <si>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</si>
  <si>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</si>
  <si>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</si>
  <si>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</si>
  <si>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</si>
  <si>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</si>
  <si>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</si>
  <si>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</si>
  <si>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</si>
  <si>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</si>
  <si>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r>
      <t xml:space="preserve">General Service </t>
    </r>
    <r>
      <rPr>
        <u/>
        <sz val="10"/>
        <rFont val="Arial"/>
        <family val="2"/>
      </rPr>
      <t>&gt; 50 to 999 kW</t>
    </r>
  </si>
  <si>
    <r>
      <t xml:space="preserve">General Service </t>
    </r>
    <r>
      <rPr>
        <u/>
        <sz val="10"/>
        <rFont val="Arial"/>
        <family val="2"/>
      </rPr>
      <t>&gt; 1000 to 4999 kW</t>
    </r>
  </si>
  <si>
    <t>kW/kWh</t>
  </si>
  <si>
    <t>Check totals above sould be zero</t>
  </si>
  <si>
    <t>Street Lights</t>
  </si>
  <si>
    <t xml:space="preserve">Embedded </t>
  </si>
  <si>
    <t>Waterloo</t>
  </si>
  <si>
    <t>Hydro One</t>
  </si>
  <si>
    <t>Weather Normal</t>
  </si>
  <si>
    <t>2012 Actual</t>
  </si>
  <si>
    <t>2011 Actual</t>
  </si>
  <si>
    <t>2010 Actual</t>
  </si>
  <si>
    <t>Total Annual CDM Results</t>
  </si>
  <si>
    <t>Increase over previous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</si>
  <si>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</si>
  <si>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</si>
  <si>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</si>
  <si>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</si>
  <si>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</si>
  <si>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</si>
  <si>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</si>
  <si>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</si>
  <si>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</si>
  <si>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</si>
  <si>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</si>
  <si>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</si>
  <si>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</si>
  <si>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</si>
  <si>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</si>
  <si>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</si>
  <si>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</si>
  <si>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</si>
  <si>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</si>
  <si>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</si>
  <si>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</si>
  <si>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</si>
  <si>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</si>
  <si>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</si>
  <si>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</si>
  <si>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</si>
  <si>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</si>
  <si>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</si>
  <si>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</si>
  <si>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</si>
  <si>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</si>
  <si>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</si>
  <si>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Employment Kitchener-Waterloo-Barrie (000's)</t>
  </si>
  <si>
    <t>Unemployment Kitchener-Waterloo-Barrie (000's)</t>
  </si>
  <si>
    <t>Number of Customers</t>
  </si>
  <si>
    <t>% Variance (Abs)</t>
  </si>
  <si>
    <t>Direct Market Participant</t>
  </si>
  <si>
    <t>Large User</t>
  </si>
  <si>
    <t>CDM Purchase Adjustment</t>
  </si>
  <si>
    <t>Predicted kWh Purchases after CDM</t>
  </si>
  <si>
    <t>Waterloo North kWh</t>
  </si>
  <si>
    <t>Billed kWh incl Est for Waterloo</t>
  </si>
  <si>
    <t xml:space="preserve">Billed kWh </t>
  </si>
  <si>
    <t>Est for Waterloo</t>
  </si>
  <si>
    <t>CDM Activity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</si>
  <si>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</si>
  <si>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</si>
  <si>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</si>
  <si>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</si>
  <si>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</si>
  <si>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</si>
  <si>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</si>
  <si>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</si>
  <si>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</si>
  <si>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</si>
  <si>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</si>
  <si>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</si>
  <si>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</si>
  <si>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</si>
  <si>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</si>
  <si>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4751 - Smart Metering Entity charge</t>
  </si>
  <si>
    <t xml:space="preserve"> </t>
  </si>
  <si>
    <t>General Service &lt; 50 kW</t>
  </si>
  <si>
    <t>General Service &gt; 50 to 999 kW</t>
  </si>
  <si>
    <t>General Service &gt; 1000 to 4999 kW</t>
  </si>
  <si>
    <t>Rural Rate Charge</t>
  </si>
  <si>
    <t>Rural Rate</t>
  </si>
  <si>
    <t>Purchases kWh</t>
  </si>
  <si>
    <t>2014 COS working paper</t>
  </si>
  <si>
    <t>GS 50-1000</t>
  </si>
  <si>
    <t>LU</t>
  </si>
  <si>
    <t>Loblaws</t>
  </si>
  <si>
    <t>usage_</t>
  </si>
  <si>
    <t>Account no</t>
  </si>
  <si>
    <t>Read date</t>
  </si>
  <si>
    <t>Address</t>
  </si>
  <si>
    <t>180 Holiday Inn Dr</t>
  </si>
  <si>
    <t>Billed</t>
  </si>
  <si>
    <t>200 Franklin Blvd</t>
  </si>
  <si>
    <t>400 Conestoga Blvd</t>
  </si>
  <si>
    <t>1105 Fountain St</t>
  </si>
  <si>
    <t>Rate Class</t>
  </si>
  <si>
    <t>GS&gt;50-4,999 kW</t>
  </si>
  <si>
    <t>Cons Month</t>
  </si>
  <si>
    <t>Cons Year</t>
  </si>
  <si>
    <t>Row Labels</t>
  </si>
  <si>
    <t>Grand Total</t>
  </si>
  <si>
    <t>Column Labels</t>
  </si>
  <si>
    <t>Sum of usage_</t>
  </si>
  <si>
    <t>taken from 2014 COS working paper.</t>
  </si>
  <si>
    <t>Copied Pivot Table</t>
  </si>
  <si>
    <t>Reconciliation to Detailed Monthly Loblaws Data</t>
  </si>
  <si>
    <t>WMP</t>
  </si>
  <si>
    <t>Total IESO/OPA Annual CDM Results 2011 to 2014 programs</t>
  </si>
  <si>
    <t>2017 Programs</t>
  </si>
  <si>
    <t>CND</t>
  </si>
  <si>
    <t>BCP</t>
  </si>
  <si>
    <t xml:space="preserve">2013 Actual </t>
  </si>
  <si>
    <t xml:space="preserve">2014 Actual </t>
  </si>
  <si>
    <t xml:space="preserve">2015 Actual </t>
  </si>
  <si>
    <t xml:space="preserve">2016 Actual </t>
  </si>
  <si>
    <t>2018 Bridge</t>
  </si>
  <si>
    <t>2019 Test</t>
  </si>
  <si>
    <t>2018 Programs</t>
  </si>
  <si>
    <t>2019 Programs</t>
  </si>
  <si>
    <t>Cost of Power 2019</t>
  </si>
  <si>
    <t>2019 Load Forecast</t>
  </si>
  <si>
    <t>2019 Forecasted Metered kWhs</t>
  </si>
  <si>
    <t>2019  Loss Factor</t>
  </si>
  <si>
    <t>2016 %RPP</t>
  </si>
  <si>
    <t>Cost of Power 2018</t>
  </si>
  <si>
    <t>2018 Load Forecast</t>
  </si>
  <si>
    <t>2018 Forecasted Metered kWhs</t>
  </si>
  <si>
    <t>2018  Loss Factor</t>
  </si>
  <si>
    <t>Co-generation Facility Flag</t>
  </si>
  <si>
    <t>CND Purchased kWh Incl WMP</t>
  </si>
  <si>
    <t>CND Purchased kWh Excl WMP</t>
  </si>
  <si>
    <t>BCP Purhased</t>
  </si>
  <si>
    <t>Energy+ Purchased</t>
  </si>
  <si>
    <t>Sentinel Lights</t>
  </si>
  <si>
    <t>Energy +</t>
  </si>
  <si>
    <t>Enegy+ Weather Normal Load Forecast for 2019 Rate Application</t>
  </si>
  <si>
    <t>Embedded Distributor</t>
  </si>
  <si>
    <t>Enegy+, BCP Component Weather Normal Load Forecast for 2019 Rate Application</t>
  </si>
  <si>
    <t>Enegy+: CND Component Weather Normal Load Forecast for 2019 Rate Application</t>
  </si>
  <si>
    <t>2011 Board Approved</t>
  </si>
  <si>
    <t xml:space="preserve">2017 Actual </t>
  </si>
  <si>
    <r>
      <t xml:space="preserve">Embedded </t>
    </r>
    <r>
      <rPr>
        <u/>
        <sz val="10"/>
        <rFont val="Arial"/>
        <family val="2"/>
      </rPr>
      <t>Distributors - Hydro One, CND</t>
    </r>
  </si>
  <si>
    <t>Embedded Distributors -Waterloo - CND</t>
  </si>
  <si>
    <t>Embedded Distributors -BPI - BCP</t>
  </si>
  <si>
    <t>Embedded Distributors - Hydro One #1, BCP</t>
  </si>
  <si>
    <t>Embedded Distributors - Hydro One #2, BCP</t>
  </si>
  <si>
    <t>Embedded Distributors - Hydro One &amp; Waterloo, CND</t>
  </si>
  <si>
    <t xml:space="preserve">  Customers </t>
  </si>
  <si>
    <t>Embedded Distributor - Hydro One, CND</t>
  </si>
  <si>
    <t>Embedded Distributor - Waterloo North, CND</t>
  </si>
  <si>
    <t>Embedded Distributor - Brantford Power, BCP</t>
  </si>
  <si>
    <t>Embedded Distributor - Hydro One #1, BCP</t>
  </si>
  <si>
    <t>Embedded Distributor - Hydro One #2, BCP</t>
  </si>
  <si>
    <t>Waterloo North</t>
  </si>
  <si>
    <t>Total (BCP + CND)</t>
  </si>
  <si>
    <t>20 Year Trend</t>
  </si>
  <si>
    <t xml:space="preserve">  kW - Estimated</t>
  </si>
  <si>
    <t>Total OPA Annual CDM Results 2006 to 2010 programs</t>
  </si>
  <si>
    <t>Total IESO Annual CDM Results 2015 programs</t>
  </si>
  <si>
    <t>Total IESO Annual CDM Results 2016 programs</t>
  </si>
  <si>
    <t>PEG # of Customers</t>
  </si>
  <si>
    <t>CDM Allocation % from Heather Tripp Feb 15, 2018</t>
  </si>
  <si>
    <t>CDM Values</t>
  </si>
  <si>
    <t>Former BCP 2014 Board Approved Proxy</t>
  </si>
  <si>
    <t>Proxy 2012</t>
  </si>
  <si>
    <t>Proxy 2013</t>
  </si>
  <si>
    <t>Proxy 2014</t>
  </si>
  <si>
    <t>IRM Factor</t>
  </si>
  <si>
    <t>USoA Description</t>
  </si>
  <si>
    <t>Former CND 2014 Board Approved</t>
  </si>
  <si>
    <t>Energy+ 2014 Board Approved Proxy</t>
  </si>
  <si>
    <t>For purposes of this table any customers &gt; 1,000 for former Brant County Power have been included in General Service &gt; 50 to 999 kW rate class for historical purposes</t>
  </si>
  <si>
    <t>information gathered from BA Draft Rate Order pdf</t>
  </si>
  <si>
    <t>BCP on pg 164/176</t>
  </si>
  <si>
    <t>Other Revenue</t>
  </si>
  <si>
    <t>Total Service Revenue Requirement</t>
  </si>
  <si>
    <t>Original Table - Other Revenue Included</t>
  </si>
  <si>
    <t>CND on pg 12/217</t>
  </si>
  <si>
    <t>Base Revenue, excluding Other Revenue</t>
  </si>
  <si>
    <t>Total IESO Annual CDM Results 2017 programs</t>
  </si>
  <si>
    <t>Trend</t>
  </si>
  <si>
    <t>CDM Loss Factor Adj</t>
  </si>
  <si>
    <t>CDM Adj</t>
  </si>
  <si>
    <t xml:space="preserve"> PP Fcst w/o CDM</t>
  </si>
  <si>
    <t xml:space="preserve"> PP Fcst w/ CDM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</si>
</sst>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;\(#,##0\)"/>
    <numFmt numFmtId="167" formatCode="0.0000"/>
    <numFmt numFmtId="168" formatCode="#,##0.0000"/>
    <numFmt numFmtId="169" formatCode="0.0000%"/>
    <numFmt numFmtId="170" formatCode="#,##0.0000_);\(#,##0.0000\)"/>
    <numFmt numFmtId="171" formatCode="_(* #,##0_);_(* \(#,##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_-* #,##0_-;\-* #,##0_-;_-* &quot;-&quot;??_-;_-@_-"/>
    <numFmt numFmtId="175" formatCode="&quot;$&quot;#,##0.00000_);\(&quot;$&quot;#,##0.00000\)"/>
    <numFmt numFmtId="176" formatCode="#,##0.00000_);\(#,##0.00000\)"/>
    <numFmt numFmtId="177" formatCode="&quot;$&quot;#,##0.0000_);\(&quot;$&quot;#,##0.0000\)"/>
    <numFmt numFmtId="178" formatCode="#,##0.0"/>
    <numFmt numFmtId="179" formatCode="&quot;$&quot;#,##0.00000_);[Red]\(&quot;$&quot;#,##0.00000\)"/>
    <numFmt numFmtId="180" formatCode="mm/dd/yyyy"/>
    <numFmt numFmtId="181" formatCode="0\-0"/>
    <numFmt numFmtId="182" formatCode="##\-#"/>
    <numFmt numFmtId="183" formatCode="&quot;£ &quot;#,##0.00;[Red]\-&quot;£ &quot;#,##0.00"/>
    <numFmt numFmtId="184" formatCode="#,##0.0;\-#,##0.0"/>
    <numFmt numFmtId="185" formatCode="#,##0;\-#,##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8" borderId="1" applyNumberFormat="0" applyProtection="0">
      <alignment horizontal="left"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/>
    <xf numFmtId="17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80" fontId="6" fillId="0" borderId="0"/>
    <xf numFmtId="181" fontId="6" fillId="0" borderId="0"/>
    <xf numFmtId="180" fontId="6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31" fillId="14" borderId="0" applyNumberFormat="0" applyBorder="0" applyAlignment="0" applyProtection="0"/>
    <xf numFmtId="0" fontId="35" fillId="17" borderId="30" applyNumberFormat="0" applyAlignment="0" applyProtection="0"/>
    <xf numFmtId="0" fontId="37" fillId="18" borderId="33" applyNumberFormat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38" fontId="14" fillId="44" borderId="0" applyNumberFormat="0" applyBorder="0" applyAlignment="0" applyProtection="0"/>
    <xf numFmtId="38" fontId="14" fillId="44" borderId="0" applyNumberFormat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10" fontId="14" fillId="45" borderId="1" applyNumberFormat="0" applyBorder="0" applyAlignment="0" applyProtection="0"/>
    <xf numFmtId="10" fontId="14" fillId="45" borderId="1" applyNumberFormat="0" applyBorder="0" applyAlignment="0" applyProtection="0"/>
    <xf numFmtId="0" fontId="33" fillId="16" borderId="30" applyNumberFormat="0" applyAlignment="0" applyProtection="0"/>
    <xf numFmtId="0" fontId="36" fillId="0" borderId="32" applyNumberFormat="0" applyFill="0" applyAlignment="0" applyProtection="0"/>
    <xf numFmtId="182" fontId="6" fillId="0" borderId="0"/>
    <xf numFmtId="171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32" fillId="15" borderId="0" applyNumberFormat="0" applyBorder="0" applyAlignment="0" applyProtection="0"/>
    <xf numFmtId="183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19" borderId="34" applyNumberFormat="0" applyFont="0" applyAlignment="0" applyProtection="0"/>
    <xf numFmtId="0" fontId="34" fillId="17" borderId="31" applyNumberFormat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36">
      <alignment horizontal="center" vertical="center"/>
    </xf>
    <xf numFmtId="0" fontId="26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45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7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1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0" fontId="9" fillId="0" borderId="0" xfId="0" applyFont="1" applyAlignment="1"/>
    <xf numFmtId="3" fontId="0" fillId="2" borderId="0" xfId="0" applyNumberFormat="1" applyFill="1" applyAlignment="1">
      <alignment horizontal="center"/>
    </xf>
    <xf numFmtId="17" fontId="9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Continuous"/>
    </xf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/>
    <xf numFmtId="0" fontId="10" fillId="0" borderId="0" xfId="0" applyFont="1"/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3" fontId="8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 wrapText="1"/>
    </xf>
    <xf numFmtId="3" fontId="8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9" fontId="0" fillId="2" borderId="0" xfId="0" applyNumberFormat="1" applyFill="1" applyAlignment="1">
      <alignment horizontal="center"/>
    </xf>
    <xf numFmtId="171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10" fontId="0" fillId="0" borderId="0" xfId="2" applyNumberFormat="1" applyFont="1"/>
    <xf numFmtId="0" fontId="0" fillId="0" borderId="10" xfId="0" applyBorder="1"/>
    <xf numFmtId="3" fontId="0" fillId="0" borderId="5" xfId="0" applyNumberFormat="1" applyBorder="1"/>
    <xf numFmtId="172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9" fillId="0" borderId="8" xfId="0" applyFont="1" applyBorder="1"/>
    <xf numFmtId="0" fontId="0" fillId="4" borderId="8" xfId="0" applyFill="1" applyBorder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6" borderId="0" xfId="0" applyFill="1"/>
    <xf numFmtId="3" fontId="7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9" fontId="15" fillId="7" borderId="0" xfId="2" applyFont="1" applyFill="1" applyAlignment="1">
      <alignment horizontal="center"/>
    </xf>
    <xf numFmtId="3" fontId="17" fillId="0" borderId="0" xfId="0" applyNumberFormat="1" applyFont="1" applyAlignment="1">
      <alignment horizontal="left"/>
    </xf>
    <xf numFmtId="3" fontId="0" fillId="0" borderId="1" xfId="0" applyNumberFormat="1" applyBorder="1"/>
    <xf numFmtId="37" fontId="0" fillId="0" borderId="1" xfId="0" applyNumberFormat="1" applyFill="1" applyBorder="1"/>
    <xf numFmtId="170" fontId="0" fillId="0" borderId="1" xfId="0" applyNumberFormat="1" applyFill="1" applyBorder="1"/>
    <xf numFmtId="171" fontId="6" fillId="0" borderId="1" xfId="1" applyNumberFormat="1" applyFill="1" applyBorder="1"/>
    <xf numFmtId="0" fontId="9" fillId="0" borderId="1" xfId="0" applyFont="1" applyBorder="1" applyAlignment="1">
      <alignment horizontal="left" indent="1"/>
    </xf>
    <xf numFmtId="37" fontId="9" fillId="0" borderId="1" xfId="0" applyNumberFormat="1" applyFont="1" applyBorder="1"/>
    <xf numFmtId="0" fontId="9" fillId="0" borderId="1" xfId="0" applyFont="1" applyBorder="1"/>
    <xf numFmtId="170" fontId="0" fillId="3" borderId="1" xfId="0" applyNumberFormat="1" applyFill="1" applyBorder="1"/>
    <xf numFmtId="37" fontId="0" fillId="0" borderId="1" xfId="0" applyNumberFormat="1" applyBorder="1"/>
    <xf numFmtId="175" fontId="0" fillId="3" borderId="1" xfId="0" applyNumberFormat="1" applyFill="1" applyBorder="1"/>
    <xf numFmtId="5" fontId="0" fillId="0" borderId="1" xfId="0" applyNumberFormat="1" applyBorder="1"/>
    <xf numFmtId="176" fontId="0" fillId="0" borderId="1" xfId="0" applyNumberFormat="1" applyBorder="1"/>
    <xf numFmtId="5" fontId="9" fillId="0" borderId="1" xfId="0" applyNumberFormat="1" applyFont="1" applyFill="1" applyBorder="1"/>
    <xf numFmtId="0" fontId="9" fillId="0" borderId="0" xfId="0" applyFont="1" applyBorder="1" applyAlignment="1">
      <alignment horizontal="left" indent="1"/>
    </xf>
    <xf numFmtId="37" fontId="9" fillId="0" borderId="0" xfId="0" applyNumberFormat="1" applyFont="1" applyBorder="1"/>
    <xf numFmtId="0" fontId="9" fillId="0" borderId="0" xfId="0" applyFont="1" applyBorder="1"/>
    <xf numFmtId="176" fontId="0" fillId="0" borderId="0" xfId="0" applyNumberFormat="1" applyBorder="1"/>
    <xf numFmtId="5" fontId="9" fillId="0" borderId="0" xfId="0" applyNumberFormat="1" applyFont="1" applyFill="1" applyBorder="1"/>
    <xf numFmtId="3" fontId="0" fillId="0" borderId="16" xfId="0" applyNumberFormat="1" applyBorder="1"/>
    <xf numFmtId="170" fontId="0" fillId="0" borderId="1" xfId="0" applyNumberFormat="1" applyBorder="1" applyAlignment="1">
      <alignment horizontal="center"/>
    </xf>
    <xf numFmtId="177" fontId="0" fillId="3" borderId="1" xfId="0" applyNumberFormat="1" applyFill="1" applyBorder="1"/>
    <xf numFmtId="5" fontId="9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165" fontId="0" fillId="0" borderId="0" xfId="0" applyNumberFormat="1" applyFill="1" applyAlignment="1">
      <alignment horizontal="center"/>
    </xf>
    <xf numFmtId="43" fontId="0" fillId="0" borderId="0" xfId="1" applyFont="1" applyFill="1" applyBorder="1" applyAlignment="1"/>
    <xf numFmtId="171" fontId="0" fillId="0" borderId="0" xfId="1" applyNumberFormat="1" applyFont="1" applyFill="1" applyBorder="1" applyAlignment="1"/>
    <xf numFmtId="43" fontId="0" fillId="0" borderId="2" xfId="1" applyFont="1" applyFill="1" applyBorder="1" applyAlignment="1"/>
    <xf numFmtId="164" fontId="0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9" fontId="6" fillId="2" borderId="0" xfId="0" applyNumberFormat="1" applyFont="1" applyFill="1" applyAlignment="1">
      <alignment horizontal="center"/>
    </xf>
    <xf numFmtId="0" fontId="6" fillId="0" borderId="0" xfId="0" applyFont="1"/>
    <xf numFmtId="0" fontId="9" fillId="0" borderId="0" xfId="0" applyFont="1" applyFill="1" applyAlignment="1">
      <alignment horizontal="center" wrapText="1"/>
    </xf>
    <xf numFmtId="38" fontId="0" fillId="0" borderId="0" xfId="0" applyNumberFormat="1" applyFill="1" applyAlignment="1">
      <alignment horizontal="center"/>
    </xf>
    <xf numFmtId="3" fontId="6" fillId="3" borderId="0" xfId="0" quotePrefix="1" applyNumberFormat="1" applyFont="1" applyFill="1" applyAlignment="1">
      <alignment horizontal="center" wrapText="1"/>
    </xf>
    <xf numFmtId="0" fontId="6" fillId="0" borderId="0" xfId="4"/>
    <xf numFmtId="166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6" fillId="5" borderId="0" xfId="0" applyNumberFormat="1" applyFont="1" applyFill="1" applyAlignment="1">
      <alignment horizontal="center" wrapText="1"/>
    </xf>
    <xf numFmtId="0" fontId="9" fillId="0" borderId="0" xfId="4" applyFont="1"/>
    <xf numFmtId="0" fontId="19" fillId="0" borderId="0" xfId="4" applyFont="1"/>
    <xf numFmtId="43" fontId="6" fillId="0" borderId="0" xfId="11" applyFont="1"/>
    <xf numFmtId="0" fontId="20" fillId="0" borderId="0" xfId="4" applyFont="1"/>
    <xf numFmtId="43" fontId="14" fillId="0" borderId="0" xfId="11" applyFont="1"/>
    <xf numFmtId="0" fontId="14" fillId="0" borderId="0" xfId="4" applyFont="1"/>
    <xf numFmtId="43" fontId="21" fillId="0" borderId="0" xfId="11" applyFont="1" applyAlignment="1">
      <alignment horizontal="right"/>
    </xf>
    <xf numFmtId="0" fontId="21" fillId="0" borderId="13" xfId="4" applyFont="1" applyBorder="1" applyAlignment="1">
      <alignment horizontal="right"/>
    </xf>
    <xf numFmtId="0" fontId="14" fillId="0" borderId="0" xfId="4" applyFont="1" applyAlignment="1">
      <alignment horizontal="right"/>
    </xf>
    <xf numFmtId="43" fontId="14" fillId="0" borderId="0" xfId="4" applyNumberFormat="1" applyFont="1" applyAlignment="1">
      <alignment horizontal="right"/>
    </xf>
    <xf numFmtId="43" fontId="6" fillId="0" borderId="0" xfId="4" applyNumberFormat="1"/>
    <xf numFmtId="165" fontId="7" fillId="0" borderId="0" xfId="0" applyNumberFormat="1" applyFont="1" applyFill="1" applyAlignment="1">
      <alignment horizontal="center"/>
    </xf>
    <xf numFmtId="10" fontId="0" fillId="0" borderId="0" xfId="0" applyNumberFormat="1"/>
    <xf numFmtId="10" fontId="6" fillId="3" borderId="1" xfId="2" applyNumberFormat="1" applyFill="1" applyBorder="1"/>
    <xf numFmtId="0" fontId="16" fillId="9" borderId="1" xfId="0" applyFont="1" applyFill="1" applyBorder="1"/>
    <xf numFmtId="0" fontId="9" fillId="9" borderId="1" xfId="0" applyFont="1" applyFill="1" applyBorder="1"/>
    <xf numFmtId="0" fontId="16" fillId="9" borderId="15" xfId="0" applyFont="1" applyFill="1" applyBorder="1"/>
    <xf numFmtId="0" fontId="9" fillId="9" borderId="12" xfId="0" applyFont="1" applyFill="1" applyBorder="1"/>
    <xf numFmtId="0" fontId="9" fillId="9" borderId="10" xfId="0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1" xfId="0" applyFont="1" applyFill="1" applyBorder="1"/>
    <xf numFmtId="0" fontId="9" fillId="9" borderId="7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0" fillId="9" borderId="10" xfId="0" applyFill="1" applyBorder="1"/>
    <xf numFmtId="0" fontId="9" fillId="9" borderId="9" xfId="0" applyFont="1" applyFill="1" applyBorder="1" applyAlignment="1">
      <alignment horizontal="center"/>
    </xf>
    <xf numFmtId="0" fontId="16" fillId="0" borderId="17" xfId="0" applyFont="1" applyBorder="1"/>
    <xf numFmtId="0" fontId="6" fillId="0" borderId="5" xfId="0" applyFont="1" applyBorder="1"/>
    <xf numFmtId="175" fontId="17" fillId="3" borderId="1" xfId="0" applyNumberFormat="1" applyFont="1" applyFill="1" applyBorder="1"/>
    <xf numFmtId="0" fontId="22" fillId="0" borderId="0" xfId="0" applyFont="1"/>
    <xf numFmtId="179" fontId="22" fillId="0" borderId="0" xfId="0" applyNumberFormat="1" applyFont="1"/>
    <xf numFmtId="9" fontId="22" fillId="0" borderId="0" xfId="0" applyNumberFormat="1" applyFont="1" applyAlignment="1">
      <alignment horizontal="center"/>
    </xf>
    <xf numFmtId="176" fontId="17" fillId="0" borderId="1" xfId="0" applyNumberFormat="1" applyFont="1" applyBorder="1"/>
    <xf numFmtId="177" fontId="17" fillId="3" borderId="1" xfId="0" applyNumberFormat="1" applyFont="1" applyFill="1" applyBorder="1"/>
    <xf numFmtId="177" fontId="23" fillId="3" borderId="1" xfId="0" applyNumberFormat="1" applyFont="1" applyFill="1" applyBorder="1"/>
    <xf numFmtId="171" fontId="0" fillId="0" borderId="2" xfId="1" applyNumberFormat="1" applyFont="1" applyFill="1" applyBorder="1" applyAlignme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0" borderId="1" xfId="4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2" applyBorder="1"/>
    <xf numFmtId="0" fontId="24" fillId="0" borderId="1" xfId="12" applyFont="1" applyBorder="1" applyAlignment="1">
      <alignment horizontal="center"/>
    </xf>
    <xf numFmtId="0" fontId="5" fillId="0" borderId="0" xfId="12"/>
    <xf numFmtId="17" fontId="24" fillId="0" borderId="1" xfId="12" applyNumberFormat="1" applyFont="1" applyBorder="1" applyAlignment="1">
      <alignment horizontal="center"/>
    </xf>
    <xf numFmtId="44" fontId="5" fillId="0" borderId="1" xfId="13" applyFont="1" applyBorder="1"/>
    <xf numFmtId="43" fontId="24" fillId="0" borderId="1" xfId="14" applyFont="1" applyBorder="1"/>
    <xf numFmtId="3" fontId="5" fillId="10" borderId="0" xfId="12" applyNumberFormat="1" applyFill="1" applyAlignment="1">
      <alignment horizontal="center"/>
    </xf>
    <xf numFmtId="173" fontId="5" fillId="0" borderId="0" xfId="12" applyNumberFormat="1"/>
    <xf numFmtId="43" fontId="5" fillId="0" borderId="16" xfId="14" applyFont="1" applyFill="1" applyBorder="1"/>
    <xf numFmtId="43" fontId="5" fillId="0" borderId="0" xfId="12" applyNumberFormat="1"/>
    <xf numFmtId="0" fontId="25" fillId="0" borderId="18" xfId="0" applyFont="1" applyBorder="1" applyAlignment="1">
      <alignment horizontal="center"/>
    </xf>
    <xf numFmtId="3" fontId="24" fillId="0" borderId="0" xfId="0" applyNumberFormat="1" applyFont="1"/>
    <xf numFmtId="14" fontId="0" fillId="0" borderId="0" xfId="0" applyNumberFormat="1"/>
    <xf numFmtId="0" fontId="0" fillId="0" borderId="0" xfId="0" pivotButton="1"/>
    <xf numFmtId="38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Border="1"/>
    <xf numFmtId="0" fontId="0" fillId="11" borderId="0" xfId="0" applyFill="1"/>
    <xf numFmtId="14" fontId="0" fillId="11" borderId="26" xfId="0" applyNumberFormat="1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0" fillId="11" borderId="0" xfId="0" applyFill="1" applyBorder="1"/>
    <xf numFmtId="0" fontId="0" fillId="11" borderId="26" xfId="0" applyFill="1" applyBorder="1" applyAlignment="1">
      <alignment wrapText="1"/>
    </xf>
    <xf numFmtId="0" fontId="9" fillId="12" borderId="19" xfId="0" applyFont="1" applyFill="1" applyBorder="1" applyAlignment="1">
      <alignment horizontal="centerContinuous"/>
    </xf>
    <xf numFmtId="0" fontId="0" fillId="12" borderId="20" xfId="0" applyFill="1" applyBorder="1" applyAlignment="1">
      <alignment horizontal="centerContinuous"/>
    </xf>
    <xf numFmtId="0" fontId="0" fillId="12" borderId="21" xfId="0" applyFill="1" applyBorder="1" applyAlignment="1">
      <alignment horizontal="centerContinuous"/>
    </xf>
    <xf numFmtId="0" fontId="0" fillId="0" borderId="22" xfId="0" pivotButton="1" applyBorder="1"/>
    <xf numFmtId="0" fontId="0" fillId="0" borderId="0" xfId="0" pivotButton="1" applyBorder="1"/>
    <xf numFmtId="0" fontId="0" fillId="0" borderId="22" xfId="0" applyBorder="1" applyAlignment="1">
      <alignment horizontal="left"/>
    </xf>
    <xf numFmtId="38" fontId="0" fillId="0" borderId="0" xfId="0" applyNumberFormat="1" applyBorder="1"/>
    <xf numFmtId="38" fontId="0" fillId="0" borderId="23" xfId="0" applyNumberFormat="1" applyBorder="1"/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 horizontal="left"/>
    </xf>
    <xf numFmtId="38" fontId="0" fillId="0" borderId="2" xfId="0" applyNumberFormat="1" applyBorder="1"/>
    <xf numFmtId="38" fontId="0" fillId="0" borderId="25" xfId="0" applyNumberFormat="1" applyBorder="1"/>
    <xf numFmtId="3" fontId="24" fillId="0" borderId="19" xfId="0" applyNumberFormat="1" applyFont="1" applyBorder="1"/>
    <xf numFmtId="3" fontId="5" fillId="0" borderId="22" xfId="12" applyNumberFormat="1" applyBorder="1"/>
    <xf numFmtId="38" fontId="5" fillId="0" borderId="23" xfId="12" applyNumberFormat="1" applyBorder="1"/>
    <xf numFmtId="0" fontId="5" fillId="0" borderId="2" xfId="12" applyBorder="1"/>
    <xf numFmtId="38" fontId="5" fillId="0" borderId="25" xfId="12" applyNumberFormat="1" applyBorder="1"/>
    <xf numFmtId="0" fontId="5" fillId="0" borderId="0" xfId="12" applyBorder="1"/>
    <xf numFmtId="0" fontId="5" fillId="0" borderId="23" xfId="12" applyBorder="1"/>
    <xf numFmtId="0" fontId="5" fillId="12" borderId="19" xfId="12" applyFill="1" applyBorder="1"/>
    <xf numFmtId="0" fontId="5" fillId="12" borderId="20" xfId="12" applyFill="1" applyBorder="1"/>
    <xf numFmtId="0" fontId="5" fillId="12" borderId="21" xfId="12" applyFill="1" applyBorder="1"/>
    <xf numFmtId="3" fontId="8" fillId="4" borderId="1" xfId="0" applyNumberFormat="1" applyFont="1" applyFill="1" applyBorder="1" applyAlignment="1">
      <alignment horizontal="center" wrapText="1"/>
    </xf>
    <xf numFmtId="0" fontId="10" fillId="0" borderId="0" xfId="4" applyFont="1"/>
    <xf numFmtId="0" fontId="6" fillId="0" borderId="0" xfId="4" applyAlignment="1">
      <alignment wrapText="1"/>
    </xf>
    <xf numFmtId="174" fontId="6" fillId="0" borderId="0" xfId="15" applyNumberFormat="1"/>
    <xf numFmtId="174" fontId="6" fillId="0" borderId="0" xfId="4" applyNumberFormat="1"/>
    <xf numFmtId="17" fontId="6" fillId="0" borderId="0" xfId="4" applyNumberFormat="1"/>
    <xf numFmtId="0" fontId="6" fillId="0" borderId="0" xfId="4" applyAlignment="1">
      <alignment horizontal="right"/>
    </xf>
    <xf numFmtId="3" fontId="6" fillId="0" borderId="0" xfId="4" applyNumberFormat="1" applyAlignment="1">
      <alignment horizontal="center"/>
    </xf>
    <xf numFmtId="3" fontId="6" fillId="0" borderId="0" xfId="4" applyNumberFormat="1"/>
    <xf numFmtId="9" fontId="6" fillId="0" borderId="0" xfId="2" applyNumberFormat="1"/>
    <xf numFmtId="0" fontId="6" fillId="0" borderId="0" xfId="4" applyBorder="1" applyAlignment="1">
      <alignment horizontal="center"/>
    </xf>
    <xf numFmtId="164" fontId="0" fillId="0" borderId="0" xfId="2" applyNumberFormat="1" applyFont="1" applyFill="1" applyBorder="1" applyAlignment="1"/>
    <xf numFmtId="1" fontId="0" fillId="0" borderId="0" xfId="0" applyNumberFormat="1"/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/>
    </xf>
    <xf numFmtId="171" fontId="6" fillId="0" borderId="0" xfId="1" applyNumberFormat="1" applyFont="1" applyFill="1" applyAlignment="1">
      <alignment horizontal="center"/>
    </xf>
    <xf numFmtId="171" fontId="6" fillId="0" borderId="0" xfId="1" applyNumberFormat="1" applyFont="1" applyFill="1"/>
    <xf numFmtId="3" fontId="6" fillId="3" borderId="0" xfId="0" applyNumberFormat="1" applyFont="1" applyFill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43" fontId="0" fillId="0" borderId="0" xfId="1" applyNumberFormat="1" applyFont="1" applyFill="1" applyBorder="1" applyAlignment="1"/>
    <xf numFmtId="3" fontId="6" fillId="5" borderId="0" xfId="0" applyNumberFormat="1" applyFont="1" applyFill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0" fontId="9" fillId="9" borderId="14" xfId="0" applyNumberFormat="1" applyFont="1" applyFill="1" applyBorder="1" applyAlignment="1">
      <alignment horizontal="center"/>
    </xf>
    <xf numFmtId="5" fontId="0" fillId="5" borderId="16" xfId="0" applyNumberFormat="1" applyFill="1" applyBorder="1"/>
    <xf numFmtId="37" fontId="0" fillId="0" borderId="0" xfId="0" applyNumberFormat="1"/>
    <xf numFmtId="171" fontId="0" fillId="0" borderId="0" xfId="0" applyNumberFormat="1" applyFill="1" applyBorder="1" applyAlignment="1">
      <alignment horizontal="center"/>
    </xf>
    <xf numFmtId="3" fontId="6" fillId="0" borderId="0" xfId="4" applyNumberFormat="1" applyFill="1"/>
    <xf numFmtId="0" fontId="6" fillId="0" borderId="0" xfId="4" applyFill="1"/>
    <xf numFmtId="3" fontId="7" fillId="0" borderId="0" xfId="0" applyNumberFormat="1" applyFont="1" applyFill="1" applyAlignment="1">
      <alignment horizontal="center"/>
    </xf>
    <xf numFmtId="184" fontId="0" fillId="0" borderId="0" xfId="0" applyNumberFormat="1" applyFill="1" applyAlignment="1">
      <alignment horizontal="center"/>
    </xf>
    <xf numFmtId="0" fontId="21" fillId="2" borderId="0" xfId="0" applyFont="1" applyFill="1"/>
    <xf numFmtId="4" fontId="14" fillId="2" borderId="0" xfId="0" applyNumberFormat="1" applyFont="1" applyFill="1"/>
    <xf numFmtId="0" fontId="0" fillId="2" borderId="0" xfId="0" applyFill="1"/>
    <xf numFmtId="2" fontId="0" fillId="0" borderId="0" xfId="0" applyNumberFormat="1"/>
    <xf numFmtId="9" fontId="0" fillId="0" borderId="0" xfId="2" applyFont="1" applyAlignment="1">
      <alignment horizontal="center"/>
    </xf>
    <xf numFmtId="0" fontId="0" fillId="4" borderId="1" xfId="0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left"/>
    </xf>
    <xf numFmtId="37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184" fontId="7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46" borderId="0" xfId="0" applyFont="1" applyFill="1" applyBorder="1"/>
    <xf numFmtId="0" fontId="46" fillId="46" borderId="0" xfId="0" applyFont="1" applyFill="1" applyBorder="1" applyProtection="1">
      <protection locked="0"/>
    </xf>
    <xf numFmtId="0" fontId="46" fillId="46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46" fillId="0" borderId="17" xfId="0" applyFont="1" applyFill="1" applyBorder="1" applyProtection="1">
      <protection locked="0"/>
    </xf>
    <xf numFmtId="0" fontId="46" fillId="0" borderId="1" xfId="0" applyFont="1" applyFill="1" applyBorder="1" applyProtection="1">
      <protection locked="0"/>
    </xf>
    <xf numFmtId="0" fontId="46" fillId="47" borderId="18" xfId="0" applyFont="1" applyFill="1" applyBorder="1" applyProtection="1">
      <protection locked="0"/>
    </xf>
    <xf numFmtId="0" fontId="46" fillId="47" borderId="18" xfId="0" applyFont="1" applyFill="1" applyBorder="1" applyAlignment="1" applyProtection="1">
      <alignment horizontal="center" wrapText="1"/>
      <protection locked="0"/>
    </xf>
    <xf numFmtId="0" fontId="46" fillId="47" borderId="18" xfId="0" applyFont="1" applyFill="1" applyBorder="1" applyAlignment="1" applyProtection="1">
      <alignment horizontal="center" vertical="center" wrapText="1"/>
      <protection locked="0"/>
    </xf>
    <xf numFmtId="0" fontId="46" fillId="47" borderId="37" xfId="0" applyFont="1" applyFill="1" applyBorder="1" applyAlignment="1" applyProtection="1">
      <alignment horizontal="center" vertical="center" wrapText="1"/>
      <protection locked="0"/>
    </xf>
    <xf numFmtId="0" fontId="24" fillId="47" borderId="16" xfId="0" applyFont="1" applyFill="1" applyBorder="1" applyAlignment="1" applyProtection="1">
      <alignment horizontal="center" vertical="center"/>
      <protection locked="0"/>
    </xf>
    <xf numFmtId="0" fontId="24" fillId="47" borderId="0" xfId="0" applyFont="1" applyFill="1" applyBorder="1" applyAlignment="1" applyProtection="1">
      <alignment horizontal="center" vertical="center"/>
      <protection locked="0"/>
    </xf>
    <xf numFmtId="10" fontId="24" fillId="47" borderId="38" xfId="2" applyNumberFormat="1" applyFont="1" applyFill="1" applyBorder="1" applyAlignment="1" applyProtection="1">
      <alignment horizontal="center" vertical="center"/>
      <protection locked="0"/>
    </xf>
    <xf numFmtId="10" fontId="24" fillId="47" borderId="2" xfId="2" applyNumberFormat="1" applyFont="1" applyFill="1" applyBorder="1" applyAlignment="1" applyProtection="1">
      <alignment horizontal="center" vertical="center"/>
      <protection locked="0"/>
    </xf>
    <xf numFmtId="171" fontId="0" fillId="0" borderId="1" xfId="0" applyNumberFormat="1" applyBorder="1"/>
    <xf numFmtId="43" fontId="0" fillId="0" borderId="0" xfId="0" applyNumberFormat="1"/>
    <xf numFmtId="0" fontId="0" fillId="46" borderId="0" xfId="0" applyFill="1"/>
    <xf numFmtId="0" fontId="47" fillId="46" borderId="0" xfId="0" applyFont="1" applyFill="1"/>
    <xf numFmtId="43" fontId="0" fillId="46" borderId="0" xfId="0" applyNumberFormat="1" applyFill="1"/>
    <xf numFmtId="171" fontId="0" fillId="0" borderId="0" xfId="0" applyNumberFormat="1"/>
    <xf numFmtId="171" fontId="0" fillId="0" borderId="39" xfId="0" applyNumberFormat="1" applyBorder="1"/>
    <xf numFmtId="171" fontId="0" fillId="0" borderId="17" xfId="103" applyNumberFormat="1" applyFont="1" applyFill="1" applyBorder="1" applyProtection="1">
      <protection locked="0"/>
    </xf>
    <xf numFmtId="0" fontId="0" fillId="0" borderId="0" xfId="0" applyFont="1" applyFill="1"/>
    <xf numFmtId="171" fontId="1" fillId="0" borderId="17" xfId="103" applyNumberFormat="1" applyFont="1" applyFill="1" applyBorder="1" applyProtection="1">
      <protection locked="0"/>
    </xf>
    <xf numFmtId="171" fontId="22" fillId="0" borderId="17" xfId="1" applyNumberFormat="1" applyFont="1" applyFill="1" applyBorder="1" applyAlignment="1" applyProtection="1">
      <alignment vertical="center" wrapText="1"/>
      <protection locked="0"/>
    </xf>
    <xf numFmtId="171" fontId="0" fillId="0" borderId="1" xfId="103" applyNumberFormat="1" applyFont="1" applyFill="1" applyBorder="1" applyProtection="1">
      <protection locked="0"/>
    </xf>
    <xf numFmtId="171" fontId="1" fillId="0" borderId="1" xfId="103" applyNumberFormat="1" applyFont="1" applyFill="1" applyBorder="1" applyProtection="1">
      <protection locked="0"/>
    </xf>
    <xf numFmtId="171" fontId="22" fillId="0" borderId="1" xfId="1" applyNumberFormat="1" applyFont="1" applyFill="1" applyBorder="1" applyAlignment="1" applyProtection="1">
      <alignment vertical="center" wrapText="1"/>
      <protection locked="0"/>
    </xf>
    <xf numFmtId="185" fontId="7" fillId="0" borderId="1" xfId="0" applyNumberFormat="1" applyFont="1" applyFill="1" applyBorder="1" applyAlignment="1">
      <alignment horizontal="center"/>
    </xf>
    <xf numFmtId="43" fontId="0" fillId="0" borderId="0" xfId="1" applyFont="1"/>
    <xf numFmtId="170" fontId="7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6" fillId="0" borderId="8" xfId="0" applyFont="1" applyFill="1" applyBorder="1" applyAlignment="1" applyProtection="1">
      <alignment horizontal="center" vertical="center" wrapText="1"/>
      <protection locked="0"/>
    </xf>
    <xf numFmtId="0" fontId="46" fillId="0" borderId="4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24" fillId="47" borderId="15" xfId="0" applyFont="1" applyFill="1" applyBorder="1" applyAlignment="1" applyProtection="1">
      <alignment horizontal="center" wrapText="1"/>
      <protection locked="0"/>
    </xf>
    <xf numFmtId="0" fontId="24" fillId="47" borderId="16" xfId="0" applyFont="1" applyFill="1" applyBorder="1" applyAlignment="1" applyProtection="1">
      <alignment horizontal="center" wrapText="1"/>
      <protection locked="0"/>
    </xf>
    <xf numFmtId="0" fontId="24" fillId="47" borderId="38" xfId="0" applyFont="1" applyFill="1" applyBorder="1" applyAlignment="1" applyProtection="1">
      <alignment horizontal="center" wrapText="1"/>
      <protection locked="0"/>
    </xf>
    <xf numFmtId="0" fontId="6" fillId="0" borderId="0" xfId="4" applyAlignment="1">
      <alignment horizontal="center"/>
    </xf>
    <xf numFmtId="0" fontId="9" fillId="0" borderId="0" xfId="4" applyFont="1" applyAlignment="1">
      <alignment horizontal="center"/>
    </xf>
    <xf numFmtId="0" fontId="9" fillId="9" borderId="7" xfId="0" applyNumberFormat="1" applyFont="1" applyFill="1" applyBorder="1" applyAlignment="1">
      <alignment horizontal="center"/>
    </xf>
    <xf numFmtId="0" fontId="9" fillId="9" borderId="13" xfId="0" applyNumberFormat="1" applyFont="1" applyFill="1" applyBorder="1" applyAlignment="1">
      <alignment horizontal="center"/>
    </xf>
    <xf numFmtId="0" fontId="9" fillId="9" borderId="14" xfId="0" applyNumberFormat="1" applyFont="1" applyFill="1" applyBorder="1" applyAlignment="1">
      <alignment horizontal="center"/>
    </xf>
    <xf numFmtId="0" fontId="9" fillId="9" borderId="6" xfId="0" applyNumberFormat="1" applyFont="1" applyFill="1" applyBorder="1" applyAlignment="1">
      <alignment horizontal="center"/>
    </xf>
    <xf numFmtId="0" fontId="9" fillId="9" borderId="5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9" borderId="15" xfId="0" applyNumberFormat="1" applyFont="1" applyFill="1" applyBorder="1" applyAlignment="1">
      <alignment horizontal="center" wrapText="1"/>
    </xf>
    <xf numFmtId="0" fontId="9" fillId="9" borderId="16" xfId="0" applyNumberFormat="1" applyFont="1" applyFill="1" applyBorder="1" applyAlignment="1">
      <alignment horizontal="center" wrapText="1"/>
    </xf>
    <xf numFmtId="0" fontId="9" fillId="9" borderId="15" xfId="0" applyFont="1" applyFill="1" applyBorder="1" applyAlignment="1">
      <alignment horizontal="center" wrapText="1"/>
    </xf>
    <xf numFmtId="0" fontId="9" fillId="9" borderId="17" xfId="0" applyFont="1" applyFill="1" applyBorder="1" applyAlignment="1">
      <alignment horizontal="center" wrapText="1"/>
    </xf>
    <xf numFmtId="0" fontId="9" fillId="9" borderId="10" xfId="0" applyNumberFormat="1" applyFont="1" applyFill="1" applyBorder="1" applyAlignment="1">
      <alignment horizontal="center"/>
    </xf>
    <xf numFmtId="0" fontId="9" fillId="9" borderId="11" xfId="0" applyNumberFormat="1" applyFont="1" applyFill="1" applyBorder="1" applyAlignment="1">
      <alignment horizontal="center"/>
    </xf>
    <xf numFmtId="0" fontId="9" fillId="9" borderId="12" xfId="0" applyNumberFormat="1" applyFont="1" applyFill="1" applyBorder="1" applyAlignment="1">
      <alignment horizontal="center"/>
    </xf>
  </cellXfs>
  <cellStyles count="104">
    <cellStyle name="$" xfId="16"/>
    <cellStyle name="$.00" xfId="17"/>
    <cellStyle name="$_9. Rev2Cost_GDPIPI" xfId="18"/>
    <cellStyle name="$_lists" xfId="19"/>
    <cellStyle name="$_lists_4. Current Monthly Fixed Charge" xfId="20"/>
    <cellStyle name="$_Sheet4" xfId="21"/>
    <cellStyle name="$M" xfId="22"/>
    <cellStyle name="$M.00" xfId="23"/>
    <cellStyle name="$M_9. Rev2Cost_GDPIPI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Calculation 2" xfId="50"/>
    <cellStyle name="Check Cell 2" xfId="51"/>
    <cellStyle name="Comma" xfId="1" builtinId="3"/>
    <cellStyle name="Comma 2" xfId="5"/>
    <cellStyle name="Comma 3" xfId="6"/>
    <cellStyle name="Comma 3 2" xfId="52"/>
    <cellStyle name="Comma 3 2 5" xfId="100"/>
    <cellStyle name="Comma 4" xfId="14"/>
    <cellStyle name="Comma 5" xfId="53"/>
    <cellStyle name="Comma 6" xfId="54"/>
    <cellStyle name="Comma_CDM monthly amounts 2" xfId="15"/>
    <cellStyle name="Comma_Horizon 2011 Load Forecast Model  June 25, 2010" xfId="11"/>
    <cellStyle name="Comma0" xfId="7"/>
    <cellStyle name="Currency" xfId="103" builtinId="4"/>
    <cellStyle name="Currency 2" xfId="13"/>
    <cellStyle name="Currency 3" xfId="55"/>
    <cellStyle name="Currency 4" xfId="56"/>
    <cellStyle name="Currency0" xfId="8"/>
    <cellStyle name="Date" xfId="9"/>
    <cellStyle name="Explanatory Text 2" xfId="57"/>
    <cellStyle name="Fixed" xfId="10"/>
    <cellStyle name="Good 2" xfId="58"/>
    <cellStyle name="Grey" xfId="59"/>
    <cellStyle name="Grey 2" xfId="60"/>
    <cellStyle name="Heading 1 2" xfId="61"/>
    <cellStyle name="Heading 2 2" xfId="62"/>
    <cellStyle name="Heading 3 2" xfId="63"/>
    <cellStyle name="Heading 4 2" xfId="64"/>
    <cellStyle name="Input [yellow]" xfId="65"/>
    <cellStyle name="Input [yellow] 2" xfId="66"/>
    <cellStyle name="Input 2" xfId="67"/>
    <cellStyle name="Linked Cell 2" xfId="68"/>
    <cellStyle name="M" xfId="69"/>
    <cellStyle name="M.00" xfId="70"/>
    <cellStyle name="M_9. Rev2Cost_GDPIPI" xfId="71"/>
    <cellStyle name="M_lists" xfId="72"/>
    <cellStyle name="M_lists_4. Current Monthly Fixed Charge" xfId="73"/>
    <cellStyle name="M_Sheet4" xfId="74"/>
    <cellStyle name="Neutral 2" xfId="75"/>
    <cellStyle name="Normal" xfId="0" builtinId="0"/>
    <cellStyle name="Normal - Style1" xfId="76"/>
    <cellStyle name="Normal 2" xfId="4"/>
    <cellStyle name="Normal 2 2" xfId="77"/>
    <cellStyle name="Normal 3" xfId="12"/>
    <cellStyle name="Normal 4" xfId="78"/>
    <cellStyle name="Normal 5" xfId="79"/>
    <cellStyle name="Normal 5 2" xfId="80"/>
    <cellStyle name="Normal 5 2 3" xfId="81"/>
    <cellStyle name="Normal 5 2 3 2" xfId="99"/>
    <cellStyle name="Normal 5 2 3 3" xfId="102"/>
    <cellStyle name="Normal 6" xfId="82"/>
    <cellStyle name="Normal 7" xfId="83"/>
    <cellStyle name="Note 2" xfId="84"/>
    <cellStyle name="Output 2" xfId="85"/>
    <cellStyle name="Percent" xfId="2" builtinId="5"/>
    <cellStyle name="Percent [2]" xfId="86"/>
    <cellStyle name="Percent 2" xfId="87"/>
    <cellStyle name="Percent 3" xfId="88"/>
    <cellStyle name="Percent 3 2" xfId="89"/>
    <cellStyle name="Percent 3 2 3" xfId="101"/>
    <cellStyle name="Percent 4" xfId="90"/>
    <cellStyle name="Percent 5" xfId="91"/>
    <cellStyle name="Style 23" xfId="3"/>
    <cellStyle name="STYLE1" xfId="92"/>
    <cellStyle name="STYLE2" xfId="93"/>
    <cellStyle name="STYLE4" xfId="94"/>
    <cellStyle name="Subtotal" xfId="95"/>
    <cellStyle name="Title 2" xfId="96"/>
    <cellStyle name="Total 2" xfId="97"/>
    <cellStyle name="Warning Text 2" xfId="98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Lakeland/2013%20Rate%20Appl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mmaw/Local%20Settings/Temporary%20Internet%20Files/OLKBC/Exhibit%203%20Distribution%20Revenue%20Throughputs%20-%20Bla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9%20Energy+%20Load%20Forecast%20Model_V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84.528916087962" createdVersion="5" refreshedVersion="5" minRefreshableVersion="3" recordCount="1047487">
  <cacheSource type="worksheet">
    <worksheetSource ref="A1:H1048576" sheet="WMP historical data" r:id="rId2"/>
  </cacheSource>
  <cacheFields count="8">
    <cacheField name="Address" numFmtId="0">
      <sharedItems containsBlank="1"/>
    </cacheField>
    <cacheField name="Rate Class" numFmtId="0">
      <sharedItems containsBlank="1" count="3">
        <s v="LU"/>
        <s v="GS&gt;50-4,999 kW"/>
        <m/>
      </sharedItems>
    </cacheField>
    <cacheField name="Cons Year" numFmtId="0">
      <sharedItems containsString="0" containsBlank="1" containsNumber="1" containsInteger="1" minValue="2005" maxValue="2012" count="9">
        <n v="2005"/>
        <n v="2006"/>
        <n v="2007"/>
        <n v="2008"/>
        <n v="2009"/>
        <n v="2010"/>
        <n v="2011"/>
        <n v="2012"/>
        <m/>
      </sharedItems>
    </cacheField>
    <cacheField name="Cons Month" numFmtId="0">
      <sharedItems containsString="0" containsBlank="1" containsNumber="1" containsInteger="1" minValue="1" maxValue="12" count="13">
        <n v="12"/>
        <n v="1"/>
        <n v="2"/>
        <n v="3"/>
        <n v="4"/>
        <n v="5"/>
        <n v="6"/>
        <n v="7"/>
        <n v="8"/>
        <n v="9"/>
        <n v="10"/>
        <n v="11"/>
        <m/>
      </sharedItems>
    </cacheField>
    <cacheField name="Read date" numFmtId="0">
      <sharedItems containsNonDate="0" containsDate="1" containsString="0" containsBlank="1" minDate="2006-01-01T00:00:00" maxDate="2013-01-02T00:00:00"/>
    </cacheField>
    <cacheField name="usage_" numFmtId="0">
      <sharedItems containsString="0" containsBlank="1" containsNumber="1" minValue="205953.86" maxValue="3318222.39"/>
    </cacheField>
    <cacheField name="Account no" numFmtId="0">
      <sharedItems containsString="0" containsBlank="1" containsNumber="1" containsInteger="1" minValue="9743" maxValue="49997"/>
    </cacheField>
    <cacheField name="Billed" numFmtId="0">
      <sharedItems containsString="0" containsBlank="1" containsNumber="1" minValue="214103.59" maxValue="3378945.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7487">
  <r>
    <s v="1105 Fountain St"/>
    <x v="0"/>
    <x v="0"/>
    <x v="0"/>
    <d v="2006-01-01T00:00:00"/>
    <n v="2381295.56"/>
    <n v="45485"/>
    <n v="2440351.69"/>
  </r>
  <r>
    <s v="1105 Fountain St"/>
    <x v="0"/>
    <x v="1"/>
    <x v="1"/>
    <d v="2006-02-01T00:00:00"/>
    <n v="2352629.7799999998"/>
    <n v="45485"/>
    <n v="2410974.9900000002"/>
  </r>
  <r>
    <s v="1105 Fountain St"/>
    <x v="0"/>
    <x v="1"/>
    <x v="2"/>
    <d v="2006-03-01T00:00:00"/>
    <n v="2111513.52"/>
    <n v="45485"/>
    <n v="2163879.06"/>
  </r>
  <r>
    <s v="1105 Fountain St"/>
    <x v="0"/>
    <x v="1"/>
    <x v="3"/>
    <d v="2006-04-01T00:00:00"/>
    <n v="2336512.73"/>
    <n v="45485"/>
    <n v="2394458.25"/>
  </r>
  <r>
    <s v="1105 Fountain St"/>
    <x v="0"/>
    <x v="1"/>
    <x v="4"/>
    <d v="2006-05-01T00:00:00"/>
    <n v="2282493.7000000002"/>
    <n v="45485"/>
    <n v="2339099.54"/>
  </r>
  <r>
    <s v="1105 Fountain St"/>
    <x v="0"/>
    <x v="1"/>
    <x v="5"/>
    <d v="2006-06-01T00:00:00"/>
    <n v="2496581.63"/>
    <n v="45485"/>
    <n v="2575223.9500000002"/>
  </r>
  <r>
    <s v="1105 Fountain St"/>
    <x v="0"/>
    <x v="1"/>
    <x v="6"/>
    <d v="2006-07-01T00:00:00"/>
    <n v="2557542.91"/>
    <n v="45485"/>
    <n v="2638105.5099999998"/>
  </r>
  <r>
    <s v="1105 Fountain St"/>
    <x v="0"/>
    <x v="1"/>
    <x v="7"/>
    <d v="2006-08-01T00:00:00"/>
    <n v="2820256.11"/>
    <n v="45485"/>
    <n v="2909094.18"/>
  </r>
  <r>
    <s v="1105 Fountain St"/>
    <x v="0"/>
    <x v="1"/>
    <x v="8"/>
    <d v="2006-09-01T00:00:00"/>
    <n v="2676935.79"/>
    <n v="45485"/>
    <n v="2761259.27"/>
  </r>
  <r>
    <s v="1105 Fountain St"/>
    <x v="0"/>
    <x v="1"/>
    <x v="9"/>
    <d v="2006-10-01T00:00:00"/>
    <n v="2425889.27"/>
    <n v="45485"/>
    <n v="2502304.7799999998"/>
  </r>
  <r>
    <s v="1105 Fountain St"/>
    <x v="0"/>
    <x v="1"/>
    <x v="10"/>
    <d v="2006-11-01T00:00:00"/>
    <n v="2369985.73"/>
    <n v="45485"/>
    <n v="2444640.2799999998"/>
  </r>
  <r>
    <s v="1105 Fountain St"/>
    <x v="0"/>
    <x v="1"/>
    <x v="11"/>
    <d v="2006-12-01T00:00:00"/>
    <n v="2209706.0699999998"/>
    <n v="45485"/>
    <n v="2279311.81"/>
  </r>
  <r>
    <s v="1105 Fountain St"/>
    <x v="0"/>
    <x v="1"/>
    <x v="0"/>
    <d v="2007-01-01T00:00:00"/>
    <n v="2255139.1"/>
    <n v="45485"/>
    <n v="2326175.98"/>
  </r>
  <r>
    <s v="1105 Fountain St"/>
    <x v="0"/>
    <x v="2"/>
    <x v="1"/>
    <d v="2007-02-01T00:00:00"/>
    <n v="2251091.42"/>
    <n v="45485"/>
    <n v="2322000.7999999998"/>
  </r>
  <r>
    <s v="1105 Fountain St"/>
    <x v="0"/>
    <x v="2"/>
    <x v="2"/>
    <d v="2007-03-01T00:00:00"/>
    <n v="2016992.14"/>
    <n v="45485"/>
    <n v="2080527.39"/>
  </r>
  <r>
    <s v="1105 Fountain St"/>
    <x v="0"/>
    <x v="2"/>
    <x v="3"/>
    <d v="2007-04-01T00:00:00"/>
    <n v="2301318.81"/>
    <n v="45485"/>
    <n v="2373810.35"/>
  </r>
  <r>
    <s v="1105 Fountain St"/>
    <x v="0"/>
    <x v="2"/>
    <x v="4"/>
    <d v="2007-05-01T00:00:00"/>
    <n v="2216954.69"/>
    <n v="45485"/>
    <n v="2286788.7599999998"/>
  </r>
  <r>
    <s v="1105 Fountain St"/>
    <x v="0"/>
    <x v="2"/>
    <x v="5"/>
    <d v="2007-06-01T00:00:00"/>
    <n v="2383481.1"/>
    <n v="45485"/>
    <n v="2458560.75"/>
  </r>
  <r>
    <s v="1105 Fountain St"/>
    <x v="0"/>
    <x v="2"/>
    <x v="6"/>
    <d v="2007-07-01T00:00:00"/>
    <n v="2564032.9300000002"/>
    <n v="45485"/>
    <n v="2644799.9700000002"/>
  </r>
  <r>
    <s v="1105 Fountain St"/>
    <x v="0"/>
    <x v="2"/>
    <x v="7"/>
    <d v="2007-08-01T00:00:00"/>
    <n v="2653374.13"/>
    <n v="45485"/>
    <n v="2736955.42"/>
  </r>
  <r>
    <s v="1105 Fountain St"/>
    <x v="0"/>
    <x v="2"/>
    <x v="8"/>
    <d v="2007-09-01T00:00:00"/>
    <n v="2770716.71"/>
    <n v="45485"/>
    <n v="2857994.29"/>
  </r>
  <r>
    <s v="1105 Fountain St"/>
    <x v="0"/>
    <x v="2"/>
    <x v="9"/>
    <d v="2007-10-01T00:00:00"/>
    <n v="2535396.9700000002"/>
    <n v="45485"/>
    <n v="2615261.9700000002"/>
  </r>
  <r>
    <s v="1105 Fountain St"/>
    <x v="0"/>
    <x v="2"/>
    <x v="10"/>
    <d v="2007-11-01T00:00:00"/>
    <n v="2509946.52"/>
    <n v="45485"/>
    <n v="2589009.84"/>
  </r>
  <r>
    <s v="1105 Fountain St"/>
    <x v="0"/>
    <x v="2"/>
    <x v="11"/>
    <d v="2007-12-01T00:00:00"/>
    <n v="2250196"/>
    <n v="45485"/>
    <n v="2321077.17"/>
  </r>
  <r>
    <s v="1105 Fountain St"/>
    <x v="0"/>
    <x v="2"/>
    <x v="0"/>
    <d v="2008-01-01T00:00:00"/>
    <n v="2274715.33"/>
    <n v="45485"/>
    <n v="2346368.86"/>
  </r>
  <r>
    <s v="1105 Fountain St"/>
    <x v="0"/>
    <x v="3"/>
    <x v="1"/>
    <d v="2008-02-01T00:00:00"/>
    <n v="2302524.36"/>
    <n v="45485"/>
    <n v="2375053.88"/>
  </r>
  <r>
    <s v="1105 Fountain St"/>
    <x v="0"/>
    <x v="3"/>
    <x v="2"/>
    <d v="2008-03-01T00:00:00"/>
    <n v="2098246.88"/>
    <n v="45485"/>
    <n v="2164341.66"/>
  </r>
  <r>
    <s v="1105 Fountain St"/>
    <x v="0"/>
    <x v="3"/>
    <x v="3"/>
    <d v="2008-04-01T00:00:00"/>
    <n v="2226410.83"/>
    <n v="45485"/>
    <n v="2296542.77"/>
  </r>
  <r>
    <s v="1105 Fountain St"/>
    <x v="0"/>
    <x v="3"/>
    <x v="4"/>
    <d v="2008-05-01T00:00:00"/>
    <n v="2254963.5299999998"/>
    <n v="45485"/>
    <n v="2325994.88"/>
  </r>
  <r>
    <s v="1105 Fountain St"/>
    <x v="0"/>
    <x v="3"/>
    <x v="5"/>
    <d v="2008-06-01T00:00:00"/>
    <n v="2401306.35"/>
    <n v="45485"/>
    <n v="2476947.5"/>
  </r>
  <r>
    <s v="1105 Fountain St"/>
    <x v="0"/>
    <x v="3"/>
    <x v="6"/>
    <d v="2008-07-01T00:00:00"/>
    <n v="2550283.7200000002"/>
    <n v="45485"/>
    <n v="2630617.66"/>
  </r>
  <r>
    <s v="1105 Fountain St"/>
    <x v="0"/>
    <x v="3"/>
    <x v="7"/>
    <d v="2008-08-01T00:00:00"/>
    <n v="2718027.7"/>
    <n v="45485"/>
    <n v="2803645.57"/>
  </r>
  <r>
    <s v="1105 Fountain St"/>
    <x v="0"/>
    <x v="3"/>
    <x v="8"/>
    <d v="2008-09-01T00:00:00"/>
    <n v="2691122.83"/>
    <n v="45485"/>
    <n v="2775893.2"/>
  </r>
  <r>
    <s v="1105 Fountain St"/>
    <x v="0"/>
    <x v="3"/>
    <x v="9"/>
    <d v="2008-10-01T00:00:00"/>
    <n v="2516322.0299999998"/>
    <n v="45485"/>
    <n v="2595586.17"/>
  </r>
  <r>
    <s v="1105 Fountain St"/>
    <x v="0"/>
    <x v="3"/>
    <x v="10"/>
    <d v="2008-11-01T00:00:00"/>
    <n v="2431597.2000000002"/>
    <n v="45485"/>
    <n v="2508192.5099999998"/>
  </r>
  <r>
    <s v="1105 Fountain St"/>
    <x v="0"/>
    <x v="3"/>
    <x v="11"/>
    <d v="2008-12-01T00:00:00"/>
    <n v="2295109.1"/>
    <n v="45485"/>
    <n v="2367405.04"/>
  </r>
  <r>
    <s v="1105 Fountain St"/>
    <x v="0"/>
    <x v="3"/>
    <x v="0"/>
    <d v="2009-01-01T00:00:00"/>
    <n v="2366536.63"/>
    <n v="45485"/>
    <n v="2441082.5299999998"/>
  </r>
  <r>
    <s v="1105 Fountain St"/>
    <x v="0"/>
    <x v="4"/>
    <x v="1"/>
    <d v="2009-02-01T00:00:00"/>
    <n v="2278971.1"/>
    <n v="45485"/>
    <n v="2350758.69"/>
  </r>
  <r>
    <s v="1105 Fountain St"/>
    <x v="0"/>
    <x v="4"/>
    <x v="2"/>
    <d v="2009-03-01T00:00:00"/>
    <n v="2108440.7599999998"/>
    <n v="45485"/>
    <n v="2174856.64"/>
  </r>
  <r>
    <s v="1105 Fountain St"/>
    <x v="0"/>
    <x v="4"/>
    <x v="3"/>
    <d v="2009-04-01T00:00:00"/>
    <n v="2411364.08"/>
    <n v="45485"/>
    <n v="2487322.0499999998"/>
  </r>
  <r>
    <s v="1105 Fountain St"/>
    <x v="0"/>
    <x v="4"/>
    <x v="4"/>
    <d v="2009-05-01T00:00:00"/>
    <n v="2326534.0499999998"/>
    <n v="45485"/>
    <n v="2399819.87"/>
  </r>
  <r>
    <s v="1105 Fountain St"/>
    <x v="0"/>
    <x v="4"/>
    <x v="5"/>
    <d v="2009-06-01T00:00:00"/>
    <n v="2504926.83"/>
    <n v="45485"/>
    <n v="2583832.0299999998"/>
  </r>
  <r>
    <s v="1105 Fountain St"/>
    <x v="0"/>
    <x v="4"/>
    <x v="6"/>
    <d v="2009-07-01T00:00:00"/>
    <n v="2490087.52"/>
    <n v="45485"/>
    <n v="2568525.2799999998"/>
  </r>
  <r>
    <s v="1105 Fountain St"/>
    <x v="0"/>
    <x v="4"/>
    <x v="7"/>
    <d v="2009-08-01T00:00:00"/>
    <n v="2575656.87"/>
    <n v="45485"/>
    <n v="2656790.06"/>
  </r>
  <r>
    <s v="1105 Fountain St"/>
    <x v="0"/>
    <x v="4"/>
    <x v="8"/>
    <d v="2009-09-01T00:00:00"/>
    <n v="2637078.38"/>
    <n v="45485"/>
    <n v="2720146.35"/>
  </r>
  <r>
    <s v="1105 Fountain St"/>
    <x v="0"/>
    <x v="4"/>
    <x v="9"/>
    <d v="2009-10-01T00:00:00"/>
    <n v="2473082.14"/>
    <n v="45485"/>
    <n v="2550984.23"/>
  </r>
  <r>
    <s v="1105 Fountain St"/>
    <x v="0"/>
    <x v="4"/>
    <x v="10"/>
    <d v="2009-11-01T00:00:00"/>
    <n v="2436162.34"/>
    <n v="45485"/>
    <n v="2512901.4500000002"/>
  </r>
  <r>
    <s v="1105 Fountain St"/>
    <x v="0"/>
    <x v="4"/>
    <x v="11"/>
    <d v="2009-12-01T00:00:00"/>
    <n v="2354430.6"/>
    <n v="45485"/>
    <n v="2428595.16"/>
  </r>
  <r>
    <s v="1105 Fountain St"/>
    <x v="0"/>
    <x v="4"/>
    <x v="0"/>
    <d v="2010-01-01T00:00:00"/>
    <n v="2348104"/>
    <n v="45485"/>
    <n v="2422069.2799999998"/>
  </r>
  <r>
    <s v="1105 Fountain St"/>
    <x v="0"/>
    <x v="5"/>
    <x v="1"/>
    <d v="2010-02-01T00:00:00"/>
    <n v="2350374.13"/>
    <n v="45485"/>
    <n v="2424410.92"/>
  </r>
  <r>
    <s v="1105 Fountain St"/>
    <x v="0"/>
    <x v="5"/>
    <x v="2"/>
    <d v="2010-03-01T00:00:00"/>
    <n v="2080664.34"/>
    <n v="45485"/>
    <n v="2146205.27"/>
  </r>
  <r>
    <s v="1105 Fountain St"/>
    <x v="0"/>
    <x v="5"/>
    <x v="3"/>
    <d v="2010-04-01T00:00:00"/>
    <n v="2324860.14"/>
    <n v="45485"/>
    <n v="2398093.23"/>
  </r>
  <r>
    <s v="1105 Fountain St"/>
    <x v="0"/>
    <x v="5"/>
    <x v="4"/>
    <d v="2010-05-01T00:00:00"/>
    <n v="2359545.69"/>
    <n v="45485"/>
    <n v="2433871.38"/>
  </r>
  <r>
    <s v="1105 Fountain St"/>
    <x v="0"/>
    <x v="5"/>
    <x v="5"/>
    <d v="2010-06-01T00:00:00"/>
    <n v="2511761.23"/>
    <n v="45485"/>
    <n v="2557726.46"/>
  </r>
  <r>
    <s v="1105 Fountain St"/>
    <x v="0"/>
    <x v="5"/>
    <x v="6"/>
    <d v="2010-07-01T00:00:00"/>
    <n v="2580321.14"/>
    <n v="45485"/>
    <n v="2627541.02"/>
  </r>
  <r>
    <s v="1105 Fountain St"/>
    <x v="0"/>
    <x v="5"/>
    <x v="7"/>
    <d v="2010-08-01T00:00:00"/>
    <n v="2833027.69"/>
    <n v="45485"/>
    <n v="2884872.1"/>
  </r>
  <r>
    <s v="1105 Fountain St"/>
    <x v="0"/>
    <x v="5"/>
    <x v="8"/>
    <d v="2010-09-01T00:00:00"/>
    <n v="2796046.35"/>
    <n v="45485"/>
    <n v="2847214"/>
  </r>
  <r>
    <s v="1105 Fountain St"/>
    <x v="0"/>
    <x v="5"/>
    <x v="9"/>
    <d v="2010-10-01T00:00:00"/>
    <n v="2567970.4500000002"/>
    <n v="45485"/>
    <n v="2614964.31"/>
  </r>
  <r>
    <s v="1105 Fountain St"/>
    <x v="0"/>
    <x v="5"/>
    <x v="10"/>
    <d v="2010-11-01T00:00:00"/>
    <n v="2502291.86"/>
    <n v="45485"/>
    <n v="2548083.7999999998"/>
  </r>
  <r>
    <s v="1105 Fountain St"/>
    <x v="0"/>
    <x v="5"/>
    <x v="11"/>
    <d v="2010-12-01T00:00:00"/>
    <n v="2340013.4"/>
    <n v="45485"/>
    <n v="2382835.65"/>
  </r>
  <r>
    <s v="1105 Fountain St"/>
    <x v="0"/>
    <x v="5"/>
    <x v="0"/>
    <d v="2011-01-01T00:00:00"/>
    <n v="2355434.11"/>
    <n v="45485"/>
    <n v="2398538.5499999998"/>
  </r>
  <r>
    <s v="1105 Fountain St"/>
    <x v="0"/>
    <x v="6"/>
    <x v="1"/>
    <d v="2011-02-01T00:00:00"/>
    <n v="2257049.94"/>
    <n v="45485"/>
    <n v="2298353.9500000002"/>
  </r>
  <r>
    <s v="1105 Fountain St"/>
    <x v="0"/>
    <x v="6"/>
    <x v="2"/>
    <d v="2011-03-01T00:00:00"/>
    <n v="2190041.08"/>
    <n v="45485"/>
    <n v="2230118.83"/>
  </r>
  <r>
    <s v="1105 Fountain St"/>
    <x v="0"/>
    <x v="6"/>
    <x v="3"/>
    <d v="2011-04-01T00:00:00"/>
    <n v="2594560.65"/>
    <n v="45485"/>
    <n v="2642041.11"/>
  </r>
  <r>
    <s v="1105 Fountain St"/>
    <x v="0"/>
    <x v="6"/>
    <x v="4"/>
    <d v="2011-05-01T00:00:00"/>
    <n v="2567441.42"/>
    <n v="45485"/>
    <n v="2614425.6000000001"/>
  </r>
  <r>
    <s v="1105 Fountain St"/>
    <x v="0"/>
    <x v="6"/>
    <x v="5"/>
    <d v="2011-06-01T00:00:00"/>
    <n v="2857072.18"/>
    <n v="45485"/>
    <n v="2909356.6"/>
  </r>
  <r>
    <s v="1105 Fountain St"/>
    <x v="0"/>
    <x v="6"/>
    <x v="6"/>
    <d v="2011-07-01T00:00:00"/>
    <n v="2998378.76"/>
    <n v="45485"/>
    <n v="3053249.09"/>
  </r>
  <r>
    <s v="1105 Fountain St"/>
    <x v="0"/>
    <x v="6"/>
    <x v="7"/>
    <d v="2011-08-01T00:00:00"/>
    <n v="3318222.39"/>
    <n v="45485"/>
    <n v="3378945.86"/>
  </r>
  <r>
    <s v="1105 Fountain St"/>
    <x v="0"/>
    <x v="6"/>
    <x v="8"/>
    <d v="2011-09-01T00:00:00"/>
    <n v="3197649.61"/>
    <n v="45485"/>
    <n v="3256166.6"/>
  </r>
  <r>
    <s v="1105 Fountain St"/>
    <x v="0"/>
    <x v="6"/>
    <x v="9"/>
    <d v="2011-10-01T00:00:00"/>
    <n v="2864394.01"/>
    <n v="45485"/>
    <n v="2916812.42"/>
  </r>
  <r>
    <s v="1105 Fountain St"/>
    <x v="0"/>
    <x v="6"/>
    <x v="10"/>
    <d v="2011-11-01T00:00:00"/>
    <n v="2642556.7000000002"/>
    <n v="45485"/>
    <n v="2643349.4700000002"/>
  </r>
  <r>
    <s v="1105 Fountain St"/>
    <x v="0"/>
    <x v="6"/>
    <x v="11"/>
    <d v="2011-12-01T00:00:00"/>
    <n v="2505724.2400000002"/>
    <n v="45485"/>
    <n v="2506475.96"/>
  </r>
  <r>
    <s v="1105 Fountain St"/>
    <x v="0"/>
    <x v="6"/>
    <x v="0"/>
    <d v="2012-01-01T00:00:00"/>
    <n v="2542688.81"/>
    <n v="45485"/>
    <n v="2543451.62"/>
  </r>
  <r>
    <s v="1105 Fountain St"/>
    <x v="0"/>
    <x v="7"/>
    <x v="1"/>
    <d v="2012-02-01T00:00:00"/>
    <n v="2468359.02"/>
    <n v="45485"/>
    <n v="2469099.5299999998"/>
  </r>
  <r>
    <s v="1105 Fountain St"/>
    <x v="0"/>
    <x v="7"/>
    <x v="2"/>
    <d v="2012-03-01T00:00:00"/>
    <n v="2270361.7999999998"/>
    <n v="45485"/>
    <n v="2271042.91"/>
  </r>
  <r>
    <s v="1105 Fountain St"/>
    <x v="0"/>
    <x v="7"/>
    <x v="3"/>
    <d v="2012-04-01T00:00:00"/>
    <n v="2554749.11"/>
    <n v="45485"/>
    <n v="2555515.5299999998"/>
  </r>
  <r>
    <s v="1105 Fountain St"/>
    <x v="0"/>
    <x v="7"/>
    <x v="4"/>
    <d v="2012-04-27T00:00:00"/>
    <n v="2122659.12"/>
    <n v="45485"/>
    <n v="2123295.92"/>
  </r>
  <r>
    <s v="1105 Fountain St"/>
    <x v="0"/>
    <x v="7"/>
    <x v="5"/>
    <d v="2012-06-01T00:00:00"/>
    <n v="3014442.9971008701"/>
    <n v="45485"/>
    <n v="3015347.33"/>
  </r>
  <r>
    <s v="1105 Fountain St"/>
    <x v="0"/>
    <x v="7"/>
    <x v="6"/>
    <d v="2012-07-01T00:00:00"/>
    <n v="2889801.28"/>
    <n v="45485"/>
    <n v="2890668.22"/>
  </r>
  <r>
    <s v="1105 Fountain St"/>
    <x v="0"/>
    <x v="7"/>
    <x v="7"/>
    <d v="2012-08-01T00:00:00"/>
    <n v="3114912.7461761474"/>
    <n v="45485"/>
    <n v="3115847.22"/>
  </r>
  <r>
    <s v="1105 Fountain St"/>
    <x v="0"/>
    <x v="7"/>
    <x v="8"/>
    <d v="2012-09-01T00:00:00"/>
    <n v="3018456.0731780464"/>
    <n v="45485"/>
    <n v="3019361.61"/>
  </r>
  <r>
    <s v="1105 Fountain St"/>
    <x v="0"/>
    <x v="7"/>
    <x v="9"/>
    <d v="2012-10-01T00:00:00"/>
    <n v="2757059.9720083973"/>
    <n v="45485"/>
    <n v="2757887.09"/>
  </r>
  <r>
    <s v="1105 Fountain St"/>
    <x v="0"/>
    <x v="7"/>
    <x v="10"/>
    <d v="2012-11-01T00:00:00"/>
    <n v="2654281.6854943521"/>
    <n v="45485"/>
    <n v="2655077.9700000002"/>
  </r>
  <r>
    <s v="1105 Fountain St"/>
    <x v="0"/>
    <x v="7"/>
    <x v="11"/>
    <d v="2012-12-01T00:00:00"/>
    <n v="2484508.7973607918"/>
    <n v="45485"/>
    <n v="2485254.15"/>
  </r>
  <r>
    <s v="1105 Fountain St"/>
    <x v="0"/>
    <x v="7"/>
    <x v="0"/>
    <d v="2013-01-01T00:00:00"/>
    <n v="2496697.7306807959"/>
    <n v="45485"/>
    <n v="2497446.7400000002"/>
  </r>
  <r>
    <s v="180 Holiday Inn Dr"/>
    <x v="1"/>
    <x v="0"/>
    <x v="0"/>
    <d v="2006-01-01T00:00:00"/>
    <n v="279174.76"/>
    <n v="9743"/>
    <n v="289001.71000000002"/>
  </r>
  <r>
    <s v="180 Holiday Inn Dr"/>
    <x v="1"/>
    <x v="1"/>
    <x v="1"/>
    <d v="2006-02-01T00:00:00"/>
    <n v="278682.90000000002"/>
    <n v="9743"/>
    <n v="288492.53999999998"/>
  </r>
  <r>
    <s v="180 Holiday Inn Dr"/>
    <x v="1"/>
    <x v="1"/>
    <x v="2"/>
    <d v="2006-03-01T00:00:00"/>
    <n v="249380.92"/>
    <n v="9743"/>
    <n v="258159.13"/>
  </r>
  <r>
    <s v="180 Holiday Inn Dr"/>
    <x v="1"/>
    <x v="1"/>
    <x v="3"/>
    <d v="2006-04-01T00:00:00"/>
    <n v="276162.18"/>
    <n v="9743"/>
    <n v="285883.09000000003"/>
  </r>
  <r>
    <s v="180 Holiday Inn Dr"/>
    <x v="1"/>
    <x v="1"/>
    <x v="4"/>
    <d v="2006-05-01T00:00:00"/>
    <n v="276803.63"/>
    <n v="9743"/>
    <n v="286547.12"/>
  </r>
  <r>
    <s v="180 Holiday Inn Dr"/>
    <x v="1"/>
    <x v="1"/>
    <x v="5"/>
    <d v="2006-06-01T00:00:00"/>
    <n v="301716.74"/>
    <n v="9743"/>
    <n v="314358.67"/>
  </r>
  <r>
    <s v="180 Holiday Inn Dr"/>
    <x v="1"/>
    <x v="1"/>
    <x v="6"/>
    <d v="2006-07-01T00:00:00"/>
    <n v="306513.96999999997"/>
    <n v="9743"/>
    <n v="319356.90999999997"/>
  </r>
  <r>
    <s v="180 Holiday Inn Dr"/>
    <x v="1"/>
    <x v="1"/>
    <x v="7"/>
    <d v="2006-08-01T00:00:00"/>
    <n v="331165.63"/>
    <n v="9743"/>
    <n v="345041.47"/>
  </r>
  <r>
    <s v="180 Holiday Inn Dr"/>
    <x v="1"/>
    <x v="1"/>
    <x v="8"/>
    <d v="2006-09-01T00:00:00"/>
    <n v="321343.68"/>
    <n v="9743"/>
    <n v="334807.98"/>
  </r>
  <r>
    <s v="180 Holiday Inn Dr"/>
    <x v="1"/>
    <x v="1"/>
    <x v="9"/>
    <d v="2006-10-01T00:00:00"/>
    <n v="293668.73"/>
    <n v="9743"/>
    <n v="305973.45"/>
  </r>
  <r>
    <s v="180 Holiday Inn Dr"/>
    <x v="1"/>
    <x v="1"/>
    <x v="10"/>
    <d v="2006-11-01T00:00:00"/>
    <n v="287289.94"/>
    <n v="9743"/>
    <n v="299327.39"/>
  </r>
  <r>
    <s v="180 Holiday Inn Dr"/>
    <x v="1"/>
    <x v="1"/>
    <x v="11"/>
    <d v="2006-12-01T00:00:00"/>
    <n v="277101.09999999998"/>
    <n v="9743"/>
    <n v="288711.64"/>
  </r>
  <r>
    <s v="180 Holiday Inn Dr"/>
    <x v="1"/>
    <x v="1"/>
    <x v="0"/>
    <d v="2007-01-01T00:00:00"/>
    <n v="282099.87"/>
    <n v="9743"/>
    <n v="293919.84999999998"/>
  </r>
  <r>
    <s v="180 Holiday Inn Dr"/>
    <x v="1"/>
    <x v="2"/>
    <x v="1"/>
    <d v="2007-02-01T00:00:00"/>
    <n v="281710.09999999998"/>
    <n v="9743"/>
    <n v="293513.75"/>
  </r>
  <r>
    <s v="180 Holiday Inn Dr"/>
    <x v="1"/>
    <x v="2"/>
    <x v="2"/>
    <d v="2007-03-01T00:00:00"/>
    <n v="251368.2"/>
    <n v="9743"/>
    <n v="261900.53"/>
  </r>
  <r>
    <s v="180 Holiday Inn Dr"/>
    <x v="1"/>
    <x v="2"/>
    <x v="3"/>
    <d v="2007-04-01T00:00:00"/>
    <n v="280390.21000000002"/>
    <n v="9743"/>
    <n v="292138.56"/>
  </r>
  <r>
    <s v="180 Holiday Inn Dr"/>
    <x v="1"/>
    <x v="2"/>
    <x v="4"/>
    <d v="2007-05-01T00:00:00"/>
    <n v="274614.34000000003"/>
    <n v="9743"/>
    <n v="286120.68"/>
  </r>
  <r>
    <s v="180 Holiday Inn Dr"/>
    <x v="1"/>
    <x v="2"/>
    <x v="5"/>
    <d v="2007-06-01T00:00:00"/>
    <n v="301985.2"/>
    <n v="9743"/>
    <n v="314638.38"/>
  </r>
  <r>
    <s v="180 Holiday Inn Dr"/>
    <x v="1"/>
    <x v="2"/>
    <x v="6"/>
    <d v="2007-07-01T00:00:00"/>
    <n v="314544.90999999997"/>
    <n v="9743"/>
    <n v="327724.34000000003"/>
  </r>
  <r>
    <s v="180 Holiday Inn Dr"/>
    <x v="1"/>
    <x v="2"/>
    <x v="7"/>
    <d v="2007-08-01T00:00:00"/>
    <n v="320432.25"/>
    <n v="9743"/>
    <n v="333858.36"/>
  </r>
  <r>
    <s v="180 Holiday Inn Dr"/>
    <x v="1"/>
    <x v="2"/>
    <x v="8"/>
    <d v="2007-09-01T00:00:00"/>
    <n v="328416.21000000002"/>
    <n v="9743"/>
    <n v="342176.85"/>
  </r>
  <r>
    <s v="180 Holiday Inn Dr"/>
    <x v="1"/>
    <x v="2"/>
    <x v="9"/>
    <d v="2007-10-01T00:00:00"/>
    <n v="306481.15000000002"/>
    <n v="9743"/>
    <n v="319322.71000000002"/>
  </r>
  <r>
    <s v="180 Holiday Inn Dr"/>
    <x v="1"/>
    <x v="2"/>
    <x v="10"/>
    <d v="2007-11-01T00:00:00"/>
    <n v="305192.71000000002"/>
    <n v="9743"/>
    <n v="317980.28000000003"/>
  </r>
  <r>
    <s v="180 Holiday Inn Dr"/>
    <x v="1"/>
    <x v="2"/>
    <x v="11"/>
    <d v="2007-12-01T00:00:00"/>
    <n v="276279.65999999997"/>
    <n v="9743"/>
    <n v="287855.78000000003"/>
  </r>
  <r>
    <s v="180 Holiday Inn Dr"/>
    <x v="1"/>
    <x v="2"/>
    <x v="0"/>
    <d v="2008-01-01T00:00:00"/>
    <n v="285213.63"/>
    <n v="9743"/>
    <n v="297164.08"/>
  </r>
  <r>
    <s v="180 Holiday Inn Dr"/>
    <x v="1"/>
    <x v="3"/>
    <x v="1"/>
    <d v="2008-02-01T00:00:00"/>
    <n v="290433.69"/>
    <n v="9743"/>
    <n v="302602.86"/>
  </r>
  <r>
    <s v="180 Holiday Inn Dr"/>
    <x v="1"/>
    <x v="3"/>
    <x v="2"/>
    <d v="2008-03-01T00:00:00"/>
    <n v="270922.93"/>
    <n v="9743"/>
    <n v="282274.59999999998"/>
  </r>
  <r>
    <s v="180 Holiday Inn Dr"/>
    <x v="1"/>
    <x v="3"/>
    <x v="3"/>
    <d v="2008-04-01T00:00:00"/>
    <n v="291492.98"/>
    <n v="9743"/>
    <n v="303706.53999999998"/>
  </r>
  <r>
    <s v="180 Holiday Inn Dr"/>
    <x v="1"/>
    <x v="3"/>
    <x v="4"/>
    <d v="2008-05-01T00:00:00"/>
    <n v="295301.31"/>
    <n v="9743"/>
    <n v="307674.43"/>
  </r>
  <r>
    <s v="180 Holiday Inn Dr"/>
    <x v="1"/>
    <x v="3"/>
    <x v="5"/>
    <d v="2008-06-01T00:00:00"/>
    <n v="303593.73"/>
    <n v="9743"/>
    <n v="316314.31"/>
  </r>
  <r>
    <s v="180 Holiday Inn Dr"/>
    <x v="1"/>
    <x v="3"/>
    <x v="6"/>
    <d v="2008-07-01T00:00:00"/>
    <n v="319208.24"/>
    <n v="9743"/>
    <n v="332583.07"/>
  </r>
  <r>
    <s v="180 Holiday Inn Dr"/>
    <x v="1"/>
    <x v="3"/>
    <x v="7"/>
    <d v="2008-08-01T00:00:00"/>
    <n v="341475.31"/>
    <n v="9743"/>
    <n v="355783.13"/>
  </r>
  <r>
    <s v="180 Holiday Inn Dr"/>
    <x v="1"/>
    <x v="3"/>
    <x v="8"/>
    <d v="2008-09-01T00:00:00"/>
    <n v="323435.65999999997"/>
    <n v="9743"/>
    <n v="336987.61"/>
  </r>
  <r>
    <s v="180 Holiday Inn Dr"/>
    <x v="1"/>
    <x v="3"/>
    <x v="9"/>
    <d v="2008-10-01T00:00:00"/>
    <n v="307211.42"/>
    <n v="9743"/>
    <n v="320083.58"/>
  </r>
  <r>
    <s v="180 Holiday Inn Dr"/>
    <x v="1"/>
    <x v="3"/>
    <x v="10"/>
    <d v="2008-11-01T00:00:00"/>
    <n v="300539.38"/>
    <n v="9743"/>
    <n v="313131.98"/>
  </r>
  <r>
    <s v="180 Holiday Inn Dr"/>
    <x v="1"/>
    <x v="3"/>
    <x v="11"/>
    <d v="2008-12-01T00:00:00"/>
    <n v="287574.73"/>
    <n v="9743"/>
    <n v="299624.11"/>
  </r>
  <r>
    <s v="180 Holiday Inn Dr"/>
    <x v="1"/>
    <x v="3"/>
    <x v="0"/>
    <d v="2009-01-01T00:00:00"/>
    <n v="294315.08"/>
    <n v="9743"/>
    <n v="306646.88"/>
  </r>
  <r>
    <s v="180 Holiday Inn Dr"/>
    <x v="1"/>
    <x v="4"/>
    <x v="1"/>
    <d v="2009-02-01T00:00:00"/>
    <n v="287603.46000000002"/>
    <n v="9743"/>
    <n v="299654.03999999998"/>
  </r>
  <r>
    <s v="180 Holiday Inn Dr"/>
    <x v="1"/>
    <x v="4"/>
    <x v="2"/>
    <d v="2009-03-01T00:00:00"/>
    <n v="262200.68"/>
    <n v="9743"/>
    <n v="273186.89"/>
  </r>
  <r>
    <s v="180 Holiday Inn Dr"/>
    <x v="1"/>
    <x v="4"/>
    <x v="3"/>
    <d v="2009-04-01T00:00:00"/>
    <n v="290466.08"/>
    <n v="9743"/>
    <n v="302636.61"/>
  </r>
  <r>
    <s v="180 Holiday Inn Dr"/>
    <x v="1"/>
    <x v="4"/>
    <x v="4"/>
    <d v="2009-05-01T00:00:00"/>
    <n v="285261.36"/>
    <n v="9743"/>
    <n v="297213.81"/>
  </r>
  <r>
    <s v="180 Holiday Inn Dr"/>
    <x v="1"/>
    <x v="4"/>
    <x v="5"/>
    <d v="2009-06-01T00:00:00"/>
    <n v="305591.25"/>
    <n v="9743"/>
    <n v="318395.52000000002"/>
  </r>
  <r>
    <s v="180 Holiday Inn Dr"/>
    <x v="1"/>
    <x v="4"/>
    <x v="6"/>
    <d v="2009-07-01T00:00:00"/>
    <n v="310253.90999999997"/>
    <n v="9743"/>
    <n v="323253.55"/>
  </r>
  <r>
    <s v="180 Holiday Inn Dr"/>
    <x v="1"/>
    <x v="4"/>
    <x v="7"/>
    <d v="2009-08-01T00:00:00"/>
    <n v="318277.51"/>
    <n v="9743"/>
    <n v="331613.34000000003"/>
  </r>
  <r>
    <s v="180 Holiday Inn Dr"/>
    <x v="1"/>
    <x v="4"/>
    <x v="8"/>
    <d v="2009-09-01T00:00:00"/>
    <n v="317326.40000000002"/>
    <n v="9743"/>
    <n v="330622.38"/>
  </r>
  <r>
    <s v="180 Holiday Inn Dr"/>
    <x v="1"/>
    <x v="4"/>
    <x v="9"/>
    <d v="2009-10-01T00:00:00"/>
    <n v="293964.32"/>
    <n v="9743"/>
    <n v="306281.43"/>
  </r>
  <r>
    <s v="180 Holiday Inn Dr"/>
    <x v="1"/>
    <x v="4"/>
    <x v="10"/>
    <d v="2009-11-01T00:00:00"/>
    <n v="303214.26"/>
    <n v="9743"/>
    <n v="315918.94"/>
  </r>
  <r>
    <s v="180 Holiday Inn Dr"/>
    <x v="1"/>
    <x v="4"/>
    <x v="11"/>
    <d v="2009-12-01T00:00:00"/>
    <n v="293214.61"/>
    <n v="9743"/>
    <n v="305500.3"/>
  </r>
  <r>
    <s v="180 Holiday Inn Dr"/>
    <x v="1"/>
    <x v="4"/>
    <x v="0"/>
    <d v="2010-01-01T00:00:00"/>
    <n v="295341.40000000002"/>
    <n v="9743"/>
    <n v="307716.2"/>
  </r>
  <r>
    <s v="180 Holiday Inn Dr"/>
    <x v="1"/>
    <x v="5"/>
    <x v="1"/>
    <d v="2010-02-01T00:00:00"/>
    <n v="289189.84999999998"/>
    <n v="9743"/>
    <n v="301306.90000000002"/>
  </r>
  <r>
    <s v="180 Holiday Inn Dr"/>
    <x v="1"/>
    <x v="5"/>
    <x v="2"/>
    <d v="2010-03-01T00:00:00"/>
    <n v="259422.51"/>
    <n v="9743"/>
    <n v="270292.31"/>
  </r>
  <r>
    <s v="180 Holiday Inn Dr"/>
    <x v="1"/>
    <x v="5"/>
    <x v="3"/>
    <d v="2010-04-01T00:00:00"/>
    <n v="296887.90000000002"/>
    <n v="9743"/>
    <n v="309327.5"/>
  </r>
  <r>
    <s v="180 Holiday Inn Dr"/>
    <x v="1"/>
    <x v="5"/>
    <x v="4"/>
    <d v="2010-05-01T00:00:00"/>
    <n v="284958.28999999998"/>
    <n v="9743"/>
    <n v="296898.03999999998"/>
  </r>
  <r>
    <s v="180 Holiday Inn Dr"/>
    <x v="1"/>
    <x v="5"/>
    <x v="5"/>
    <d v="2010-06-01T00:00:00"/>
    <n v="281469.92"/>
    <n v="9743"/>
    <n v="289519.96000000002"/>
  </r>
  <r>
    <s v="180 Holiday Inn Dr"/>
    <x v="1"/>
    <x v="5"/>
    <x v="6"/>
    <d v="2010-07-01T00:00:00"/>
    <n v="307437.90999999997"/>
    <n v="9743"/>
    <n v="316230.63"/>
  </r>
  <r>
    <s v="180 Holiday Inn Dr"/>
    <x v="1"/>
    <x v="5"/>
    <x v="7"/>
    <d v="2010-08-01T00:00:00"/>
    <n v="348077.88"/>
    <n v="9743"/>
    <n v="358032.91"/>
  </r>
  <r>
    <s v="180 Holiday Inn Dr"/>
    <x v="1"/>
    <x v="5"/>
    <x v="8"/>
    <d v="2010-09-01T00:00:00"/>
    <n v="341955.68"/>
    <n v="9743"/>
    <n v="351735.61"/>
  </r>
  <r>
    <s v="180 Holiday Inn Dr"/>
    <x v="1"/>
    <x v="5"/>
    <x v="9"/>
    <d v="2010-10-01T00:00:00"/>
    <n v="285656.23"/>
    <n v="9743"/>
    <n v="293826"/>
  </r>
  <r>
    <s v="180 Holiday Inn Dr"/>
    <x v="1"/>
    <x v="5"/>
    <x v="10"/>
    <d v="2010-11-01T00:00:00"/>
    <n v="276656.17"/>
    <n v="9743"/>
    <n v="284568.53999999998"/>
  </r>
  <r>
    <s v="180 Holiday Inn Dr"/>
    <x v="1"/>
    <x v="5"/>
    <x v="11"/>
    <d v="2010-12-01T00:00:00"/>
    <n v="257585.51"/>
    <n v="9743"/>
    <n v="264952.46000000002"/>
  </r>
  <r>
    <s v="180 Holiday Inn Dr"/>
    <x v="1"/>
    <x v="5"/>
    <x v="0"/>
    <d v="2011-01-01T00:00:00"/>
    <n v="264690.92"/>
    <n v="9743"/>
    <n v="272261.08"/>
  </r>
  <r>
    <s v="180 Holiday Inn Dr"/>
    <x v="1"/>
    <x v="6"/>
    <x v="1"/>
    <d v="2011-02-01T00:00:00"/>
    <n v="263507.8"/>
    <n v="9743"/>
    <n v="271044.12"/>
  </r>
  <r>
    <s v="180 Holiday Inn Dr"/>
    <x v="1"/>
    <x v="6"/>
    <x v="2"/>
    <d v="2011-03-01T00:00:00"/>
    <n v="236503.89"/>
    <n v="9743"/>
    <n v="243267.9"/>
  </r>
  <r>
    <s v="180 Holiday Inn Dr"/>
    <x v="1"/>
    <x v="6"/>
    <x v="3"/>
    <d v="2011-04-01T00:00:00"/>
    <n v="261138.01"/>
    <n v="9743"/>
    <n v="268606.56"/>
  </r>
  <r>
    <s v="180 Holiday Inn Dr"/>
    <x v="1"/>
    <x v="6"/>
    <x v="4"/>
    <d v="2011-05-01T00:00:00"/>
    <n v="259190.64"/>
    <n v="9743"/>
    <n v="266603.49"/>
  </r>
  <r>
    <s v="180 Holiday Inn Dr"/>
    <x v="1"/>
    <x v="6"/>
    <x v="5"/>
    <d v="2011-06-01T00:00:00"/>
    <n v="291949.05"/>
    <n v="9743"/>
    <n v="300298.78999999998"/>
  </r>
  <r>
    <s v="180 Holiday Inn Dr"/>
    <x v="1"/>
    <x v="6"/>
    <x v="6"/>
    <d v="2011-07-01T00:00:00"/>
    <n v="301773.28000000003"/>
    <n v="9743"/>
    <n v="310404"/>
  </r>
  <r>
    <s v="180 Holiday Inn Dr"/>
    <x v="1"/>
    <x v="6"/>
    <x v="7"/>
    <d v="2011-08-01T00:00:00"/>
    <n v="349261.74"/>
    <n v="9743"/>
    <n v="359250.63"/>
  </r>
  <r>
    <s v="180 Holiday Inn Dr"/>
    <x v="1"/>
    <x v="6"/>
    <x v="8"/>
    <d v="2011-09-01T00:00:00"/>
    <n v="337202.12"/>
    <n v="9743"/>
    <n v="346846.1"/>
  </r>
  <r>
    <s v="180 Holiday Inn Dr"/>
    <x v="1"/>
    <x v="6"/>
    <x v="9"/>
    <d v="2011-10-01T00:00:00"/>
    <n v="311562.53999999998"/>
    <n v="9743"/>
    <n v="320473.23"/>
  </r>
  <r>
    <s v="180 Holiday Inn Dr"/>
    <x v="1"/>
    <x v="6"/>
    <x v="10"/>
    <d v="2011-11-01T00:00:00"/>
    <n v="303527.07"/>
    <n v="9743"/>
    <n v="312207.94"/>
  </r>
  <r>
    <s v="180 Holiday Inn Dr"/>
    <x v="1"/>
    <x v="6"/>
    <x v="11"/>
    <d v="2011-12-01T00:00:00"/>
    <n v="282316.98"/>
    <n v="9743"/>
    <n v="290391.25"/>
  </r>
  <r>
    <s v="180 Holiday Inn Dr"/>
    <x v="1"/>
    <x v="6"/>
    <x v="0"/>
    <d v="2012-01-01T00:00:00"/>
    <n v="296844.56"/>
    <n v="9743"/>
    <n v="305334.31"/>
  </r>
  <r>
    <s v="180 Holiday Inn Dr"/>
    <x v="1"/>
    <x v="7"/>
    <x v="1"/>
    <d v="2012-02-01T00:00:00"/>
    <n v="281061.78000000003"/>
    <n v="9743"/>
    <n v="289100.15000000002"/>
  </r>
  <r>
    <s v="180 Holiday Inn Dr"/>
    <x v="1"/>
    <x v="7"/>
    <x v="2"/>
    <d v="2012-03-01T00:00:00"/>
    <n v="241828.78"/>
    <n v="9743"/>
    <n v="248745.08"/>
  </r>
  <r>
    <s v="180 Holiday Inn Dr"/>
    <x v="1"/>
    <x v="7"/>
    <x v="3"/>
    <d v="2012-04-01T00:00:00"/>
    <n v="250033.58"/>
    <n v="9743"/>
    <n v="257184.54"/>
  </r>
  <r>
    <s v="180 Holiday Inn Dr"/>
    <x v="1"/>
    <x v="7"/>
    <x v="4"/>
    <d v="2012-04-27T00:00:00"/>
    <n v="208150.49"/>
    <n v="9743"/>
    <n v="214103.59"/>
  </r>
  <r>
    <s v="180 Holiday Inn Dr"/>
    <x v="1"/>
    <x v="7"/>
    <x v="5"/>
    <d v="2012-06-01T00:00:00"/>
    <n v="319740.28999999998"/>
    <n v="9743"/>
    <n v="328884.86"/>
  </r>
  <r>
    <s v="180 Holiday Inn Dr"/>
    <x v="1"/>
    <x v="7"/>
    <x v="6"/>
    <d v="2012-07-01T00:00:00"/>
    <n v="294702.88741979393"/>
    <n v="9743"/>
    <n v="303131.39"/>
  </r>
  <r>
    <s v="180 Holiday Inn Dr"/>
    <x v="1"/>
    <x v="7"/>
    <x v="7"/>
    <d v="2012-08-01T00:00:00"/>
    <n v="322016.30371378572"/>
    <n v="9743"/>
    <n v="331225.96999999997"/>
  </r>
  <r>
    <s v="180 Holiday Inn Dr"/>
    <x v="1"/>
    <x v="7"/>
    <x v="8"/>
    <d v="2012-09-01T00:00:00"/>
    <n v="305573.0799144468"/>
    <n v="9743"/>
    <n v="314312.46999999997"/>
  </r>
  <r>
    <s v="180 Holiday Inn Dr"/>
    <x v="1"/>
    <x v="7"/>
    <x v="9"/>
    <d v="2012-10-01T00:00:00"/>
    <n v="267524.73264631542"/>
    <n v="9743"/>
    <n v="275175.94"/>
  </r>
  <r>
    <s v="180 Holiday Inn Dr"/>
    <x v="1"/>
    <x v="7"/>
    <x v="10"/>
    <d v="2012-11-01T00:00:00"/>
    <n v="257148.05560956639"/>
    <n v="9743"/>
    <n v="264502.49"/>
  </r>
  <r>
    <s v="180 Holiday Inn Dr"/>
    <x v="1"/>
    <x v="7"/>
    <x v="11"/>
    <d v="2012-12-01T00:00:00"/>
    <n v="240576.11"/>
    <n v="9743"/>
    <n v="247456.59"/>
  </r>
  <r>
    <s v="180 Holiday Inn Dr"/>
    <x v="1"/>
    <x v="7"/>
    <x v="0"/>
    <d v="2013-01-01T00:00:00"/>
    <n v="241453.08185883728"/>
    <n v="9743"/>
    <n v="248358.64"/>
  </r>
  <r>
    <s v="200 Franklin Blvd"/>
    <x v="1"/>
    <x v="0"/>
    <x v="0"/>
    <d v="2006-01-01T00:00:00"/>
    <n v="391216.22"/>
    <n v="49997"/>
    <n v="404987.03"/>
  </r>
  <r>
    <s v="200 Franklin Blvd"/>
    <x v="1"/>
    <x v="1"/>
    <x v="1"/>
    <d v="2006-02-01T00:00:00"/>
    <n v="374093.75"/>
    <n v="49997"/>
    <n v="387261.85"/>
  </r>
  <r>
    <s v="200 Franklin Blvd"/>
    <x v="1"/>
    <x v="1"/>
    <x v="2"/>
    <d v="2006-03-01T00:00:00"/>
    <n v="311850.03999999998"/>
    <n v="49997"/>
    <n v="322827.15999999997"/>
  </r>
  <r>
    <s v="200 Franklin Blvd"/>
    <x v="1"/>
    <x v="1"/>
    <x v="3"/>
    <d v="2006-04-01T00:00:00"/>
    <n v="386728.28"/>
    <n v="49997"/>
    <n v="400341.12"/>
  </r>
  <r>
    <s v="200 Franklin Blvd"/>
    <x v="1"/>
    <x v="1"/>
    <x v="4"/>
    <d v="2006-05-01T00:00:00"/>
    <n v="380441.05"/>
    <n v="49997"/>
    <n v="393832.57"/>
  </r>
  <r>
    <s v="200 Franklin Blvd"/>
    <x v="1"/>
    <x v="1"/>
    <x v="5"/>
    <d v="2006-06-01T00:00:00"/>
    <n v="420048.51"/>
    <n v="49997"/>
    <n v="437648.54"/>
  </r>
  <r>
    <s v="200 Franklin Blvd"/>
    <x v="1"/>
    <x v="1"/>
    <x v="6"/>
    <d v="2006-07-01T00:00:00"/>
    <n v="442722.8"/>
    <n v="49997"/>
    <n v="461272.89"/>
  </r>
  <r>
    <s v="200 Franklin Blvd"/>
    <x v="1"/>
    <x v="1"/>
    <x v="7"/>
    <d v="2006-08-01T00:00:00"/>
    <n v="475499.95"/>
    <n v="49997"/>
    <n v="495423.4"/>
  </r>
  <r>
    <s v="200 Franklin Blvd"/>
    <x v="1"/>
    <x v="1"/>
    <x v="8"/>
    <d v="2006-09-01T00:00:00"/>
    <n v="465032.7"/>
    <n v="49997"/>
    <n v="484517.57"/>
  </r>
  <r>
    <s v="200 Franklin Blvd"/>
    <x v="1"/>
    <x v="1"/>
    <x v="9"/>
    <d v="2006-10-01T00:00:00"/>
    <n v="403003.77"/>
    <n v="49997"/>
    <n v="419889.63"/>
  </r>
  <r>
    <s v="200 Franklin Blvd"/>
    <x v="1"/>
    <x v="1"/>
    <x v="10"/>
    <d v="2006-11-01T00:00:00"/>
    <n v="378779.33"/>
    <n v="49997"/>
    <n v="394650.18"/>
  </r>
  <r>
    <s v="200 Franklin Blvd"/>
    <x v="1"/>
    <x v="1"/>
    <x v="11"/>
    <d v="2006-12-01T00:00:00"/>
    <n v="363840.67"/>
    <n v="49997"/>
    <n v="379085.59"/>
  </r>
  <r>
    <s v="200 Franklin Blvd"/>
    <x v="1"/>
    <x v="1"/>
    <x v="0"/>
    <d v="2007-01-01T00:00:00"/>
    <n v="375871.24"/>
    <n v="49997"/>
    <n v="391620.24"/>
  </r>
  <r>
    <s v="200 Franklin Blvd"/>
    <x v="1"/>
    <x v="2"/>
    <x v="1"/>
    <d v="2007-02-01T00:00:00"/>
    <n v="372073.89"/>
    <n v="49997"/>
    <n v="387663.79"/>
  </r>
  <r>
    <s v="200 Franklin Blvd"/>
    <x v="1"/>
    <x v="2"/>
    <x v="2"/>
    <d v="2007-03-01T00:00:00"/>
    <n v="338906.65"/>
    <n v="49997"/>
    <n v="353106.84"/>
  </r>
  <r>
    <s v="200 Franklin Blvd"/>
    <x v="1"/>
    <x v="2"/>
    <x v="3"/>
    <d v="2007-04-01T00:00:00"/>
    <n v="374146.38"/>
    <n v="49997"/>
    <n v="389823.11"/>
  </r>
  <r>
    <s v="200 Franklin Blvd"/>
    <x v="1"/>
    <x v="2"/>
    <x v="4"/>
    <d v="2007-05-01T00:00:00"/>
    <n v="367073.5"/>
    <n v="49997"/>
    <n v="382453.88"/>
  </r>
  <r>
    <s v="200 Franklin Blvd"/>
    <x v="1"/>
    <x v="2"/>
    <x v="5"/>
    <d v="2007-06-01T00:00:00"/>
    <n v="416583.11"/>
    <n v="49997"/>
    <n v="434037.94"/>
  </r>
  <r>
    <s v="200 Franklin Blvd"/>
    <x v="1"/>
    <x v="2"/>
    <x v="6"/>
    <d v="2007-07-01T00:00:00"/>
    <n v="444145.09"/>
    <n v="49997"/>
    <n v="462754.77"/>
  </r>
  <r>
    <s v="200 Franklin Blvd"/>
    <x v="1"/>
    <x v="2"/>
    <x v="7"/>
    <d v="2007-08-01T00:00:00"/>
    <n v="434527.82"/>
    <n v="49997"/>
    <n v="452734.54"/>
  </r>
  <r>
    <s v="200 Franklin Blvd"/>
    <x v="1"/>
    <x v="2"/>
    <x v="8"/>
    <d v="2007-09-01T00:00:00"/>
    <n v="461629.87"/>
    <n v="49997"/>
    <n v="480972.16"/>
  </r>
  <r>
    <s v="200 Franklin Blvd"/>
    <x v="1"/>
    <x v="2"/>
    <x v="9"/>
    <d v="2007-10-01T00:00:00"/>
    <n v="424354.16"/>
    <n v="49997"/>
    <n v="442134.6"/>
  </r>
  <r>
    <s v="200 Franklin Blvd"/>
    <x v="1"/>
    <x v="2"/>
    <x v="10"/>
    <d v="2007-11-01T00:00:00"/>
    <n v="430188.78"/>
    <n v="49997"/>
    <n v="448213.69"/>
  </r>
  <r>
    <s v="200 Franklin Blvd"/>
    <x v="1"/>
    <x v="2"/>
    <x v="11"/>
    <d v="2007-12-01T00:00:00"/>
    <n v="388020.33"/>
    <n v="49997"/>
    <n v="404278.38"/>
  </r>
  <r>
    <s v="200 Franklin Blvd"/>
    <x v="1"/>
    <x v="2"/>
    <x v="0"/>
    <d v="2008-01-01T00:00:00"/>
    <n v="397849.04"/>
    <n v="49997"/>
    <n v="414518.91"/>
  </r>
  <r>
    <s v="200 Franklin Blvd"/>
    <x v="1"/>
    <x v="3"/>
    <x v="1"/>
    <d v="2008-02-01T00:00:00"/>
    <n v="389153.99"/>
    <n v="49997"/>
    <n v="405459.54"/>
  </r>
  <r>
    <s v="200 Franklin Blvd"/>
    <x v="1"/>
    <x v="3"/>
    <x v="2"/>
    <d v="2008-03-01T00:00:00"/>
    <n v="357941.25"/>
    <n v="49997"/>
    <n v="372938.99"/>
  </r>
  <r>
    <s v="200 Franklin Blvd"/>
    <x v="1"/>
    <x v="3"/>
    <x v="3"/>
    <d v="2008-04-01T00:00:00"/>
    <n v="379163.48"/>
    <n v="49997"/>
    <n v="395050.43"/>
  </r>
  <r>
    <s v="200 Franklin Blvd"/>
    <x v="1"/>
    <x v="3"/>
    <x v="4"/>
    <d v="2008-05-01T00:00:00"/>
    <n v="391111.2"/>
    <n v="49997"/>
    <n v="407498.76"/>
  </r>
  <r>
    <s v="200 Franklin Blvd"/>
    <x v="1"/>
    <x v="3"/>
    <x v="5"/>
    <d v="2008-06-01T00:00:00"/>
    <n v="412173.25"/>
    <n v="49997"/>
    <n v="429443.31"/>
  </r>
  <r>
    <s v="200 Franklin Blvd"/>
    <x v="1"/>
    <x v="3"/>
    <x v="6"/>
    <d v="2008-07-01T00:00:00"/>
    <n v="460670.66"/>
    <n v="49997"/>
    <n v="479972.76"/>
  </r>
  <r>
    <s v="200 Franklin Blvd"/>
    <x v="1"/>
    <x v="3"/>
    <x v="7"/>
    <d v="2008-08-01T00:00:00"/>
    <n v="479758.99"/>
    <n v="49997"/>
    <n v="499860.89"/>
  </r>
  <r>
    <s v="200 Franklin Blvd"/>
    <x v="1"/>
    <x v="3"/>
    <x v="8"/>
    <d v="2008-09-01T00:00:00"/>
    <n v="456552.79"/>
    <n v="49997"/>
    <n v="475682.35"/>
  </r>
  <r>
    <s v="200 Franklin Blvd"/>
    <x v="1"/>
    <x v="3"/>
    <x v="9"/>
    <d v="2008-10-01T00:00:00"/>
    <n v="437236.09"/>
    <n v="49997"/>
    <n v="455556.28"/>
  </r>
  <r>
    <s v="200 Franklin Blvd"/>
    <x v="1"/>
    <x v="3"/>
    <x v="10"/>
    <d v="2008-11-01T00:00:00"/>
    <n v="399593.41"/>
    <n v="49997"/>
    <n v="416336.37"/>
  </r>
  <r>
    <s v="200 Franklin Blvd"/>
    <x v="1"/>
    <x v="3"/>
    <x v="11"/>
    <d v="2008-12-01T00:00:00"/>
    <n v="383577.08"/>
    <n v="49997"/>
    <n v="399648.96"/>
  </r>
  <r>
    <s v="200 Franklin Blvd"/>
    <x v="1"/>
    <x v="3"/>
    <x v="0"/>
    <d v="2009-01-01T00:00:00"/>
    <n v="401888.62"/>
    <n v="49997"/>
    <n v="418727.75"/>
  </r>
  <r>
    <s v="200 Franklin Blvd"/>
    <x v="1"/>
    <x v="4"/>
    <x v="1"/>
    <d v="2009-02-01T00:00:00"/>
    <n v="396093.49"/>
    <n v="49997"/>
    <n v="412689.81"/>
  </r>
  <r>
    <s v="200 Franklin Blvd"/>
    <x v="1"/>
    <x v="4"/>
    <x v="2"/>
    <d v="2009-03-01T00:00:00"/>
    <n v="356692.09"/>
    <n v="49997"/>
    <n v="371637.49"/>
  </r>
  <r>
    <s v="200 Franklin Blvd"/>
    <x v="1"/>
    <x v="4"/>
    <x v="3"/>
    <d v="2009-04-01T00:00:00"/>
    <n v="395105.76"/>
    <n v="49997"/>
    <n v="411660.69"/>
  </r>
  <r>
    <s v="200 Franklin Blvd"/>
    <x v="1"/>
    <x v="4"/>
    <x v="4"/>
    <d v="2009-05-01T00:00:00"/>
    <n v="394711.89"/>
    <n v="49997"/>
    <n v="411250.32"/>
  </r>
  <r>
    <s v="200 Franklin Blvd"/>
    <x v="1"/>
    <x v="4"/>
    <x v="5"/>
    <d v="2009-06-01T00:00:00"/>
    <n v="427165.55"/>
    <n v="49997"/>
    <n v="445063.79"/>
  </r>
  <r>
    <s v="200 Franklin Blvd"/>
    <x v="1"/>
    <x v="4"/>
    <x v="6"/>
    <d v="2009-07-01T00:00:00"/>
    <n v="453063.18"/>
    <n v="49997"/>
    <n v="472046.53"/>
  </r>
  <r>
    <s v="200 Franklin Blvd"/>
    <x v="1"/>
    <x v="4"/>
    <x v="7"/>
    <d v="2009-08-01T00:00:00"/>
    <n v="473589.54"/>
    <n v="49997"/>
    <n v="493432.94"/>
  </r>
  <r>
    <s v="200 Franklin Blvd"/>
    <x v="1"/>
    <x v="4"/>
    <x v="8"/>
    <d v="2009-09-01T00:00:00"/>
    <n v="477853.38"/>
    <n v="49997"/>
    <n v="497875.44"/>
  </r>
  <r>
    <s v="200 Franklin Blvd"/>
    <x v="1"/>
    <x v="4"/>
    <x v="9"/>
    <d v="2009-10-01T00:00:00"/>
    <n v="432680.01"/>
    <n v="49997"/>
    <n v="450809.3"/>
  </r>
  <r>
    <s v="200 Franklin Blvd"/>
    <x v="1"/>
    <x v="4"/>
    <x v="10"/>
    <d v="2009-11-01T00:00:00"/>
    <n v="401269.82"/>
    <n v="49997"/>
    <n v="418083.03"/>
  </r>
  <r>
    <s v="200 Franklin Blvd"/>
    <x v="1"/>
    <x v="4"/>
    <x v="11"/>
    <d v="2009-12-01T00:00:00"/>
    <n v="386332.57"/>
    <n v="49997"/>
    <n v="402519.9"/>
  </r>
  <r>
    <s v="200 Franklin Blvd"/>
    <x v="1"/>
    <x v="4"/>
    <x v="0"/>
    <d v="2010-01-01T00:00:00"/>
    <n v="391446.63"/>
    <n v="49997"/>
    <n v="407848.24"/>
  </r>
  <r>
    <s v="200 Franklin Blvd"/>
    <x v="1"/>
    <x v="5"/>
    <x v="1"/>
    <d v="2010-02-01T00:00:00"/>
    <n v="386576.61"/>
    <n v="49997"/>
    <n v="402774.17"/>
  </r>
  <r>
    <s v="200 Franklin Blvd"/>
    <x v="1"/>
    <x v="5"/>
    <x v="2"/>
    <d v="2010-03-01T00:00:00"/>
    <n v="350368.44"/>
    <n v="49997"/>
    <n v="365048.88"/>
  </r>
  <r>
    <s v="200 Franklin Blvd"/>
    <x v="1"/>
    <x v="5"/>
    <x v="3"/>
    <d v="2010-04-01T00:00:00"/>
    <n v="397820.25"/>
    <n v="49997"/>
    <n v="414488.92"/>
  </r>
  <r>
    <s v="200 Franklin Blvd"/>
    <x v="1"/>
    <x v="5"/>
    <x v="4"/>
    <d v="2010-05-01T00:00:00"/>
    <n v="400231.94"/>
    <n v="49997"/>
    <n v="417001.66"/>
  </r>
  <r>
    <s v="200 Franklin Blvd"/>
    <x v="1"/>
    <x v="5"/>
    <x v="5"/>
    <d v="2010-06-01T00:00:00"/>
    <n v="448282.07"/>
    <n v="49997"/>
    <n v="461102.94"/>
  </r>
  <r>
    <s v="200 Franklin Blvd"/>
    <x v="1"/>
    <x v="5"/>
    <x v="6"/>
    <d v="2010-07-01T00:00:00"/>
    <n v="475957.41"/>
    <n v="49997"/>
    <n v="489569.79"/>
  </r>
  <r>
    <s v="200 Franklin Blvd"/>
    <x v="1"/>
    <x v="5"/>
    <x v="7"/>
    <d v="2010-08-01T00:00:00"/>
    <n v="508464.8"/>
    <n v="49997"/>
    <n v="523006.89"/>
  </r>
  <r>
    <s v="200 Franklin Blvd"/>
    <x v="1"/>
    <x v="5"/>
    <x v="8"/>
    <d v="2010-09-01T00:00:00"/>
    <n v="489017.21"/>
    <n v="49997"/>
    <n v="503003.1"/>
  </r>
  <r>
    <s v="200 Franklin Blvd"/>
    <x v="1"/>
    <x v="5"/>
    <x v="9"/>
    <d v="2010-10-01T00:00:00"/>
    <n v="453460.07"/>
    <n v="49997"/>
    <n v="466429.03"/>
  </r>
  <r>
    <s v="200 Franklin Blvd"/>
    <x v="1"/>
    <x v="5"/>
    <x v="10"/>
    <d v="2010-11-01T00:00:00"/>
    <n v="424368.48"/>
    <n v="49997"/>
    <n v="436505.42"/>
  </r>
  <r>
    <s v="200 Franklin Blvd"/>
    <x v="1"/>
    <x v="5"/>
    <x v="11"/>
    <d v="2010-12-01T00:00:00"/>
    <n v="394729.13"/>
    <n v="49997"/>
    <n v="406018.38"/>
  </r>
  <r>
    <s v="200 Franklin Blvd"/>
    <x v="1"/>
    <x v="5"/>
    <x v="0"/>
    <d v="2011-01-01T00:00:00"/>
    <n v="398016.12"/>
    <n v="49997"/>
    <n v="409399.38"/>
  </r>
  <r>
    <s v="200 Franklin Blvd"/>
    <x v="1"/>
    <x v="6"/>
    <x v="1"/>
    <d v="2011-02-01T00:00:00"/>
    <n v="397454.51"/>
    <n v="49997"/>
    <n v="408821.71"/>
  </r>
  <r>
    <s v="200 Franklin Blvd"/>
    <x v="1"/>
    <x v="6"/>
    <x v="2"/>
    <d v="2011-03-01T00:00:00"/>
    <n v="363199.93"/>
    <n v="49997"/>
    <n v="373587.45"/>
  </r>
  <r>
    <s v="200 Franklin Blvd"/>
    <x v="1"/>
    <x v="6"/>
    <x v="3"/>
    <d v="2011-04-01T00:00:00"/>
    <n v="408491.93"/>
    <n v="49997"/>
    <n v="420174.8"/>
  </r>
  <r>
    <s v="200 Franklin Blvd"/>
    <x v="1"/>
    <x v="6"/>
    <x v="4"/>
    <d v="2011-05-01T00:00:00"/>
    <n v="402635.21"/>
    <n v="49997"/>
    <n v="414150.58"/>
  </r>
  <r>
    <s v="200 Franklin Blvd"/>
    <x v="1"/>
    <x v="6"/>
    <x v="5"/>
    <d v="2011-06-01T00:00:00"/>
    <n v="456332.3"/>
    <n v="49997"/>
    <n v="469383.4"/>
  </r>
  <r>
    <s v="200 Franklin Blvd"/>
    <x v="1"/>
    <x v="6"/>
    <x v="6"/>
    <d v="2011-07-01T00:00:00"/>
    <n v="479639.09"/>
    <n v="49997"/>
    <n v="493356.77"/>
  </r>
  <r>
    <s v="200 Franklin Blvd"/>
    <x v="1"/>
    <x v="6"/>
    <x v="7"/>
    <d v="2011-08-01T00:00:00"/>
    <n v="576234.38"/>
    <n v="49997"/>
    <n v="592714.68000000005"/>
  </r>
  <r>
    <s v="200 Franklin Blvd"/>
    <x v="1"/>
    <x v="6"/>
    <x v="8"/>
    <d v="2011-09-01T00:00:00"/>
    <n v="553770.27"/>
    <n v="49997"/>
    <n v="569608.1"/>
  </r>
  <r>
    <s v="200 Franklin Blvd"/>
    <x v="1"/>
    <x v="6"/>
    <x v="9"/>
    <d v="2011-10-01T00:00:00"/>
    <n v="493336.03"/>
    <n v="49997"/>
    <n v="507445.44"/>
  </r>
  <r>
    <s v="200 Franklin Blvd"/>
    <x v="1"/>
    <x v="6"/>
    <x v="10"/>
    <d v="2011-11-01T00:00:00"/>
    <n v="441656.63"/>
    <n v="49997"/>
    <n v="454288.01"/>
  </r>
  <r>
    <s v="200 Franklin Blvd"/>
    <x v="1"/>
    <x v="6"/>
    <x v="11"/>
    <d v="2011-12-01T00:00:00"/>
    <n v="412085.71"/>
    <n v="49997"/>
    <n v="423871.36"/>
  </r>
  <r>
    <s v="200 Franklin Blvd"/>
    <x v="1"/>
    <x v="6"/>
    <x v="0"/>
    <d v="2012-01-01T00:00:00"/>
    <n v="416433.18"/>
    <n v="49997"/>
    <n v="428343.17"/>
  </r>
  <r>
    <s v="200 Franklin Blvd"/>
    <x v="1"/>
    <x v="7"/>
    <x v="1"/>
    <d v="2012-02-01T00:00:00"/>
    <n v="410386.51"/>
    <n v="49997"/>
    <n v="422123.56"/>
  </r>
  <r>
    <s v="200 Franklin Blvd"/>
    <x v="1"/>
    <x v="7"/>
    <x v="2"/>
    <d v="2012-03-01T00:00:00"/>
    <n v="384229.35"/>
    <n v="49997"/>
    <n v="395218.31"/>
  </r>
  <r>
    <s v="200 Franklin Blvd"/>
    <x v="1"/>
    <x v="7"/>
    <x v="3"/>
    <d v="2012-04-01T00:00:00"/>
    <n v="434399.95"/>
    <n v="49997"/>
    <n v="446823.79"/>
  </r>
  <r>
    <s v="200 Franklin Blvd"/>
    <x v="1"/>
    <x v="7"/>
    <x v="4"/>
    <d v="2012-05-01T00:00:00"/>
    <n v="405092.91"/>
    <n v="49997"/>
    <n v="416678.57"/>
  </r>
  <r>
    <s v="200 Franklin Blvd"/>
    <x v="1"/>
    <x v="7"/>
    <x v="5"/>
    <d v="2012-06-01T00:00:00"/>
    <n v="475494.05"/>
    <n v="49997"/>
    <n v="489093.18"/>
  </r>
  <r>
    <s v="200 Franklin Blvd"/>
    <x v="1"/>
    <x v="7"/>
    <x v="6"/>
    <d v="2012-06-26T00:00:00"/>
    <n v="397607.93"/>
    <n v="49997"/>
    <n v="408979.52"/>
  </r>
  <r>
    <s v="200 Franklin Blvd"/>
    <x v="1"/>
    <x v="7"/>
    <x v="7"/>
    <d v="2012-08-01T00:00:00"/>
    <n v="614020.26"/>
    <n v="49997"/>
    <n v="631581.24"/>
  </r>
  <r>
    <s v="200 Franklin Blvd"/>
    <x v="1"/>
    <x v="7"/>
    <x v="8"/>
    <d v="2012-09-01T00:00:00"/>
    <n v="516743.02"/>
    <n v="49997"/>
    <n v="531521.87"/>
  </r>
  <r>
    <s v="200 Franklin Blvd"/>
    <x v="1"/>
    <x v="7"/>
    <x v="9"/>
    <d v="2012-10-01T00:00:00"/>
    <n v="454643.34"/>
    <n v="49997"/>
    <n v="467646.14"/>
  </r>
  <r>
    <s v="200 Franklin Blvd"/>
    <x v="1"/>
    <x v="7"/>
    <x v="10"/>
    <d v="2012-11-01T00:00:00"/>
    <n v="437325.23"/>
    <n v="49997"/>
    <n v="449832.73"/>
  </r>
  <r>
    <s v="200 Franklin Blvd"/>
    <x v="1"/>
    <x v="7"/>
    <x v="11"/>
    <d v="2012-12-01T00:00:00"/>
    <n v="399541.41"/>
    <n v="49997"/>
    <n v="410968.29"/>
  </r>
  <r>
    <s v="200 Franklin Blvd"/>
    <x v="1"/>
    <x v="7"/>
    <x v="0"/>
    <d v="2013-01-01T00:00:00"/>
    <n v="415025.76"/>
    <n v="49997"/>
    <n v="426895.5"/>
  </r>
  <r>
    <s v="400 Conestoga Blvd"/>
    <x v="1"/>
    <x v="1"/>
    <x v="5"/>
    <d v="2006-06-01T00:00:00"/>
    <n v="205953.86"/>
    <n v="42695"/>
    <n v="214583.33"/>
  </r>
  <r>
    <s v="400 Conestoga Blvd"/>
    <x v="1"/>
    <x v="1"/>
    <x v="6"/>
    <d v="2006-07-01T00:00:00"/>
    <n v="367442.14"/>
    <n v="42695"/>
    <n v="382837.97"/>
  </r>
  <r>
    <s v="400 Conestoga Blvd"/>
    <x v="1"/>
    <x v="1"/>
    <x v="7"/>
    <d v="2006-08-01T00:00:00"/>
    <n v="396760.31"/>
    <n v="42695"/>
    <n v="413384.57"/>
  </r>
  <r>
    <s v="400 Conestoga Blvd"/>
    <x v="1"/>
    <x v="1"/>
    <x v="8"/>
    <d v="2006-09-01T00:00:00"/>
    <n v="385638.25"/>
    <n v="42695"/>
    <n v="401796.49"/>
  </r>
  <r>
    <s v="400 Conestoga Blvd"/>
    <x v="1"/>
    <x v="1"/>
    <x v="9"/>
    <d v="2006-10-01T00:00:00"/>
    <n v="350685.35"/>
    <n v="42695"/>
    <n v="365379.07"/>
  </r>
  <r>
    <s v="400 Conestoga Blvd"/>
    <x v="1"/>
    <x v="1"/>
    <x v="10"/>
    <d v="2006-11-01T00:00:00"/>
    <n v="343791.05"/>
    <n v="42695"/>
    <n v="358195.89"/>
  </r>
  <r>
    <s v="400 Conestoga Blvd"/>
    <x v="1"/>
    <x v="1"/>
    <x v="11"/>
    <d v="2006-12-01T00:00:00"/>
    <n v="334976.46000000002"/>
    <n v="42695"/>
    <n v="349011.97"/>
  </r>
  <r>
    <s v="400 Conestoga Blvd"/>
    <x v="1"/>
    <x v="1"/>
    <x v="0"/>
    <d v="2007-01-01T00:00:00"/>
    <n v="338567.11"/>
    <n v="42695"/>
    <n v="352753.07"/>
  </r>
  <r>
    <s v="400 Conestoga Blvd"/>
    <x v="1"/>
    <x v="2"/>
    <x v="1"/>
    <d v="2007-02-01T00:00:00"/>
    <n v="332561.74"/>
    <n v="42695"/>
    <n v="346496.08"/>
  </r>
  <r>
    <s v="400 Conestoga Blvd"/>
    <x v="1"/>
    <x v="2"/>
    <x v="2"/>
    <d v="2007-03-01T00:00:00"/>
    <n v="295939.33"/>
    <n v="42695"/>
    <n v="308339.19"/>
  </r>
  <r>
    <s v="400 Conestoga Blvd"/>
    <x v="1"/>
    <x v="2"/>
    <x v="3"/>
    <d v="2007-04-01T00:00:00"/>
    <n v="334313.77"/>
    <n v="42695"/>
    <n v="348321.52"/>
  </r>
  <r>
    <s v="400 Conestoga Blvd"/>
    <x v="1"/>
    <x v="2"/>
    <x v="4"/>
    <d v="2007-05-01T00:00:00"/>
    <n v="333745.68"/>
    <n v="42695"/>
    <n v="347729.62"/>
  </r>
  <r>
    <s v="400 Conestoga Blvd"/>
    <x v="1"/>
    <x v="2"/>
    <x v="5"/>
    <d v="2007-06-01T00:00:00"/>
    <n v="378283.63"/>
    <n v="42695"/>
    <n v="394133.71"/>
  </r>
  <r>
    <s v="400 Conestoga Blvd"/>
    <x v="1"/>
    <x v="2"/>
    <x v="6"/>
    <d v="2007-07-01T00:00:00"/>
    <n v="399804.74"/>
    <n v="42695"/>
    <n v="416556.56"/>
  </r>
  <r>
    <s v="400 Conestoga Blvd"/>
    <x v="1"/>
    <x v="2"/>
    <x v="7"/>
    <d v="2007-08-01T00:00:00"/>
    <n v="396701.7"/>
    <n v="42695"/>
    <n v="413323.5"/>
  </r>
  <r>
    <s v="400 Conestoga Blvd"/>
    <x v="1"/>
    <x v="2"/>
    <x v="8"/>
    <d v="2007-09-01T00:00:00"/>
    <n v="401391.68"/>
    <n v="42695"/>
    <n v="418209.99"/>
  </r>
  <r>
    <s v="400 Conestoga Blvd"/>
    <x v="1"/>
    <x v="2"/>
    <x v="9"/>
    <d v="2007-10-01T00:00:00"/>
    <n v="375355.61"/>
    <n v="42695"/>
    <n v="391083.01"/>
  </r>
  <r>
    <s v="400 Conestoga Blvd"/>
    <x v="1"/>
    <x v="2"/>
    <x v="10"/>
    <d v="2007-11-01T00:00:00"/>
    <n v="364048.91"/>
    <n v="42695"/>
    <n v="379302.56"/>
  </r>
  <r>
    <s v="400 Conestoga Blvd"/>
    <x v="1"/>
    <x v="2"/>
    <x v="11"/>
    <d v="2007-12-01T00:00:00"/>
    <n v="327946.34000000003"/>
    <n v="42695"/>
    <n v="341687.29"/>
  </r>
  <r>
    <s v="400 Conestoga Blvd"/>
    <x v="1"/>
    <x v="2"/>
    <x v="0"/>
    <d v="2008-01-01T00:00:00"/>
    <n v="342302.05"/>
    <n v="42695"/>
    <n v="356644.51"/>
  </r>
  <r>
    <s v="400 Conestoga Blvd"/>
    <x v="1"/>
    <x v="3"/>
    <x v="1"/>
    <d v="2008-02-01T00:00:00"/>
    <n v="337454.57"/>
    <n v="42695"/>
    <n v="351593.92"/>
  </r>
  <r>
    <s v="400 Conestoga Blvd"/>
    <x v="1"/>
    <x v="3"/>
    <x v="2"/>
    <d v="2008-03-01T00:00:00"/>
    <n v="300926.8"/>
    <n v="42695"/>
    <n v="313535.63"/>
  </r>
  <r>
    <s v="400 Conestoga Blvd"/>
    <x v="1"/>
    <x v="3"/>
    <x v="3"/>
    <d v="2008-04-01T00:00:00"/>
    <n v="317236.56"/>
    <n v="42695"/>
    <n v="330528.77"/>
  </r>
  <r>
    <s v="400 Conestoga Blvd"/>
    <x v="1"/>
    <x v="3"/>
    <x v="4"/>
    <d v="2008-05-01T00:00:00"/>
    <n v="329235.06"/>
    <n v="42695"/>
    <n v="343030.01"/>
  </r>
  <r>
    <s v="400 Conestoga Blvd"/>
    <x v="1"/>
    <x v="3"/>
    <x v="5"/>
    <d v="2008-06-01T00:00:00"/>
    <n v="348294.32"/>
    <n v="42695"/>
    <n v="362887.85"/>
  </r>
  <r>
    <s v="400 Conestoga Blvd"/>
    <x v="1"/>
    <x v="3"/>
    <x v="6"/>
    <d v="2008-07-01T00:00:00"/>
    <n v="378712.26"/>
    <n v="42695"/>
    <n v="394580.3"/>
  </r>
  <r>
    <s v="400 Conestoga Blvd"/>
    <x v="1"/>
    <x v="3"/>
    <x v="7"/>
    <d v="2008-08-01T00:00:00"/>
    <n v="394795.63"/>
    <n v="42695"/>
    <n v="411337.57"/>
  </r>
  <r>
    <s v="400 Conestoga Blvd"/>
    <x v="1"/>
    <x v="3"/>
    <x v="8"/>
    <d v="2008-09-01T00:00:00"/>
    <n v="379360.31"/>
    <n v="42695"/>
    <n v="395255.51"/>
  </r>
  <r>
    <s v="400 Conestoga Blvd"/>
    <x v="1"/>
    <x v="3"/>
    <x v="9"/>
    <d v="2008-10-01T00:00:00"/>
    <n v="364400.92"/>
    <n v="42695"/>
    <n v="379669.32"/>
  </r>
  <r>
    <s v="400 Conestoga Blvd"/>
    <x v="1"/>
    <x v="3"/>
    <x v="10"/>
    <d v="2008-11-01T00:00:00"/>
    <n v="349982.76"/>
    <n v="42695"/>
    <n v="364647.04"/>
  </r>
  <r>
    <s v="400 Conestoga Blvd"/>
    <x v="1"/>
    <x v="3"/>
    <x v="11"/>
    <d v="2008-12-01T00:00:00"/>
    <n v="332695.18"/>
    <n v="42695"/>
    <n v="346635.11"/>
  </r>
  <r>
    <s v="400 Conestoga Blvd"/>
    <x v="1"/>
    <x v="3"/>
    <x v="0"/>
    <d v="2009-01-01T00:00:00"/>
    <n v="345883.27"/>
    <n v="42695"/>
    <n v="360375.78"/>
  </r>
  <r>
    <s v="400 Conestoga Blvd"/>
    <x v="1"/>
    <x v="4"/>
    <x v="1"/>
    <d v="2009-02-01T00:00:00"/>
    <n v="336924.3"/>
    <n v="42695"/>
    <n v="351041.43"/>
  </r>
  <r>
    <s v="400 Conestoga Blvd"/>
    <x v="1"/>
    <x v="4"/>
    <x v="2"/>
    <d v="2009-03-01T00:00:00"/>
    <n v="305455.81"/>
    <n v="42695"/>
    <n v="318254.40999999997"/>
  </r>
  <r>
    <s v="400 Conestoga Blvd"/>
    <x v="1"/>
    <x v="4"/>
    <x v="3"/>
    <d v="2009-04-01T00:00:00"/>
    <n v="340323.8"/>
    <n v="42695"/>
    <n v="354583.37"/>
  </r>
  <r>
    <s v="400 Conestoga Blvd"/>
    <x v="1"/>
    <x v="4"/>
    <x v="4"/>
    <d v="2009-05-01T00:00:00"/>
    <n v="332665.46000000002"/>
    <n v="42695"/>
    <n v="346604.14"/>
  </r>
  <r>
    <s v="400 Conestoga Blvd"/>
    <x v="1"/>
    <x v="4"/>
    <x v="5"/>
    <d v="2009-06-01T00:00:00"/>
    <n v="358887.47"/>
    <n v="42695"/>
    <n v="373924.85"/>
  </r>
  <r>
    <s v="400 Conestoga Blvd"/>
    <x v="1"/>
    <x v="4"/>
    <x v="6"/>
    <d v="2009-07-01T00:00:00"/>
    <n v="368809.41"/>
    <n v="42695"/>
    <n v="384262.52"/>
  </r>
  <r>
    <s v="400 Conestoga Blvd"/>
    <x v="1"/>
    <x v="4"/>
    <x v="7"/>
    <d v="2009-08-01T00:00:00"/>
    <n v="385077.96"/>
    <n v="42695"/>
    <n v="401212.73"/>
  </r>
  <r>
    <s v="400 Conestoga Blvd"/>
    <x v="1"/>
    <x v="4"/>
    <x v="8"/>
    <d v="2009-09-01T00:00:00"/>
    <n v="408364.01"/>
    <n v="42695"/>
    <n v="425474.46"/>
  </r>
  <r>
    <s v="400 Conestoga Blvd"/>
    <x v="1"/>
    <x v="4"/>
    <x v="9"/>
    <d v="2009-10-01T00:00:00"/>
    <n v="371200.15"/>
    <n v="42695"/>
    <n v="386753.44"/>
  </r>
  <r>
    <s v="400 Conestoga Blvd"/>
    <x v="1"/>
    <x v="4"/>
    <x v="10"/>
    <d v="2009-11-01T00:00:00"/>
    <n v="349383.93"/>
    <n v="42695"/>
    <n v="364023.12"/>
  </r>
  <r>
    <s v="400 Conestoga Blvd"/>
    <x v="1"/>
    <x v="4"/>
    <x v="11"/>
    <d v="2009-12-01T00:00:00"/>
    <n v="333940.17"/>
    <n v="42695"/>
    <n v="347932.26"/>
  </r>
  <r>
    <s v="400 Conestoga Blvd"/>
    <x v="1"/>
    <x v="4"/>
    <x v="0"/>
    <d v="2010-01-01T00:00:00"/>
    <n v="326636.39"/>
    <n v="42695"/>
    <n v="340322.45"/>
  </r>
  <r>
    <s v="400 Conestoga Blvd"/>
    <x v="1"/>
    <x v="5"/>
    <x v="1"/>
    <d v="2010-02-01T00:00:00"/>
    <n v="321345.02"/>
    <n v="42695"/>
    <n v="334809.38"/>
  </r>
  <r>
    <s v="400 Conestoga Blvd"/>
    <x v="1"/>
    <x v="5"/>
    <x v="2"/>
    <d v="2010-03-01T00:00:00"/>
    <n v="298687.25"/>
    <n v="42695"/>
    <n v="311202.25"/>
  </r>
  <r>
    <s v="400 Conestoga Blvd"/>
    <x v="1"/>
    <x v="5"/>
    <x v="3"/>
    <d v="2010-04-01T00:00:00"/>
    <n v="351035.78"/>
    <n v="42695"/>
    <n v="365744.18"/>
  </r>
  <r>
    <s v="400 Conestoga Blvd"/>
    <x v="1"/>
    <x v="5"/>
    <x v="4"/>
    <d v="2010-05-01T00:00:00"/>
    <n v="350334.51"/>
    <n v="42695"/>
    <n v="365013.53"/>
  </r>
  <r>
    <s v="400 Conestoga Blvd"/>
    <x v="1"/>
    <x v="5"/>
    <x v="5"/>
    <d v="2010-06-01T00:00:00"/>
    <n v="387061.85"/>
    <n v="42695"/>
    <n v="398131.82"/>
  </r>
  <r>
    <s v="400 Conestoga Blvd"/>
    <x v="1"/>
    <x v="5"/>
    <x v="6"/>
    <d v="2010-07-01T00:00:00"/>
    <n v="397364.76"/>
    <n v="42695"/>
    <n v="408729.39"/>
  </r>
  <r>
    <s v="400 Conestoga Blvd"/>
    <x v="1"/>
    <x v="5"/>
    <x v="7"/>
    <d v="2010-08-01T00:00:00"/>
    <n v="436824.84"/>
    <n v="42695"/>
    <n v="449318.03"/>
  </r>
  <r>
    <s v="400 Conestoga Blvd"/>
    <x v="1"/>
    <x v="5"/>
    <x v="8"/>
    <d v="2010-09-01T00:00:00"/>
    <n v="425536.6"/>
    <n v="42695"/>
    <n v="437706.95"/>
  </r>
  <r>
    <s v="400 Conestoga Blvd"/>
    <x v="1"/>
    <x v="5"/>
    <x v="9"/>
    <d v="2010-10-01T00:00:00"/>
    <n v="388777.69"/>
    <n v="42695"/>
    <n v="399896.73"/>
  </r>
  <r>
    <s v="400 Conestoga Blvd"/>
    <x v="1"/>
    <x v="5"/>
    <x v="10"/>
    <d v="2010-11-01T00:00:00"/>
    <n v="381550.88"/>
    <n v="42695"/>
    <n v="392463.24"/>
  </r>
  <r>
    <s v="400 Conestoga Blvd"/>
    <x v="1"/>
    <x v="5"/>
    <x v="11"/>
    <d v="2010-12-01T00:00:00"/>
    <n v="358075.67"/>
    <n v="42695"/>
    <n v="368316.63"/>
  </r>
  <r>
    <s v="400 Conestoga Blvd"/>
    <x v="1"/>
    <x v="5"/>
    <x v="0"/>
    <d v="2011-01-01T00:00:00"/>
    <n v="356651.88"/>
    <n v="42695"/>
    <n v="366852.12"/>
  </r>
  <r>
    <s v="400 Conestoga Blvd"/>
    <x v="1"/>
    <x v="6"/>
    <x v="1"/>
    <d v="2011-02-01T00:00:00"/>
    <n v="351326.6"/>
    <n v="42695"/>
    <n v="361374.54"/>
  </r>
  <r>
    <s v="400 Conestoga Blvd"/>
    <x v="1"/>
    <x v="6"/>
    <x v="2"/>
    <d v="2011-03-01T00:00:00"/>
    <n v="318352.71000000002"/>
    <n v="42695"/>
    <n v="327457.59999999998"/>
  </r>
  <r>
    <s v="400 Conestoga Blvd"/>
    <x v="1"/>
    <x v="6"/>
    <x v="3"/>
    <d v="2011-04-01T00:00:00"/>
    <n v="357313.1"/>
    <n v="42695"/>
    <n v="367532.25"/>
  </r>
  <r>
    <s v="400 Conestoga Blvd"/>
    <x v="1"/>
    <x v="6"/>
    <x v="4"/>
    <d v="2011-05-01T00:00:00"/>
    <n v="349805.45"/>
    <n v="42695"/>
    <n v="359809.89"/>
  </r>
  <r>
    <s v="400 Conestoga Blvd"/>
    <x v="1"/>
    <x v="6"/>
    <x v="5"/>
    <d v="2011-06-01T00:00:00"/>
    <n v="375100.02"/>
    <n v="42695"/>
    <n v="385827.88"/>
  </r>
  <r>
    <s v="400 Conestoga Blvd"/>
    <x v="1"/>
    <x v="6"/>
    <x v="6"/>
    <d v="2011-07-01T00:00:00"/>
    <n v="393597.67"/>
    <n v="42695"/>
    <n v="404854.56"/>
  </r>
  <r>
    <s v="400 Conestoga Blvd"/>
    <x v="1"/>
    <x v="6"/>
    <x v="7"/>
    <d v="2011-08-01T00:00:00"/>
    <n v="479504.42"/>
    <n v="42695"/>
    <n v="493218.25"/>
  </r>
  <r>
    <s v="400 Conestoga Blvd"/>
    <x v="1"/>
    <x v="6"/>
    <x v="8"/>
    <d v="2011-09-01T00:00:00"/>
    <n v="452020.69"/>
    <n v="42695"/>
    <n v="464948.47999999998"/>
  </r>
  <r>
    <s v="400 Conestoga Blvd"/>
    <x v="1"/>
    <x v="6"/>
    <x v="9"/>
    <d v="2011-10-01T00:00:00"/>
    <n v="427006.35"/>
    <n v="42695"/>
    <n v="439218.73"/>
  </r>
  <r>
    <s v="400 Conestoga Blvd"/>
    <x v="1"/>
    <x v="6"/>
    <x v="10"/>
    <d v="2011-11-01T00:00:00"/>
    <n v="416435.98"/>
    <n v="42695"/>
    <n v="428346.05"/>
  </r>
  <r>
    <s v="400 Conestoga Blvd"/>
    <x v="1"/>
    <x v="6"/>
    <x v="11"/>
    <d v="2011-12-01T00:00:00"/>
    <n v="396665.14"/>
    <n v="42695"/>
    <n v="408009.76"/>
  </r>
  <r>
    <s v="400 Conestoga Blvd"/>
    <x v="1"/>
    <x v="6"/>
    <x v="0"/>
    <d v="2012-01-01T00:00:00"/>
    <n v="395475.21"/>
    <n v="42695"/>
    <n v="406785.8"/>
  </r>
  <r>
    <s v="400 Conestoga Blvd"/>
    <x v="1"/>
    <x v="7"/>
    <x v="1"/>
    <d v="2012-02-01T00:00:00"/>
    <n v="387620.54"/>
    <n v="42695"/>
    <n v="398706.49"/>
  </r>
  <r>
    <s v="400 Conestoga Blvd"/>
    <x v="1"/>
    <x v="7"/>
    <x v="2"/>
    <d v="2012-03-01T00:00:00"/>
    <n v="366546.58"/>
    <n v="42695"/>
    <n v="377029.81"/>
  </r>
  <r>
    <s v="400 Conestoga Blvd"/>
    <x v="1"/>
    <x v="7"/>
    <x v="3"/>
    <d v="2012-04-01T00:00:00"/>
    <n v="407286.69"/>
    <n v="42695"/>
    <n v="418935.09"/>
  </r>
  <r>
    <s v="400 Conestoga Blvd"/>
    <x v="1"/>
    <x v="7"/>
    <x v="4"/>
    <d v="2012-04-27T00:00:00"/>
    <n v="332207.05"/>
    <n v="42695"/>
    <n v="341708.17"/>
  </r>
  <r>
    <s v="400 Conestoga Blvd"/>
    <x v="1"/>
    <x v="7"/>
    <x v="5"/>
    <d v="2012-06-01T00:00:00"/>
    <n v="471112.57"/>
    <n v="42695"/>
    <n v="484586.39"/>
  </r>
  <r>
    <s v="400 Conestoga Blvd"/>
    <x v="1"/>
    <x v="7"/>
    <x v="6"/>
    <d v="2012-07-01T00:00:00"/>
    <n v="420828.61170523043"/>
    <n v="42695"/>
    <n v="432864.31"/>
  </r>
  <r>
    <s v="400 Conestoga Blvd"/>
    <x v="1"/>
    <x v="7"/>
    <x v="7"/>
    <d v="2012-08-01T00:00:00"/>
    <n v="405326.32704647095"/>
    <n v="42695"/>
    <n v="416918.66"/>
  </r>
  <r>
    <s v="400 Conestoga Blvd"/>
    <x v="1"/>
    <x v="7"/>
    <x v="8"/>
    <d v="2012-09-01T00:00:00"/>
    <n v="363696.95702897146"/>
    <n v="42695"/>
    <n v="374098.69"/>
  </r>
  <r>
    <s v="400 Conestoga Blvd"/>
    <x v="1"/>
    <x v="7"/>
    <x v="9"/>
    <d v="2012-10-01T00:00:00"/>
    <n v="344213.82461598294"/>
    <n v="42695"/>
    <n v="354058.34"/>
  </r>
  <r>
    <s v="400 Conestoga Blvd"/>
    <x v="1"/>
    <x v="7"/>
    <x v="10"/>
    <d v="2012-11-01T00:00:00"/>
    <n v="337825.78261714953"/>
    <n v="42695"/>
    <n v="347487.6"/>
  </r>
  <r>
    <s v="400 Conestoga Blvd"/>
    <x v="1"/>
    <x v="7"/>
    <x v="11"/>
    <d v="2012-12-01T00:00:00"/>
    <n v="310770.94108496985"/>
    <n v="42695"/>
    <n v="319658.99"/>
  </r>
  <r>
    <s v="400 Conestoga Blvd"/>
    <x v="1"/>
    <x v="7"/>
    <x v="0"/>
    <d v="2013-01-01T00:00:00"/>
    <n v="295334.41571067472"/>
    <n v="42695"/>
    <n v="303780.98"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3:E96" firstHeaderRow="1" firstDataRow="2" firstDataCol="1"/>
  <pivotFields count="8">
    <pivotField showAll="0"/>
    <pivotField axis="axisCol" showAll="0">
      <items count="4">
        <item x="1"/>
        <item x="0"/>
        <item x="2"/>
        <item t="default"/>
      </items>
    </pivotField>
    <pivotField axis="axisRow" multipleItemSelectionAllowed="1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0"/>
        <item x="12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92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usage_" fld="5" baseField="1" baseItem="0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5" sqref="F25"/>
    </sheetView>
  </sheetViews>
  <sheetFormatPr defaultRowHeight="12.75" x14ac:dyDescent="0.2"/>
  <cols>
    <col min="1" max="1" width="54.28515625" bestFit="1" customWidth="1"/>
    <col min="2" max="2" width="11" customWidth="1"/>
    <col min="3" max="3" width="12.28515625" customWidth="1"/>
    <col min="4" max="4" width="11.5703125" customWidth="1"/>
    <col min="5" max="5" width="5.85546875" customWidth="1"/>
    <col min="6" max="6" width="10.85546875" customWidth="1"/>
    <col min="7" max="8" width="12.85546875" bestFit="1" customWidth="1"/>
    <col min="9" max="9" width="13.140625" customWidth="1"/>
  </cols>
  <sheetData>
    <row r="1" spans="1:9" x14ac:dyDescent="0.2">
      <c r="A1" t="s">
        <v>234</v>
      </c>
      <c r="B1" t="s">
        <v>235</v>
      </c>
    </row>
    <row r="2" spans="1:9" x14ac:dyDescent="0.2">
      <c r="B2" t="s">
        <v>239</v>
      </c>
    </row>
    <row r="3" spans="1:9" ht="15" x14ac:dyDescent="0.2">
      <c r="A3" s="260"/>
      <c r="B3" s="260"/>
      <c r="C3" s="260"/>
      <c r="D3" s="260"/>
      <c r="E3" s="260"/>
      <c r="F3" s="292" t="s">
        <v>225</v>
      </c>
      <c r="G3" s="293"/>
      <c r="H3" s="293"/>
      <c r="I3" s="294"/>
    </row>
    <row r="4" spans="1:9" ht="15.75" thickBot="1" x14ac:dyDescent="0.25">
      <c r="A4" s="260"/>
      <c r="B4" s="260"/>
      <c r="C4" s="260"/>
      <c r="D4" s="260"/>
      <c r="E4" s="260"/>
      <c r="F4" s="295" t="s">
        <v>201</v>
      </c>
      <c r="G4" s="268" t="s">
        <v>226</v>
      </c>
      <c r="H4" s="269" t="s">
        <v>227</v>
      </c>
      <c r="I4" s="268" t="s">
        <v>228</v>
      </c>
    </row>
    <row r="5" spans="1:9" ht="15" x14ac:dyDescent="0.25">
      <c r="A5" s="261"/>
      <c r="B5" s="262"/>
      <c r="C5" s="262"/>
      <c r="D5" s="262"/>
      <c r="E5" s="260"/>
      <c r="F5" s="296"/>
      <c r="G5" s="270" t="s">
        <v>229</v>
      </c>
      <c r="H5" s="271" t="s">
        <v>229</v>
      </c>
      <c r="I5" s="270" t="s">
        <v>229</v>
      </c>
    </row>
    <row r="6" spans="1:9" ht="60.75" thickBot="1" x14ac:dyDescent="0.3">
      <c r="A6" s="266" t="s">
        <v>230</v>
      </c>
      <c r="B6" s="267" t="s">
        <v>231</v>
      </c>
      <c r="C6" s="267" t="s">
        <v>225</v>
      </c>
      <c r="D6" s="267" t="s">
        <v>232</v>
      </c>
      <c r="E6" s="263"/>
      <c r="F6" s="297"/>
      <c r="G6" s="272">
        <v>6.7999999999999996E-3</v>
      </c>
      <c r="H6" s="273">
        <v>2.8E-3</v>
      </c>
      <c r="I6" s="272">
        <v>1.6E-2</v>
      </c>
    </row>
    <row r="7" spans="1:9" ht="15" x14ac:dyDescent="0.25">
      <c r="A7" s="264" t="s">
        <v>1</v>
      </c>
      <c r="B7" s="281">
        <v>13473027</v>
      </c>
      <c r="C7" s="281">
        <f>I7</f>
        <v>3144679.2916486189</v>
      </c>
      <c r="D7" s="281">
        <f t="shared" ref="D7:D15" si="0">B7+C7</f>
        <v>16617706.291648619</v>
      </c>
      <c r="E7" s="282"/>
      <c r="F7" s="283">
        <v>3065668</v>
      </c>
      <c r="G7" s="284">
        <f t="shared" ref="G7:G15" si="1">F7*(1+$G$6)</f>
        <v>3086514.5423999997</v>
      </c>
      <c r="H7" s="284">
        <f t="shared" ref="H7:H15" si="2">G7*(1+$H$6)</f>
        <v>3095156.7831187192</v>
      </c>
      <c r="I7" s="284">
        <f t="shared" ref="I7:I15" si="3">H7*(1+$I$6)</f>
        <v>3144679.2916486189</v>
      </c>
    </row>
    <row r="8" spans="1:9" ht="15" x14ac:dyDescent="0.25">
      <c r="A8" s="265" t="s">
        <v>138</v>
      </c>
      <c r="B8" s="285">
        <v>2894872</v>
      </c>
      <c r="C8" s="281">
        <f t="shared" ref="C8:C15" si="4">I8</f>
        <v>982828.96031264635</v>
      </c>
      <c r="D8" s="285">
        <f t="shared" si="0"/>
        <v>3877700.9603126463</v>
      </c>
      <c r="E8" s="282"/>
      <c r="F8" s="286">
        <v>958135</v>
      </c>
      <c r="G8" s="287">
        <f t="shared" si="1"/>
        <v>964650.31799999997</v>
      </c>
      <c r="H8" s="287">
        <f t="shared" si="2"/>
        <v>967351.3388903999</v>
      </c>
      <c r="I8" s="287">
        <f t="shared" si="3"/>
        <v>982828.96031264635</v>
      </c>
    </row>
    <row r="9" spans="1:9" ht="15" x14ac:dyDescent="0.25">
      <c r="A9" s="265" t="s">
        <v>139</v>
      </c>
      <c r="B9" s="285">
        <v>6454976</v>
      </c>
      <c r="C9" s="281">
        <f t="shared" si="4"/>
        <v>1440255.99260774</v>
      </c>
      <c r="D9" s="285">
        <f t="shared" si="0"/>
        <v>7895231.9926077398</v>
      </c>
      <c r="E9" s="282"/>
      <c r="F9" s="286">
        <v>1404069</v>
      </c>
      <c r="G9" s="287">
        <f t="shared" si="1"/>
        <v>1413616.6691999999</v>
      </c>
      <c r="H9" s="287">
        <f t="shared" si="2"/>
        <v>1417574.7958737598</v>
      </c>
      <c r="I9" s="287">
        <f t="shared" si="3"/>
        <v>1440255.99260774</v>
      </c>
    </row>
    <row r="10" spans="1:9" ht="15" x14ac:dyDescent="0.25">
      <c r="A10" s="265" t="s">
        <v>140</v>
      </c>
      <c r="B10" s="285">
        <v>1854779</v>
      </c>
      <c r="C10" s="281">
        <f t="shared" si="4"/>
        <v>0</v>
      </c>
      <c r="D10" s="285">
        <f t="shared" si="0"/>
        <v>1854779</v>
      </c>
      <c r="E10" s="282"/>
      <c r="F10" s="286">
        <v>0</v>
      </c>
      <c r="G10" s="287">
        <f t="shared" si="1"/>
        <v>0</v>
      </c>
      <c r="H10" s="287">
        <f t="shared" si="2"/>
        <v>0</v>
      </c>
      <c r="I10" s="287">
        <f t="shared" si="3"/>
        <v>0</v>
      </c>
    </row>
    <row r="11" spans="1:9" ht="15" x14ac:dyDescent="0.25">
      <c r="A11" s="265" t="s">
        <v>113</v>
      </c>
      <c r="B11" s="285">
        <v>1504085</v>
      </c>
      <c r="C11" s="281">
        <f t="shared" si="4"/>
        <v>0</v>
      </c>
      <c r="D11" s="285">
        <f t="shared" si="0"/>
        <v>1504085</v>
      </c>
      <c r="E11" s="282"/>
      <c r="F11" s="286">
        <v>0</v>
      </c>
      <c r="G11" s="287">
        <f t="shared" si="1"/>
        <v>0</v>
      </c>
      <c r="H11" s="287">
        <f t="shared" si="2"/>
        <v>0</v>
      </c>
      <c r="I11" s="287">
        <f t="shared" si="3"/>
        <v>0</v>
      </c>
    </row>
    <row r="12" spans="1:9" ht="15" x14ac:dyDescent="0.25">
      <c r="A12" s="265" t="s">
        <v>66</v>
      </c>
      <c r="B12" s="285">
        <v>777185</v>
      </c>
      <c r="C12" s="281">
        <f t="shared" si="4"/>
        <v>264339.63628783869</v>
      </c>
      <c r="D12" s="285">
        <f t="shared" si="0"/>
        <v>1041524.6362878387</v>
      </c>
      <c r="E12" s="282"/>
      <c r="F12" s="286">
        <v>257698</v>
      </c>
      <c r="G12" s="287">
        <f t="shared" si="1"/>
        <v>259450.34639999998</v>
      </c>
      <c r="H12" s="287">
        <f t="shared" si="2"/>
        <v>260176.80736991996</v>
      </c>
      <c r="I12" s="287">
        <f t="shared" si="3"/>
        <v>264339.63628783869</v>
      </c>
    </row>
    <row r="13" spans="1:9" ht="15" x14ac:dyDescent="0.25">
      <c r="A13" s="265" t="s">
        <v>195</v>
      </c>
      <c r="B13" s="285">
        <v>0</v>
      </c>
      <c r="C13" s="281">
        <f t="shared" si="4"/>
        <v>22961.927365766394</v>
      </c>
      <c r="D13" s="285">
        <f t="shared" si="0"/>
        <v>22961.927365766394</v>
      </c>
      <c r="E13" s="282"/>
      <c r="F13" s="286">
        <v>22385</v>
      </c>
      <c r="G13" s="287">
        <f t="shared" si="1"/>
        <v>22537.217999999997</v>
      </c>
      <c r="H13" s="287">
        <f t="shared" si="2"/>
        <v>22600.322210399994</v>
      </c>
      <c r="I13" s="287">
        <f t="shared" si="3"/>
        <v>22961.927365766394</v>
      </c>
    </row>
    <row r="14" spans="1:9" ht="15" x14ac:dyDescent="0.25">
      <c r="A14" s="265" t="s">
        <v>2</v>
      </c>
      <c r="B14" s="285">
        <v>53096</v>
      </c>
      <c r="C14" s="281">
        <f t="shared" si="4"/>
        <v>11019.878744267518</v>
      </c>
      <c r="D14" s="285">
        <f t="shared" si="0"/>
        <v>64115.878744267517</v>
      </c>
      <c r="E14" s="282"/>
      <c r="F14" s="286">
        <v>10743</v>
      </c>
      <c r="G14" s="287">
        <f t="shared" si="1"/>
        <v>10816.052399999999</v>
      </c>
      <c r="H14" s="287">
        <f t="shared" si="2"/>
        <v>10846.337346719998</v>
      </c>
      <c r="I14" s="287">
        <f t="shared" si="3"/>
        <v>11019.878744267518</v>
      </c>
    </row>
    <row r="15" spans="1:9" ht="15" x14ac:dyDescent="0.25">
      <c r="A15" s="265" t="s">
        <v>198</v>
      </c>
      <c r="B15" s="285">
        <f>132877+61129</f>
        <v>194006</v>
      </c>
      <c r="C15" s="281">
        <f t="shared" si="4"/>
        <v>0</v>
      </c>
      <c r="D15" s="285">
        <f t="shared" si="0"/>
        <v>194006</v>
      </c>
      <c r="E15" s="282"/>
      <c r="F15" s="286">
        <v>0</v>
      </c>
      <c r="G15" s="287">
        <f t="shared" si="1"/>
        <v>0</v>
      </c>
      <c r="H15" s="287">
        <f t="shared" si="2"/>
        <v>0</v>
      </c>
      <c r="I15" s="287">
        <f t="shared" si="3"/>
        <v>0</v>
      </c>
    </row>
    <row r="16" spans="1:9" ht="15" x14ac:dyDescent="0.25">
      <c r="A16" s="265" t="s">
        <v>12</v>
      </c>
      <c r="B16" s="274">
        <f>SUM(B7:B15)</f>
        <v>27206026</v>
      </c>
      <c r="C16" s="274">
        <f>SUM(C7:C15)</f>
        <v>5866085.6869668784</v>
      </c>
      <c r="D16" s="274">
        <f>SUM(D7:D15)</f>
        <v>33072111.686966874</v>
      </c>
      <c r="F16" s="274">
        <f>SUM(F7:F15)</f>
        <v>5718698</v>
      </c>
      <c r="G16" s="274">
        <f>SUM(G7:G15)</f>
        <v>5757585.1464000009</v>
      </c>
      <c r="H16" s="274">
        <f>SUM(H7:H15)</f>
        <v>5773706.3848099178</v>
      </c>
      <c r="I16" s="274">
        <f>SUM(I7:I15)</f>
        <v>5866085.6869668784</v>
      </c>
    </row>
    <row r="17" spans="1:9" s="276" customFormat="1" x14ac:dyDescent="0.2"/>
    <row r="18" spans="1:9" s="276" customFormat="1" ht="15" x14ac:dyDescent="0.25">
      <c r="A18" s="277" t="s">
        <v>233</v>
      </c>
      <c r="G18" s="278"/>
      <c r="H18" s="278"/>
      <c r="I18" s="278"/>
    </row>
    <row r="19" spans="1:9" s="276" customFormat="1" x14ac:dyDescent="0.2"/>
    <row r="20" spans="1:9" x14ac:dyDescent="0.2">
      <c r="G20" s="275"/>
      <c r="H20" s="275"/>
      <c r="I20" s="275"/>
    </row>
    <row r="22" spans="1:9" x14ac:dyDescent="0.2">
      <c r="A22" t="s">
        <v>240</v>
      </c>
      <c r="B22" s="279">
        <v>27206027</v>
      </c>
    </row>
    <row r="23" spans="1:9" x14ac:dyDescent="0.2">
      <c r="A23" t="s">
        <v>236</v>
      </c>
      <c r="B23" s="279">
        <v>1353379</v>
      </c>
      <c r="D23" s="279">
        <f>D16+B23</f>
        <v>34425490.686966874</v>
      </c>
      <c r="F23" s="279">
        <f>D23-34891697</f>
        <v>-466206.31303312629</v>
      </c>
    </row>
    <row r="24" spans="1:9" ht="13.5" thickBot="1" x14ac:dyDescent="0.25">
      <c r="A24" t="s">
        <v>237</v>
      </c>
      <c r="B24" s="280">
        <f>B22+B23</f>
        <v>28559406</v>
      </c>
    </row>
    <row r="25" spans="1:9" ht="13.5" thickTop="1" x14ac:dyDescent="0.2"/>
    <row r="26" spans="1:9" x14ac:dyDescent="0.2">
      <c r="A26" t="s">
        <v>238</v>
      </c>
      <c r="B26" s="279"/>
    </row>
    <row r="27" spans="1:9" x14ac:dyDescent="0.2">
      <c r="A27" t="s">
        <v>1</v>
      </c>
      <c r="B27" s="279">
        <v>14414600</v>
      </c>
    </row>
    <row r="28" spans="1:9" x14ac:dyDescent="0.2">
      <c r="A28" t="s">
        <v>138</v>
      </c>
      <c r="B28" s="279">
        <v>3028292</v>
      </c>
    </row>
    <row r="29" spans="1:9" x14ac:dyDescent="0.2">
      <c r="A29" t="s">
        <v>139</v>
      </c>
      <c r="B29" s="279">
        <v>6599948</v>
      </c>
    </row>
    <row r="30" spans="1:9" x14ac:dyDescent="0.2">
      <c r="A30" t="s">
        <v>140</v>
      </c>
      <c r="B30" s="279">
        <v>1897101</v>
      </c>
    </row>
    <row r="31" spans="1:9" x14ac:dyDescent="0.2">
      <c r="A31" t="s">
        <v>113</v>
      </c>
      <c r="B31" s="279">
        <v>1540113</v>
      </c>
    </row>
    <row r="32" spans="1:9" x14ac:dyDescent="0.2">
      <c r="A32" t="s">
        <v>66</v>
      </c>
      <c r="B32" s="279">
        <v>828247</v>
      </c>
    </row>
    <row r="33" spans="1:2" x14ac:dyDescent="0.2">
      <c r="A33" t="s">
        <v>195</v>
      </c>
      <c r="B33" s="279"/>
    </row>
    <row r="34" spans="1:2" x14ac:dyDescent="0.2">
      <c r="A34" t="s">
        <v>2</v>
      </c>
      <c r="B34" s="279">
        <v>55750</v>
      </c>
    </row>
    <row r="35" spans="1:2" x14ac:dyDescent="0.2">
      <c r="A35" t="s">
        <v>198</v>
      </c>
      <c r="B35" s="279">
        <v>195356</v>
      </c>
    </row>
    <row r="36" spans="1:2" ht="13.5" thickBot="1" x14ac:dyDescent="0.25">
      <c r="A36" t="s">
        <v>12</v>
      </c>
      <c r="B36" s="280">
        <f>SUM(B27:B35)</f>
        <v>28559407</v>
      </c>
    </row>
    <row r="37" spans="1:2" ht="13.5" thickTop="1" x14ac:dyDescent="0.2"/>
  </sheetData>
  <mergeCells count="2">
    <mergeCell ref="F3:I3"/>
    <mergeCell ref="F4:F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V88"/>
  <sheetViews>
    <sheetView topLeftCell="A32" workbookViewId="0">
      <selection activeCell="S71" sqref="S70:S71"/>
    </sheetView>
  </sheetViews>
  <sheetFormatPr defaultRowHeight="12.75" x14ac:dyDescent="0.2"/>
  <cols>
    <col min="1" max="1" width="11" customWidth="1"/>
    <col min="2" max="2" width="15" style="6" customWidth="1"/>
    <col min="3" max="3" width="14.140625" style="6" bestFit="1" customWidth="1"/>
    <col min="4" max="4" width="17.85546875" style="6" bestFit="1" customWidth="1"/>
    <col min="5" max="5" width="17.5703125" style="6" customWidth="1"/>
    <col min="6" max="7" width="12.5703125" style="6" customWidth="1"/>
    <col min="8" max="9" width="11.28515625" style="6" customWidth="1"/>
    <col min="10" max="11" width="11.5703125" style="6" customWidth="1"/>
    <col min="12" max="12" width="12.7109375" style="6" bestFit="1" customWidth="1"/>
    <col min="13" max="13" width="12.7109375" style="6" customWidth="1"/>
    <col min="14" max="14" width="12.7109375" style="6" bestFit="1" customWidth="1"/>
    <col min="15" max="15" width="11.7109375" style="6" bestFit="1" customWidth="1"/>
    <col min="16" max="18" width="11.7109375" style="6" customWidth="1"/>
    <col min="19" max="19" width="10.7109375" style="6" bestFit="1" customWidth="1"/>
    <col min="20" max="21" width="9.140625" style="6" customWidth="1"/>
  </cols>
  <sheetData>
    <row r="2" spans="1:21" ht="52.5" customHeight="1" x14ac:dyDescent="0.2"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&gt; 50 to 999 kW</v>
      </c>
      <c r="E2" s="9" t="str">
        <f>'Rate Class Energy Model'!K2</f>
        <v>General Service &gt; 1000 to 4999 kW</v>
      </c>
      <c r="F2" s="9" t="str">
        <f>'Rate Class Energy Model'!L2</f>
        <v>Large User</v>
      </c>
      <c r="G2" s="9" t="str">
        <f>'Rate Class Energy Model'!M2</f>
        <v>Street Lights</v>
      </c>
      <c r="H2" s="9" t="str">
        <f>'Rate Class Energy Model'!N2</f>
        <v>Sentinel Lights</v>
      </c>
      <c r="I2" s="9" t="str">
        <f>'Rate Class Energy Model'!O2</f>
        <v xml:space="preserve">Unmetered Loads </v>
      </c>
      <c r="J2" s="9" t="str">
        <f>'Rate Class Energy Model'!P2</f>
        <v>Embedded Distributors -BPI - BCP</v>
      </c>
      <c r="K2" s="9" t="str">
        <f>'Rate Class Energy Model'!Q2</f>
        <v>Embedded Distributors - Hydro One #1, BCP</v>
      </c>
      <c r="L2" s="9" t="str">
        <f>'Rate Class Energy Model'!R2</f>
        <v>Embedded Distributors - Hydro One #2, BCP</v>
      </c>
      <c r="M2" s="9" t="str">
        <f>'Rate Class Energy Model'!S2</f>
        <v>Embedded Distributors - Hydro One, CND</v>
      </c>
      <c r="N2" s="6" t="s">
        <v>12</v>
      </c>
      <c r="P2" s="9" t="str">
        <f>'Rate Class Energy Model'!U2</f>
        <v>Embedded Distributors -Waterloo - CND</v>
      </c>
      <c r="Q2" s="9" t="str">
        <f>'Rate Class Energy Model'!V2</f>
        <v>Direct Market Participant</v>
      </c>
    </row>
    <row r="3" spans="1:21" hidden="1" x14ac:dyDescent="0.2">
      <c r="A3" s="4"/>
      <c r="B3" s="39"/>
      <c r="C3" s="39"/>
      <c r="D3" s="39"/>
      <c r="E3" s="39"/>
      <c r="F3" s="39"/>
      <c r="G3" s="39"/>
      <c r="H3" s="39"/>
      <c r="I3" s="39"/>
      <c r="J3" s="39"/>
      <c r="K3" s="39"/>
      <c r="L3" s="69"/>
      <c r="M3" s="69"/>
      <c r="N3" s="38"/>
    </row>
    <row r="4" spans="1:21" hidden="1" x14ac:dyDescent="0.2">
      <c r="A4" s="4">
        <v>2000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69"/>
      <c r="M4" s="69"/>
      <c r="N4" s="38">
        <f>SUM(B4:J4)</f>
        <v>0</v>
      </c>
    </row>
    <row r="5" spans="1:21" hidden="1" x14ac:dyDescent="0.2">
      <c r="A5" s="4">
        <v>2001</v>
      </c>
      <c r="B5" s="39" t="e">
        <f>(#REF!+#REF!)/2</f>
        <v>#REF!</v>
      </c>
      <c r="C5" s="39" t="e">
        <f>(#REF!+#REF!)/2</f>
        <v>#REF!</v>
      </c>
      <c r="D5" s="39" t="e">
        <f>(#REF!+#REF!)/2</f>
        <v>#REF!</v>
      </c>
      <c r="E5" s="39" t="e">
        <f>(#REF!+#REF!)/2</f>
        <v>#REF!</v>
      </c>
      <c r="F5" s="39" t="e">
        <f>(#REF!+#REF!)/2</f>
        <v>#REF!</v>
      </c>
      <c r="G5" s="39" t="e">
        <f>(#REF!+#REF!)/2</f>
        <v>#REF!</v>
      </c>
      <c r="H5" s="39" t="e">
        <f>(#REF!+#REF!)/2</f>
        <v>#REF!</v>
      </c>
      <c r="I5" s="39"/>
      <c r="J5" s="39" t="e">
        <f>(#REF!+#REF!)/2</f>
        <v>#REF!</v>
      </c>
      <c r="K5" s="39"/>
      <c r="L5" s="39" t="e">
        <f>(#REF!+#REF!)/2</f>
        <v>#REF!</v>
      </c>
      <c r="M5" s="39" t="e">
        <f>(#REF!+#REF!)/2</f>
        <v>#REF!</v>
      </c>
      <c r="N5" s="38" t="e">
        <f t="shared" ref="N5:N22" si="0">SUM(B5:M5)</f>
        <v>#REF!</v>
      </c>
      <c r="S5" s="6" t="e">
        <f t="shared" ref="S5:S10" si="1">B5+C5+D5+E5+F5+L5</f>
        <v>#REF!</v>
      </c>
    </row>
    <row r="6" spans="1:21" hidden="1" x14ac:dyDescent="0.2">
      <c r="A6" s="4">
        <v>2002</v>
      </c>
      <c r="B6" s="39" t="e">
        <f>(#REF!+#REF!)/2</f>
        <v>#REF!</v>
      </c>
      <c r="C6" s="39" t="e">
        <f>(#REF!+#REF!)/2</f>
        <v>#REF!</v>
      </c>
      <c r="D6" s="39" t="e">
        <f>(#REF!+#REF!)/2</f>
        <v>#REF!</v>
      </c>
      <c r="E6" s="39" t="e">
        <f>(#REF!+#REF!)/2</f>
        <v>#REF!</v>
      </c>
      <c r="F6" s="39" t="e">
        <f>(#REF!+#REF!)/2</f>
        <v>#REF!</v>
      </c>
      <c r="G6" s="39" t="e">
        <f>(#REF!+#REF!)/2</f>
        <v>#REF!</v>
      </c>
      <c r="H6" s="39">
        <v>0</v>
      </c>
      <c r="I6" s="39"/>
      <c r="J6" s="39" t="e">
        <f>(#REF!+#REF!)/2</f>
        <v>#REF!</v>
      </c>
      <c r="K6" s="39"/>
      <c r="L6" s="39" t="e">
        <f>(#REF!+#REF!)/2</f>
        <v>#REF!</v>
      </c>
      <c r="M6" s="39" t="e">
        <f>(#REF!+#REF!)/2</f>
        <v>#REF!</v>
      </c>
      <c r="N6" s="38" t="e">
        <f t="shared" si="0"/>
        <v>#REF!</v>
      </c>
      <c r="S6" s="6" t="e">
        <f t="shared" si="1"/>
        <v>#REF!</v>
      </c>
    </row>
    <row r="7" spans="1:21" hidden="1" x14ac:dyDescent="0.2">
      <c r="A7" s="4">
        <v>2003</v>
      </c>
      <c r="B7" s="39" t="e">
        <f>(#REF!+#REF!)/2</f>
        <v>#REF!</v>
      </c>
      <c r="C7" s="39" t="e">
        <f>(#REF!+#REF!)/2</f>
        <v>#REF!</v>
      </c>
      <c r="D7" s="39" t="e">
        <f>(#REF!+#REF!)/2</f>
        <v>#REF!</v>
      </c>
      <c r="E7" s="39" t="e">
        <f>(#REF!+#REF!)/2</f>
        <v>#REF!</v>
      </c>
      <c r="F7" s="39" t="e">
        <f>(#REF!+#REF!)/2</f>
        <v>#REF!</v>
      </c>
      <c r="G7" s="39" t="e">
        <f>(#REF!+#REF!)/2</f>
        <v>#REF!</v>
      </c>
      <c r="H7" s="39" t="e">
        <f>(#REF!+#REF!)/2</f>
        <v>#REF!</v>
      </c>
      <c r="I7" s="39"/>
      <c r="J7" s="39" t="e">
        <f>(#REF!+#REF!)/2</f>
        <v>#REF!</v>
      </c>
      <c r="K7" s="39"/>
      <c r="L7" s="39" t="e">
        <f>(#REF!+#REF!)/2</f>
        <v>#REF!</v>
      </c>
      <c r="M7" s="39" t="e">
        <f>(#REF!+#REF!)/2</f>
        <v>#REF!</v>
      </c>
      <c r="N7" s="38" t="e">
        <f t="shared" si="0"/>
        <v>#REF!</v>
      </c>
      <c r="S7" s="6" t="e">
        <f t="shared" si="1"/>
        <v>#REF!</v>
      </c>
    </row>
    <row r="8" spans="1:21" hidden="1" x14ac:dyDescent="0.2">
      <c r="A8" s="4">
        <v>2004</v>
      </c>
      <c r="B8" s="39" t="e">
        <f>(#REF!+#REF!)/2</f>
        <v>#REF!</v>
      </c>
      <c r="C8" s="39" t="e">
        <f>(#REF!+#REF!)/2</f>
        <v>#REF!</v>
      </c>
      <c r="D8" s="39" t="e">
        <f>(#REF!+#REF!)/2</f>
        <v>#REF!</v>
      </c>
      <c r="E8" s="39" t="e">
        <f>(#REF!+#REF!)/2</f>
        <v>#REF!</v>
      </c>
      <c r="F8" s="39" t="e">
        <f>(#REF!+#REF!)/2</f>
        <v>#REF!</v>
      </c>
      <c r="G8" s="39" t="e">
        <f>(#REF!+#REF!)/2</f>
        <v>#REF!</v>
      </c>
      <c r="H8" s="39" t="e">
        <f>(#REF!+#REF!)/2</f>
        <v>#REF!</v>
      </c>
      <c r="I8" s="39"/>
      <c r="J8" s="39" t="e">
        <f>(#REF!+#REF!)/2</f>
        <v>#REF!</v>
      </c>
      <c r="K8" s="39"/>
      <c r="L8" s="39" t="e">
        <f>(#REF!+#REF!)/2</f>
        <v>#REF!</v>
      </c>
      <c r="M8" s="39" t="e">
        <f>(#REF!+#REF!)/2</f>
        <v>#REF!</v>
      </c>
      <c r="N8" s="38" t="e">
        <f t="shared" si="0"/>
        <v>#REF!</v>
      </c>
      <c r="S8" s="6" t="e">
        <f t="shared" si="1"/>
        <v>#REF!</v>
      </c>
    </row>
    <row r="9" spans="1:21" hidden="1" x14ac:dyDescent="0.2">
      <c r="A9" s="4">
        <v>2005</v>
      </c>
      <c r="B9" s="39" t="e">
        <f>(#REF!+#REF!)/2</f>
        <v>#REF!</v>
      </c>
      <c r="C9" s="39" t="e">
        <f>(#REF!+#REF!)/2</f>
        <v>#REF!</v>
      </c>
      <c r="D9" s="39" t="e">
        <f>(#REF!+#REF!)/2</f>
        <v>#REF!</v>
      </c>
      <c r="E9" s="39" t="e">
        <f>(#REF!+#REF!)/2</f>
        <v>#REF!</v>
      </c>
      <c r="F9" s="39" t="e">
        <f>(#REF!+#REF!)/2</f>
        <v>#REF!</v>
      </c>
      <c r="G9" s="39" t="e">
        <f>(#REF!+#REF!)/2</f>
        <v>#REF!</v>
      </c>
      <c r="H9" s="39" t="e">
        <f>(#REF!+#REF!)/2</f>
        <v>#REF!</v>
      </c>
      <c r="I9" s="39"/>
      <c r="J9" s="39" t="e">
        <f>(#REF!+#REF!)/2</f>
        <v>#REF!</v>
      </c>
      <c r="K9" s="39"/>
      <c r="L9" s="39" t="e">
        <f>(#REF!+#REF!)/2</f>
        <v>#REF!</v>
      </c>
      <c r="M9" s="39" t="e">
        <f>(#REF!+#REF!)/2</f>
        <v>#REF!</v>
      </c>
      <c r="N9" s="38" t="e">
        <f t="shared" si="0"/>
        <v>#REF!</v>
      </c>
      <c r="S9" s="6" t="e">
        <f t="shared" si="1"/>
        <v>#REF!</v>
      </c>
    </row>
    <row r="10" spans="1:21" hidden="1" x14ac:dyDescent="0.2">
      <c r="A10" s="4">
        <v>2006</v>
      </c>
      <c r="B10" s="39" t="e">
        <f>(#REF!+#REF!)/2</f>
        <v>#REF!</v>
      </c>
      <c r="C10" s="39" t="e">
        <f>(#REF!+#REF!)/2</f>
        <v>#REF!</v>
      </c>
      <c r="D10" s="39" t="e">
        <f>(#REF!+#REF!)/2</f>
        <v>#REF!</v>
      </c>
      <c r="E10" s="39" t="e">
        <f>(#REF!+#REF!)/2</f>
        <v>#REF!</v>
      </c>
      <c r="F10" s="39" t="e">
        <f>(#REF!+#REF!)/2</f>
        <v>#REF!</v>
      </c>
      <c r="G10" s="39">
        <v>1</v>
      </c>
      <c r="H10" s="39" t="e">
        <f>(#REF!+#REF!)/2</f>
        <v>#REF!</v>
      </c>
      <c r="I10" s="39"/>
      <c r="J10" s="39" t="e">
        <f>#REF!</f>
        <v>#REF!</v>
      </c>
      <c r="K10" s="39"/>
      <c r="L10" s="39" t="e">
        <f>(#REF!+#REF!)/2</f>
        <v>#REF!</v>
      </c>
      <c r="M10" s="39" t="e">
        <f>(#REF!+#REF!)/2</f>
        <v>#REF!</v>
      </c>
      <c r="N10" s="38" t="e">
        <f t="shared" si="0"/>
        <v>#REF!</v>
      </c>
      <c r="S10" s="6" t="e">
        <f t="shared" si="1"/>
        <v>#REF!</v>
      </c>
    </row>
    <row r="11" spans="1:21" x14ac:dyDescent="0.2">
      <c r="A11" s="4">
        <v>2008</v>
      </c>
      <c r="B11" s="238">
        <f t="shared" ref="B11:B20" si="2">(B44+B45)/2</f>
        <v>51351</v>
      </c>
      <c r="C11" s="238">
        <f t="shared" ref="C11:M11" si="3">(C44+C45)/2</f>
        <v>5651.5</v>
      </c>
      <c r="D11" s="238">
        <f t="shared" si="3"/>
        <v>776.5</v>
      </c>
      <c r="E11" s="238">
        <f t="shared" si="3"/>
        <v>33</v>
      </c>
      <c r="F11" s="238">
        <f t="shared" si="3"/>
        <v>2</v>
      </c>
      <c r="G11" s="238">
        <f t="shared" si="3"/>
        <v>15005.5</v>
      </c>
      <c r="H11" s="238">
        <f t="shared" si="3"/>
        <v>138.5</v>
      </c>
      <c r="I11" s="238">
        <f t="shared" si="3"/>
        <v>511.5</v>
      </c>
      <c r="J11" s="238">
        <f t="shared" si="3"/>
        <v>1</v>
      </c>
      <c r="K11" s="238">
        <f t="shared" si="3"/>
        <v>1</v>
      </c>
      <c r="L11" s="238">
        <f t="shared" si="3"/>
        <v>4</v>
      </c>
      <c r="M11" s="238">
        <f t="shared" si="3"/>
        <v>2</v>
      </c>
      <c r="N11" s="25">
        <f t="shared" si="0"/>
        <v>73477.5</v>
      </c>
      <c r="P11" s="39">
        <f>P44</f>
        <v>1</v>
      </c>
      <c r="Q11" s="39">
        <f>Q44</f>
        <v>4</v>
      </c>
      <c r="S11" s="6">
        <f t="shared" ref="S11:S22" si="4">B11+C11+D11+E11+F11+L11+G11+K11</f>
        <v>72824.5</v>
      </c>
      <c r="T11" s="6">
        <f t="shared" ref="T11:T22" si="5">N11-M11-G11</f>
        <v>58470</v>
      </c>
      <c r="U11" s="55">
        <f t="shared" ref="U11:U22" si="6">N11-G11-H11-I11+P11+Q11</f>
        <v>57827</v>
      </c>
    </row>
    <row r="12" spans="1:21" x14ac:dyDescent="0.2">
      <c r="A12" s="4">
        <v>2009</v>
      </c>
      <c r="B12" s="238">
        <f t="shared" si="2"/>
        <v>51969.5</v>
      </c>
      <c r="C12" s="238">
        <f t="shared" ref="C12:M12" si="7">(C45+C46)/2</f>
        <v>5789</v>
      </c>
      <c r="D12" s="238">
        <f t="shared" si="7"/>
        <v>785.625</v>
      </c>
      <c r="E12" s="238">
        <f t="shared" si="7"/>
        <v>31.5</v>
      </c>
      <c r="F12" s="238">
        <f t="shared" si="7"/>
        <v>2</v>
      </c>
      <c r="G12" s="238">
        <f t="shared" si="7"/>
        <v>15099.5</v>
      </c>
      <c r="H12" s="238">
        <f t="shared" si="7"/>
        <v>179.125</v>
      </c>
      <c r="I12" s="238">
        <f t="shared" si="7"/>
        <v>550.375</v>
      </c>
      <c r="J12" s="238">
        <f t="shared" si="7"/>
        <v>1</v>
      </c>
      <c r="K12" s="238">
        <f t="shared" si="7"/>
        <v>1</v>
      </c>
      <c r="L12" s="238">
        <f t="shared" si="7"/>
        <v>4</v>
      </c>
      <c r="M12" s="238">
        <f t="shared" si="7"/>
        <v>2</v>
      </c>
      <c r="N12" s="25">
        <f t="shared" si="0"/>
        <v>74414.625</v>
      </c>
      <c r="P12" s="39">
        <f t="shared" ref="P12:Q12" si="8">P45</f>
        <v>1</v>
      </c>
      <c r="Q12" s="39">
        <f t="shared" si="8"/>
        <v>4</v>
      </c>
      <c r="S12" s="6">
        <f t="shared" si="4"/>
        <v>73682.125</v>
      </c>
      <c r="T12" s="6">
        <f t="shared" si="5"/>
        <v>59313.125</v>
      </c>
      <c r="U12" s="55">
        <f t="shared" si="6"/>
        <v>58590.625</v>
      </c>
    </row>
    <row r="13" spans="1:21" x14ac:dyDescent="0.2">
      <c r="A13" s="4">
        <v>2010</v>
      </c>
      <c r="B13" s="238">
        <f t="shared" si="2"/>
        <v>53053.824999999997</v>
      </c>
      <c r="C13" s="238">
        <f t="shared" ref="C13:M13" si="9">(C46+C47)/2</f>
        <v>5893.3649999999998</v>
      </c>
      <c r="D13" s="238">
        <f t="shared" si="9"/>
        <v>802.59165000000007</v>
      </c>
      <c r="E13" s="238">
        <f t="shared" si="9"/>
        <v>31</v>
      </c>
      <c r="F13" s="238">
        <f t="shared" si="9"/>
        <v>2</v>
      </c>
      <c r="G13" s="238">
        <f t="shared" si="9"/>
        <v>15198.5</v>
      </c>
      <c r="H13" s="238">
        <f t="shared" si="9"/>
        <v>219.19</v>
      </c>
      <c r="I13" s="238">
        <f t="shared" si="9"/>
        <v>588.875</v>
      </c>
      <c r="J13" s="238">
        <f t="shared" si="9"/>
        <v>1</v>
      </c>
      <c r="K13" s="238">
        <f t="shared" si="9"/>
        <v>1</v>
      </c>
      <c r="L13" s="238">
        <f t="shared" si="9"/>
        <v>4</v>
      </c>
      <c r="M13" s="238">
        <f t="shared" si="9"/>
        <v>2</v>
      </c>
      <c r="N13" s="25">
        <f t="shared" si="0"/>
        <v>75797.346649999992</v>
      </c>
      <c r="P13" s="39">
        <f t="shared" ref="P13:Q13" si="10">P46</f>
        <v>1</v>
      </c>
      <c r="Q13" s="39">
        <f t="shared" si="10"/>
        <v>4</v>
      </c>
      <c r="S13" s="6">
        <f t="shared" si="4"/>
        <v>74986.28164999999</v>
      </c>
      <c r="T13" s="6">
        <f t="shared" si="5"/>
        <v>60596.846649999992</v>
      </c>
      <c r="U13" s="55">
        <f t="shared" si="6"/>
        <v>59795.78164999999</v>
      </c>
    </row>
    <row r="14" spans="1:21" x14ac:dyDescent="0.2">
      <c r="A14" s="4">
        <v>2011</v>
      </c>
      <c r="B14" s="238">
        <f t="shared" si="2"/>
        <v>54019.096548117159</v>
      </c>
      <c r="C14" s="238">
        <f t="shared" ref="C14:M14" si="11">(C47+C48)/2</f>
        <v>5932.2793346659046</v>
      </c>
      <c r="D14" s="238">
        <f t="shared" si="11"/>
        <v>822.44998333333342</v>
      </c>
      <c r="E14" s="238">
        <f t="shared" si="11"/>
        <v>33</v>
      </c>
      <c r="F14" s="238">
        <f t="shared" si="11"/>
        <v>2</v>
      </c>
      <c r="G14" s="238">
        <f t="shared" si="11"/>
        <v>15263.5</v>
      </c>
      <c r="H14" s="238">
        <f t="shared" si="11"/>
        <v>189.12055555555554</v>
      </c>
      <c r="I14" s="238">
        <f t="shared" si="11"/>
        <v>564.95000000000005</v>
      </c>
      <c r="J14" s="238">
        <f t="shared" si="11"/>
        <v>1</v>
      </c>
      <c r="K14" s="238">
        <f t="shared" si="11"/>
        <v>1</v>
      </c>
      <c r="L14" s="238">
        <f t="shared" si="11"/>
        <v>4</v>
      </c>
      <c r="M14" s="238">
        <f t="shared" si="11"/>
        <v>2</v>
      </c>
      <c r="N14" s="25">
        <f t="shared" si="0"/>
        <v>76834.396421671932</v>
      </c>
      <c r="P14" s="39">
        <f t="shared" ref="P14:Q14" si="12">P47</f>
        <v>1</v>
      </c>
      <c r="Q14" s="39">
        <f t="shared" si="12"/>
        <v>4</v>
      </c>
      <c r="S14" s="6">
        <f t="shared" si="4"/>
        <v>76077.325866116385</v>
      </c>
      <c r="T14" s="6">
        <f t="shared" si="5"/>
        <v>61568.896421671932</v>
      </c>
      <c r="U14" s="55">
        <f t="shared" si="6"/>
        <v>60821.825866116378</v>
      </c>
    </row>
    <row r="15" spans="1:21" x14ac:dyDescent="0.2">
      <c r="A15" s="4">
        <v>2012</v>
      </c>
      <c r="B15" s="238">
        <f t="shared" si="2"/>
        <v>54633.271548117154</v>
      </c>
      <c r="C15" s="238">
        <f t="shared" ref="C15:M15" si="13">(C48+C49)/2</f>
        <v>5980.4143346659048</v>
      </c>
      <c r="D15" s="238">
        <f t="shared" si="13"/>
        <v>838.98333333333335</v>
      </c>
      <c r="E15" s="238">
        <f t="shared" si="13"/>
        <v>32</v>
      </c>
      <c r="F15" s="238">
        <f t="shared" si="13"/>
        <v>2</v>
      </c>
      <c r="G15" s="238">
        <f t="shared" si="13"/>
        <v>15362</v>
      </c>
      <c r="H15" s="238">
        <f t="shared" si="13"/>
        <v>176.89706230751005</v>
      </c>
      <c r="I15" s="238">
        <f t="shared" si="13"/>
        <v>538.45000000000005</v>
      </c>
      <c r="J15" s="238">
        <f t="shared" si="13"/>
        <v>1</v>
      </c>
      <c r="K15" s="238">
        <f t="shared" si="13"/>
        <v>1</v>
      </c>
      <c r="L15" s="238">
        <f t="shared" si="13"/>
        <v>4</v>
      </c>
      <c r="M15" s="238">
        <f t="shared" si="13"/>
        <v>2</v>
      </c>
      <c r="N15" s="25">
        <f t="shared" si="0"/>
        <v>77572.016278423907</v>
      </c>
      <c r="P15" s="39">
        <f t="shared" ref="P15:Q15" si="14">P48</f>
        <v>1</v>
      </c>
      <c r="Q15" s="39">
        <f t="shared" si="14"/>
        <v>4</v>
      </c>
      <c r="S15" s="6">
        <f t="shared" si="4"/>
        <v>76853.669216116396</v>
      </c>
      <c r="T15" s="6">
        <f t="shared" si="5"/>
        <v>62208.016278423907</v>
      </c>
      <c r="U15" s="55">
        <f t="shared" si="6"/>
        <v>61499.669216116403</v>
      </c>
    </row>
    <row r="16" spans="1:21" x14ac:dyDescent="0.2">
      <c r="A16" s="4">
        <v>2013</v>
      </c>
      <c r="B16" s="238">
        <f t="shared" si="2"/>
        <v>55069.766666666663</v>
      </c>
      <c r="C16" s="238">
        <f t="shared" ref="C16:M16" si="15">(C49+C50)/2</f>
        <v>6004.383517763541</v>
      </c>
      <c r="D16" s="238">
        <f t="shared" si="15"/>
        <v>840.00026063386156</v>
      </c>
      <c r="E16" s="238">
        <f t="shared" si="15"/>
        <v>29.5</v>
      </c>
      <c r="F16" s="238">
        <f t="shared" si="15"/>
        <v>2.5</v>
      </c>
      <c r="G16" s="238">
        <f t="shared" si="15"/>
        <v>15453.073785272187</v>
      </c>
      <c r="H16" s="238">
        <f t="shared" si="15"/>
        <v>190.6022269604359</v>
      </c>
      <c r="I16" s="238">
        <f t="shared" si="15"/>
        <v>534</v>
      </c>
      <c r="J16" s="238">
        <f t="shared" si="15"/>
        <v>1</v>
      </c>
      <c r="K16" s="238">
        <f t="shared" si="15"/>
        <v>1</v>
      </c>
      <c r="L16" s="238">
        <f t="shared" si="15"/>
        <v>4</v>
      </c>
      <c r="M16" s="238">
        <f t="shared" si="15"/>
        <v>2</v>
      </c>
      <c r="N16" s="25">
        <f t="shared" si="0"/>
        <v>78131.826457296687</v>
      </c>
      <c r="P16" s="39">
        <f t="shared" ref="P16:Q16" si="16">P49</f>
        <v>1</v>
      </c>
      <c r="Q16" s="39">
        <f t="shared" si="16"/>
        <v>4</v>
      </c>
      <c r="S16" s="6">
        <f t="shared" si="4"/>
        <v>77404.224230336258</v>
      </c>
      <c r="T16" s="6">
        <f t="shared" si="5"/>
        <v>62676.7526720245</v>
      </c>
      <c r="U16" s="55">
        <f t="shared" si="6"/>
        <v>61959.150445064064</v>
      </c>
    </row>
    <row r="17" spans="1:22" x14ac:dyDescent="0.2">
      <c r="A17" s="4">
        <v>2014</v>
      </c>
      <c r="B17" s="238">
        <f t="shared" si="2"/>
        <v>55463.033333333333</v>
      </c>
      <c r="C17" s="238">
        <f t="shared" ref="C17:M17" si="17">(C50+C51)/2</f>
        <v>6056.767035527082</v>
      </c>
      <c r="D17" s="238">
        <f t="shared" si="17"/>
        <v>825.00052126772312</v>
      </c>
      <c r="E17" s="238">
        <f t="shared" si="17"/>
        <v>29</v>
      </c>
      <c r="F17" s="238">
        <f t="shared" si="17"/>
        <v>2.5</v>
      </c>
      <c r="G17" s="238">
        <f t="shared" si="17"/>
        <v>15512.073785272187</v>
      </c>
      <c r="H17" s="238">
        <f t="shared" si="17"/>
        <v>188.52144041696278</v>
      </c>
      <c r="I17" s="238">
        <f t="shared" si="17"/>
        <v>531</v>
      </c>
      <c r="J17" s="238">
        <f t="shared" si="17"/>
        <v>1</v>
      </c>
      <c r="K17" s="238">
        <f t="shared" si="17"/>
        <v>1</v>
      </c>
      <c r="L17" s="238">
        <f t="shared" si="17"/>
        <v>4</v>
      </c>
      <c r="M17" s="238">
        <f t="shared" si="17"/>
        <v>2</v>
      </c>
      <c r="N17" s="25">
        <f t="shared" si="0"/>
        <v>78615.89611581729</v>
      </c>
      <c r="P17" s="39">
        <f t="shared" ref="P17:Q17" si="18">P50</f>
        <v>1</v>
      </c>
      <c r="Q17" s="39">
        <f t="shared" si="18"/>
        <v>4</v>
      </c>
      <c r="S17" s="6">
        <f t="shared" si="4"/>
        <v>77893.374675400322</v>
      </c>
      <c r="T17" s="6">
        <f t="shared" si="5"/>
        <v>63101.822330545103</v>
      </c>
      <c r="U17" s="55">
        <f t="shared" si="6"/>
        <v>62389.300890128143</v>
      </c>
    </row>
    <row r="18" spans="1:22" x14ac:dyDescent="0.2">
      <c r="A18" s="4">
        <v>2015</v>
      </c>
      <c r="B18" s="238">
        <f t="shared" si="2"/>
        <v>55921.837967914442</v>
      </c>
      <c r="C18" s="238">
        <f t="shared" ref="C18:M18" si="19">(C51+C52)/2</f>
        <v>6149.0998196068595</v>
      </c>
      <c r="D18" s="238">
        <f t="shared" si="19"/>
        <v>807.93707304671102</v>
      </c>
      <c r="E18" s="238">
        <f t="shared" si="19"/>
        <v>29</v>
      </c>
      <c r="F18" s="238">
        <f t="shared" si="19"/>
        <v>2</v>
      </c>
      <c r="G18" s="238">
        <f t="shared" si="19"/>
        <v>15538.5</v>
      </c>
      <c r="H18" s="238">
        <f t="shared" si="19"/>
        <v>188.78204217010187</v>
      </c>
      <c r="I18" s="238">
        <f t="shared" si="19"/>
        <v>534</v>
      </c>
      <c r="J18" s="238">
        <f t="shared" si="19"/>
        <v>1</v>
      </c>
      <c r="K18" s="238">
        <f t="shared" si="19"/>
        <v>1</v>
      </c>
      <c r="L18" s="238">
        <f t="shared" si="19"/>
        <v>4</v>
      </c>
      <c r="M18" s="238">
        <f t="shared" si="19"/>
        <v>2</v>
      </c>
      <c r="N18" s="25">
        <f t="shared" si="0"/>
        <v>79179.156902738119</v>
      </c>
      <c r="P18" s="39">
        <f t="shared" ref="P18:Q18" si="20">P51</f>
        <v>1</v>
      </c>
      <c r="Q18" s="39">
        <f t="shared" si="20"/>
        <v>4</v>
      </c>
      <c r="S18" s="6">
        <f t="shared" si="4"/>
        <v>78453.374860568016</v>
      </c>
      <c r="T18" s="6">
        <f t="shared" si="5"/>
        <v>63638.656902738119</v>
      </c>
      <c r="U18" s="55">
        <f t="shared" si="6"/>
        <v>62922.874860568016</v>
      </c>
    </row>
    <row r="19" spans="1:22" x14ac:dyDescent="0.2">
      <c r="A19" s="4">
        <v>2016</v>
      </c>
      <c r="B19" s="238">
        <f t="shared" si="2"/>
        <v>56560.571301247772</v>
      </c>
      <c r="C19" s="238">
        <f t="shared" ref="C19:M20" si="21">(C52+C53)/2</f>
        <v>6240.7163018433184</v>
      </c>
      <c r="D19" s="238">
        <f t="shared" si="21"/>
        <v>805.93681241284958</v>
      </c>
      <c r="E19" s="238">
        <f t="shared" si="21"/>
        <v>28.5</v>
      </c>
      <c r="F19" s="238">
        <f t="shared" si="21"/>
        <v>2</v>
      </c>
      <c r="G19" s="238">
        <f t="shared" si="21"/>
        <v>15726</v>
      </c>
      <c r="H19" s="238">
        <f t="shared" si="21"/>
        <v>181.02132196162046</v>
      </c>
      <c r="I19" s="238">
        <f t="shared" si="21"/>
        <v>523</v>
      </c>
      <c r="J19" s="238">
        <f t="shared" si="21"/>
        <v>1</v>
      </c>
      <c r="K19" s="238">
        <f t="shared" si="21"/>
        <v>1</v>
      </c>
      <c r="L19" s="238">
        <f t="shared" si="21"/>
        <v>4</v>
      </c>
      <c r="M19" s="238">
        <f t="shared" si="21"/>
        <v>2</v>
      </c>
      <c r="N19" s="25">
        <f t="shared" si="0"/>
        <v>80075.745737465564</v>
      </c>
      <c r="P19" s="39">
        <f t="shared" ref="P19:Q19" si="22">P52</f>
        <v>1</v>
      </c>
      <c r="Q19" s="39">
        <f t="shared" si="22"/>
        <v>4</v>
      </c>
      <c r="S19" s="6">
        <f t="shared" si="4"/>
        <v>79368.724415503937</v>
      </c>
      <c r="T19" s="6">
        <f t="shared" si="5"/>
        <v>64347.745737465564</v>
      </c>
      <c r="U19" s="55">
        <f t="shared" si="6"/>
        <v>63650.724415503944</v>
      </c>
    </row>
    <row r="20" spans="1:22" x14ac:dyDescent="0.2">
      <c r="A20" s="4">
        <v>2017</v>
      </c>
      <c r="B20" s="238">
        <f t="shared" si="2"/>
        <v>57271.5</v>
      </c>
      <c r="C20" s="238">
        <f t="shared" si="21"/>
        <v>6297.5</v>
      </c>
      <c r="D20" s="238">
        <f t="shared" si="21"/>
        <v>796</v>
      </c>
      <c r="E20" s="238">
        <f t="shared" si="21"/>
        <v>28</v>
      </c>
      <c r="F20" s="238">
        <f t="shared" si="21"/>
        <v>2</v>
      </c>
      <c r="G20" s="238">
        <f t="shared" si="21"/>
        <v>16024</v>
      </c>
      <c r="H20" s="238">
        <f t="shared" si="21"/>
        <v>168</v>
      </c>
      <c r="I20" s="238">
        <f t="shared" si="21"/>
        <v>499</v>
      </c>
      <c r="J20" s="238">
        <f t="shared" si="21"/>
        <v>1</v>
      </c>
      <c r="K20" s="238">
        <f t="shared" si="21"/>
        <v>1</v>
      </c>
      <c r="L20" s="238">
        <f t="shared" si="21"/>
        <v>4</v>
      </c>
      <c r="M20" s="238">
        <f t="shared" si="21"/>
        <v>2</v>
      </c>
      <c r="N20" s="25">
        <f t="shared" si="0"/>
        <v>81094</v>
      </c>
      <c r="P20" s="39">
        <f t="shared" ref="P20:Q20" si="23">P53</f>
        <v>1</v>
      </c>
      <c r="Q20" s="39">
        <f t="shared" si="23"/>
        <v>4</v>
      </c>
      <c r="S20" s="6">
        <f t="shared" si="4"/>
        <v>80424</v>
      </c>
      <c r="T20" s="6">
        <f t="shared" si="5"/>
        <v>65068</v>
      </c>
      <c r="U20" s="55">
        <f t="shared" si="6"/>
        <v>64408</v>
      </c>
    </row>
    <row r="21" spans="1:22" x14ac:dyDescent="0.2">
      <c r="A21" s="4">
        <v>2018</v>
      </c>
      <c r="B21" s="19">
        <f t="shared" ref="B21:M21" si="24">B20*B36</f>
        <v>57970.103375516119</v>
      </c>
      <c r="C21" s="19">
        <f t="shared" si="24"/>
        <v>6373.6893471967605</v>
      </c>
      <c r="D21" s="19">
        <f t="shared" si="24"/>
        <v>798.19667260588278</v>
      </c>
      <c r="E21" s="19">
        <f t="shared" si="24"/>
        <v>27.493472574956247</v>
      </c>
      <c r="F21" s="19">
        <f t="shared" si="24"/>
        <v>2</v>
      </c>
      <c r="G21" s="19">
        <f t="shared" si="24"/>
        <v>16141.350826567697</v>
      </c>
      <c r="H21" s="19">
        <f t="shared" si="24"/>
        <v>168</v>
      </c>
      <c r="I21" s="19">
        <f t="shared" si="24"/>
        <v>499</v>
      </c>
      <c r="J21" s="19">
        <f t="shared" si="24"/>
        <v>1</v>
      </c>
      <c r="K21" s="19">
        <f t="shared" si="24"/>
        <v>1</v>
      </c>
      <c r="L21" s="19">
        <f t="shared" si="24"/>
        <v>4</v>
      </c>
      <c r="M21" s="19">
        <f t="shared" si="24"/>
        <v>2</v>
      </c>
      <c r="N21" s="19">
        <f t="shared" si="0"/>
        <v>81987.833694461413</v>
      </c>
      <c r="P21" s="19">
        <f>P20*P36</f>
        <v>1</v>
      </c>
      <c r="Q21" s="19">
        <f>Q20*Q36</f>
        <v>4</v>
      </c>
      <c r="S21" s="6">
        <f t="shared" si="4"/>
        <v>81317.833694461413</v>
      </c>
      <c r="T21" s="6">
        <f t="shared" si="5"/>
        <v>65844.482867893719</v>
      </c>
      <c r="U21" s="55">
        <f t="shared" si="6"/>
        <v>65184.482867893719</v>
      </c>
      <c r="V21">
        <f>U21/U11</f>
        <v>1.1272326571998152</v>
      </c>
    </row>
    <row r="22" spans="1:22" x14ac:dyDescent="0.2">
      <c r="A22" s="4">
        <v>2019</v>
      </c>
      <c r="B22" s="19">
        <f t="shared" ref="B22:M22" si="25">B21*B36</f>
        <v>58677.228383541995</v>
      </c>
      <c r="C22" s="19">
        <f t="shared" si="25"/>
        <v>6450.8004596378669</v>
      </c>
      <c r="D22" s="19">
        <f t="shared" si="25"/>
        <v>800.39940723505379</v>
      </c>
      <c r="E22" s="19">
        <f t="shared" si="25"/>
        <v>26.996108365352548</v>
      </c>
      <c r="F22" s="19">
        <f t="shared" si="25"/>
        <v>2</v>
      </c>
      <c r="G22" s="19">
        <f t="shared" si="25"/>
        <v>16259.561065048532</v>
      </c>
      <c r="H22" s="19">
        <f t="shared" si="25"/>
        <v>168</v>
      </c>
      <c r="I22" s="19">
        <f t="shared" si="25"/>
        <v>499</v>
      </c>
      <c r="J22" s="19">
        <f t="shared" si="25"/>
        <v>1</v>
      </c>
      <c r="K22" s="19">
        <f t="shared" si="25"/>
        <v>1</v>
      </c>
      <c r="L22" s="19">
        <f t="shared" si="25"/>
        <v>4</v>
      </c>
      <c r="M22" s="19">
        <f t="shared" si="25"/>
        <v>2</v>
      </c>
      <c r="N22" s="19">
        <f t="shared" si="0"/>
        <v>82891.985423828795</v>
      </c>
      <c r="P22" s="19">
        <f>P21*P36</f>
        <v>1</v>
      </c>
      <c r="Q22" s="19">
        <f>Q21*Q36</f>
        <v>4</v>
      </c>
      <c r="S22" s="6">
        <f t="shared" si="4"/>
        <v>82221.985423828795</v>
      </c>
      <c r="T22" s="6">
        <f t="shared" si="5"/>
        <v>66630.424358780263</v>
      </c>
      <c r="U22" s="55">
        <f t="shared" si="6"/>
        <v>65970.424358780263</v>
      </c>
      <c r="V22">
        <f>U22/U12</f>
        <v>1.1259552933388279</v>
      </c>
    </row>
    <row r="23" spans="1:22" x14ac:dyDescent="0.2">
      <c r="A23" s="18"/>
    </row>
    <row r="24" spans="1:22" x14ac:dyDescent="0.2">
      <c r="A24" s="17" t="s">
        <v>45</v>
      </c>
      <c r="B24" s="5"/>
      <c r="C24" s="5"/>
      <c r="D24" s="5"/>
      <c r="E24" s="5"/>
      <c r="F24" s="5"/>
      <c r="G24" s="5"/>
      <c r="H24" s="22"/>
      <c r="I24" s="22"/>
      <c r="J24" s="5"/>
      <c r="K24" s="5"/>
    </row>
    <row r="25" spans="1:22" x14ac:dyDescent="0.2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22" x14ac:dyDescent="0.2">
      <c r="A26" s="4">
        <v>2009</v>
      </c>
      <c r="B26" s="22">
        <f t="shared" ref="B26:K26" si="26">B12/B11</f>
        <v>1.0120445560943312</v>
      </c>
      <c r="C26" s="22">
        <f t="shared" si="26"/>
        <v>1.0243298239405467</v>
      </c>
      <c r="D26" s="22">
        <f t="shared" si="26"/>
        <v>1.0117514488087573</v>
      </c>
      <c r="E26" s="22">
        <f t="shared" si="26"/>
        <v>0.95454545454545459</v>
      </c>
      <c r="F26" s="22">
        <f t="shared" si="26"/>
        <v>1</v>
      </c>
      <c r="G26" s="22">
        <f t="shared" si="26"/>
        <v>1.0062643697310987</v>
      </c>
      <c r="H26" s="22">
        <f t="shared" si="26"/>
        <v>1.2933212996389891</v>
      </c>
      <c r="I26" s="22">
        <f t="shared" si="26"/>
        <v>1.076001955034213</v>
      </c>
      <c r="J26" s="22">
        <f t="shared" si="26"/>
        <v>1</v>
      </c>
      <c r="K26" s="22">
        <f t="shared" si="26"/>
        <v>1</v>
      </c>
    </row>
    <row r="27" spans="1:22" x14ac:dyDescent="0.2">
      <c r="A27" s="4">
        <v>2010</v>
      </c>
      <c r="B27" s="22">
        <f t="shared" ref="B27:B34" si="27">B13/B12</f>
        <v>1.0208646417610328</v>
      </c>
      <c r="C27" s="22">
        <f t="shared" ref="C27:M27" si="28">C13/C12</f>
        <v>1.0180281568491967</v>
      </c>
      <c r="D27" s="22">
        <f t="shared" si="28"/>
        <v>1.0215963723150359</v>
      </c>
      <c r="E27" s="22">
        <f t="shared" si="28"/>
        <v>0.98412698412698407</v>
      </c>
      <c r="F27" s="22">
        <f t="shared" si="28"/>
        <v>1</v>
      </c>
      <c r="G27" s="22">
        <f t="shared" si="28"/>
        <v>1.0065565084936587</v>
      </c>
      <c r="H27" s="22">
        <f t="shared" si="28"/>
        <v>1.2236706210746686</v>
      </c>
      <c r="I27" s="22">
        <f t="shared" si="28"/>
        <v>1.0699523052464228</v>
      </c>
      <c r="J27" s="22">
        <f t="shared" si="28"/>
        <v>1</v>
      </c>
      <c r="K27" s="22">
        <f t="shared" si="28"/>
        <v>1</v>
      </c>
      <c r="L27" s="22">
        <f t="shared" si="28"/>
        <v>1</v>
      </c>
      <c r="M27" s="22">
        <f t="shared" si="28"/>
        <v>1</v>
      </c>
      <c r="P27" s="22">
        <f t="shared" ref="P27:Q33" si="29">P13/P12</f>
        <v>1</v>
      </c>
      <c r="Q27" s="22">
        <f t="shared" si="29"/>
        <v>1</v>
      </c>
    </row>
    <row r="28" spans="1:22" x14ac:dyDescent="0.2">
      <c r="A28" s="4">
        <v>2011</v>
      </c>
      <c r="B28" s="22">
        <f t="shared" si="27"/>
        <v>1.0181941933143777</v>
      </c>
      <c r="C28" s="22">
        <f t="shared" ref="C28:M28" si="30">C14/C13</f>
        <v>1.0066030756055164</v>
      </c>
      <c r="D28" s="22">
        <f t="shared" si="30"/>
        <v>1.024742760946159</v>
      </c>
      <c r="E28" s="22">
        <f t="shared" si="30"/>
        <v>1.064516129032258</v>
      </c>
      <c r="F28" s="22">
        <f t="shared" si="30"/>
        <v>1</v>
      </c>
      <c r="G28" s="22">
        <f t="shared" si="30"/>
        <v>1.0042767378359707</v>
      </c>
      <c r="H28" s="74">
        <f t="shared" si="30"/>
        <v>0.86281561912293236</v>
      </c>
      <c r="I28" s="74">
        <f t="shared" si="30"/>
        <v>0.95937168329441735</v>
      </c>
      <c r="J28" s="74">
        <f t="shared" si="30"/>
        <v>1</v>
      </c>
      <c r="K28" s="74">
        <f t="shared" si="30"/>
        <v>1</v>
      </c>
      <c r="L28" s="22">
        <f t="shared" si="30"/>
        <v>1</v>
      </c>
      <c r="M28" s="22">
        <f t="shared" si="30"/>
        <v>1</v>
      </c>
      <c r="P28" s="22">
        <f t="shared" si="29"/>
        <v>1</v>
      </c>
      <c r="Q28" s="22">
        <f t="shared" si="29"/>
        <v>1</v>
      </c>
    </row>
    <row r="29" spans="1:22" x14ac:dyDescent="0.2">
      <c r="A29" s="4">
        <v>2012</v>
      </c>
      <c r="B29" s="22">
        <f t="shared" si="27"/>
        <v>1.011369590371674</v>
      </c>
      <c r="C29" s="22">
        <f t="shared" ref="C29:M29" si="31">C15/C14</f>
        <v>1.0081140818367602</v>
      </c>
      <c r="D29" s="22">
        <f t="shared" si="31"/>
        <v>1.0201025598334763</v>
      </c>
      <c r="E29" s="22">
        <f t="shared" si="31"/>
        <v>0.96969696969696972</v>
      </c>
      <c r="F29" s="22">
        <f t="shared" si="31"/>
        <v>1</v>
      </c>
      <c r="G29" s="22">
        <f t="shared" si="31"/>
        <v>1.0064533036328496</v>
      </c>
      <c r="H29" s="22">
        <f t="shared" si="31"/>
        <v>0.93536665957786513</v>
      </c>
      <c r="I29" s="22">
        <f t="shared" si="31"/>
        <v>0.95309319408797244</v>
      </c>
      <c r="J29" s="22">
        <f t="shared" si="31"/>
        <v>1</v>
      </c>
      <c r="K29" s="22">
        <f t="shared" si="31"/>
        <v>1</v>
      </c>
      <c r="L29" s="22">
        <f t="shared" si="31"/>
        <v>1</v>
      </c>
      <c r="M29" s="22">
        <f t="shared" si="31"/>
        <v>1</v>
      </c>
      <c r="P29" s="22">
        <f t="shared" si="29"/>
        <v>1</v>
      </c>
      <c r="Q29" s="22">
        <f t="shared" si="29"/>
        <v>1</v>
      </c>
    </row>
    <row r="30" spans="1:22" x14ac:dyDescent="0.2">
      <c r="A30" s="4">
        <v>2013</v>
      </c>
      <c r="B30" s="22">
        <f t="shared" si="27"/>
        <v>1.0079895475079701</v>
      </c>
      <c r="C30" s="22">
        <f t="shared" ref="C30:M30" si="32">C16/C15</f>
        <v>1.0040079469007184</v>
      </c>
      <c r="D30" s="22">
        <f t="shared" si="32"/>
        <v>1.0012120947581735</v>
      </c>
      <c r="E30" s="22">
        <f t="shared" si="32"/>
        <v>0.921875</v>
      </c>
      <c r="F30" s="22">
        <f t="shared" si="32"/>
        <v>1.25</v>
      </c>
      <c r="G30" s="22">
        <f t="shared" si="32"/>
        <v>1.0059285109537943</v>
      </c>
      <c r="H30" s="22">
        <f t="shared" si="32"/>
        <v>1.0774753660357648</v>
      </c>
      <c r="I30" s="22">
        <f t="shared" si="32"/>
        <v>0.99173553719008256</v>
      </c>
      <c r="J30" s="22">
        <f t="shared" si="32"/>
        <v>1</v>
      </c>
      <c r="K30" s="22">
        <f t="shared" si="32"/>
        <v>1</v>
      </c>
      <c r="L30" s="22">
        <f t="shared" si="32"/>
        <v>1</v>
      </c>
      <c r="M30" s="22">
        <f t="shared" si="32"/>
        <v>1</v>
      </c>
      <c r="P30" s="22">
        <f t="shared" si="29"/>
        <v>1</v>
      </c>
      <c r="Q30" s="22">
        <f t="shared" si="29"/>
        <v>1</v>
      </c>
    </row>
    <row r="31" spans="1:22" x14ac:dyDescent="0.2">
      <c r="A31" s="4">
        <v>2014</v>
      </c>
      <c r="B31" s="22">
        <f t="shared" si="27"/>
        <v>1.0071412444698937</v>
      </c>
      <c r="C31" s="22">
        <f t="shared" ref="C31:M31" si="33">C17/C16</f>
        <v>1.0087242125038429</v>
      </c>
      <c r="D31" s="22">
        <f t="shared" si="33"/>
        <v>0.98214317296185161</v>
      </c>
      <c r="E31" s="22">
        <f t="shared" si="33"/>
        <v>0.98305084745762716</v>
      </c>
      <c r="F31" s="22">
        <f t="shared" si="33"/>
        <v>1</v>
      </c>
      <c r="G31" s="22">
        <f t="shared" si="33"/>
        <v>1.0038180106314014</v>
      </c>
      <c r="H31" s="22">
        <f t="shared" si="33"/>
        <v>0.98908309427095498</v>
      </c>
      <c r="I31" s="22">
        <f t="shared" si="33"/>
        <v>0.9943820224719101</v>
      </c>
      <c r="J31" s="22">
        <f t="shared" si="33"/>
        <v>1</v>
      </c>
      <c r="K31" s="22">
        <f t="shared" si="33"/>
        <v>1</v>
      </c>
      <c r="L31" s="22">
        <f t="shared" si="33"/>
        <v>1</v>
      </c>
      <c r="M31" s="22">
        <f t="shared" si="33"/>
        <v>1</v>
      </c>
      <c r="P31" s="22">
        <f t="shared" si="29"/>
        <v>1</v>
      </c>
      <c r="Q31" s="22">
        <f t="shared" si="29"/>
        <v>1</v>
      </c>
    </row>
    <row r="32" spans="1:22" x14ac:dyDescent="0.2">
      <c r="A32" s="4">
        <v>2015</v>
      </c>
      <c r="B32" s="22">
        <f t="shared" si="27"/>
        <v>1.0082722600443379</v>
      </c>
      <c r="C32" s="22">
        <f t="shared" ref="C32:M32" si="34">C18/C17</f>
        <v>1.0152445658778326</v>
      </c>
      <c r="D32" s="22">
        <f t="shared" si="34"/>
        <v>0.97931704552769028</v>
      </c>
      <c r="E32" s="22">
        <f t="shared" si="34"/>
        <v>1</v>
      </c>
      <c r="F32" s="22">
        <f t="shared" si="34"/>
        <v>0.8</v>
      </c>
      <c r="G32" s="22">
        <f t="shared" si="34"/>
        <v>1.0017035900611111</v>
      </c>
      <c r="H32" s="22">
        <f t="shared" si="34"/>
        <v>1.0013823454380717</v>
      </c>
      <c r="I32" s="22">
        <f t="shared" si="34"/>
        <v>1.0056497175141244</v>
      </c>
      <c r="J32" s="22">
        <f t="shared" si="34"/>
        <v>1</v>
      </c>
      <c r="K32" s="22">
        <f t="shared" si="34"/>
        <v>1</v>
      </c>
      <c r="L32" s="22">
        <f t="shared" si="34"/>
        <v>1</v>
      </c>
      <c r="M32" s="22">
        <f t="shared" si="34"/>
        <v>1</v>
      </c>
      <c r="P32" s="22">
        <f t="shared" si="29"/>
        <v>1</v>
      </c>
      <c r="Q32" s="22">
        <f t="shared" si="29"/>
        <v>1</v>
      </c>
    </row>
    <row r="33" spans="1:21" x14ac:dyDescent="0.2">
      <c r="A33" s="4">
        <v>2016</v>
      </c>
      <c r="B33" s="22">
        <f t="shared" si="27"/>
        <v>1.0114218944967404</v>
      </c>
      <c r="C33" s="22">
        <f t="shared" ref="C33:M33" si="35">C19/C18</f>
        <v>1.0148991697848737</v>
      </c>
      <c r="D33" s="22">
        <f t="shared" si="35"/>
        <v>0.99752423709643812</v>
      </c>
      <c r="E33" s="22">
        <f t="shared" si="35"/>
        <v>0.98275862068965514</v>
      </c>
      <c r="F33" s="22">
        <f t="shared" si="35"/>
        <v>1</v>
      </c>
      <c r="G33" s="22">
        <f t="shared" si="35"/>
        <v>1.0120668018148471</v>
      </c>
      <c r="H33" s="22">
        <f t="shared" si="35"/>
        <v>0.95889058027305041</v>
      </c>
      <c r="I33" s="22">
        <f t="shared" si="35"/>
        <v>0.97940074906367036</v>
      </c>
      <c r="J33" s="22">
        <f t="shared" si="35"/>
        <v>1</v>
      </c>
      <c r="K33" s="22">
        <f t="shared" si="35"/>
        <v>1</v>
      </c>
      <c r="L33" s="22">
        <f t="shared" si="35"/>
        <v>1</v>
      </c>
      <c r="M33" s="22">
        <f t="shared" si="35"/>
        <v>1</v>
      </c>
      <c r="P33" s="22">
        <f t="shared" si="29"/>
        <v>1</v>
      </c>
      <c r="Q33" s="22">
        <f t="shared" si="29"/>
        <v>1</v>
      </c>
    </row>
    <row r="34" spans="1:21" x14ac:dyDescent="0.2">
      <c r="A34" s="4">
        <v>2017</v>
      </c>
      <c r="B34" s="22">
        <f t="shared" si="27"/>
        <v>1.012569333767259</v>
      </c>
      <c r="C34" s="22">
        <f t="shared" ref="C34:M34" si="36">C20/C19</f>
        <v>1.0090989071462693</v>
      </c>
      <c r="D34" s="22">
        <f t="shared" si="36"/>
        <v>0.98767048202811292</v>
      </c>
      <c r="E34" s="22">
        <f t="shared" si="36"/>
        <v>0.98245614035087714</v>
      </c>
      <c r="F34" s="22">
        <f t="shared" si="36"/>
        <v>1</v>
      </c>
      <c r="G34" s="22">
        <f t="shared" si="36"/>
        <v>1.0189495103650006</v>
      </c>
      <c r="H34" s="22">
        <f t="shared" si="36"/>
        <v>0.92806746840363263</v>
      </c>
      <c r="I34" s="22">
        <f t="shared" si="36"/>
        <v>0.95411089866156784</v>
      </c>
      <c r="J34" s="22">
        <f t="shared" si="36"/>
        <v>1</v>
      </c>
      <c r="K34" s="22">
        <f t="shared" si="36"/>
        <v>1</v>
      </c>
      <c r="L34" s="22">
        <f t="shared" si="36"/>
        <v>1</v>
      </c>
      <c r="M34" s="22">
        <f t="shared" si="36"/>
        <v>1</v>
      </c>
      <c r="P34" s="22"/>
      <c r="Q34" s="22"/>
    </row>
    <row r="36" spans="1:21" x14ac:dyDescent="0.2">
      <c r="A36" t="s">
        <v>60</v>
      </c>
      <c r="B36" s="23">
        <f>B38</f>
        <v>1.0121980981031773</v>
      </c>
      <c r="C36" s="23">
        <f t="shared" ref="C36:L36" si="37">C38</f>
        <v>1.012098348105877</v>
      </c>
      <c r="D36" s="23">
        <f t="shared" si="37"/>
        <v>1.0027596389521141</v>
      </c>
      <c r="E36" s="23">
        <f t="shared" si="37"/>
        <v>0.98190973481986599</v>
      </c>
      <c r="F36" s="23">
        <v>1</v>
      </c>
      <c r="G36" s="23">
        <f t="shared" si="37"/>
        <v>1.0073234414982337</v>
      </c>
      <c r="H36" s="23">
        <v>1</v>
      </c>
      <c r="I36" s="23">
        <v>1</v>
      </c>
      <c r="J36" s="23">
        <f t="shared" si="37"/>
        <v>1</v>
      </c>
      <c r="K36" s="23">
        <v>1</v>
      </c>
      <c r="L36" s="23">
        <f t="shared" si="37"/>
        <v>1</v>
      </c>
      <c r="M36" s="23">
        <f t="shared" ref="M36" si="38">M38</f>
        <v>1</v>
      </c>
      <c r="P36" s="23">
        <f t="shared" ref="P36:Q36" si="39">P38</f>
        <v>1</v>
      </c>
      <c r="Q36" s="23">
        <f t="shared" si="39"/>
        <v>1</v>
      </c>
    </row>
    <row r="37" spans="1:2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21" x14ac:dyDescent="0.2">
      <c r="A38" t="s">
        <v>17</v>
      </c>
      <c r="B38" s="23">
        <f>GEOMEAN(B26:B34)</f>
        <v>1.0121980981031773</v>
      </c>
      <c r="C38" s="23">
        <f t="shared" ref="C38:M38" si="40">GEOMEAN(C26:C34)</f>
        <v>1.012098348105877</v>
      </c>
      <c r="D38" s="23">
        <f t="shared" si="40"/>
        <v>1.0027596389521141</v>
      </c>
      <c r="E38" s="23">
        <f t="shared" si="40"/>
        <v>0.98190973481986599</v>
      </c>
      <c r="F38" s="23">
        <f t="shared" si="40"/>
        <v>1</v>
      </c>
      <c r="G38" s="23">
        <f t="shared" si="40"/>
        <v>1.0073234414982337</v>
      </c>
      <c r="H38" s="23">
        <f t="shared" si="40"/>
        <v>1.0216866605719344</v>
      </c>
      <c r="I38" s="23">
        <f t="shared" si="40"/>
        <v>0.99725472078540367</v>
      </c>
      <c r="J38" s="23">
        <f t="shared" si="40"/>
        <v>1</v>
      </c>
      <c r="K38" s="23">
        <f t="shared" si="40"/>
        <v>1</v>
      </c>
      <c r="L38" s="23">
        <f t="shared" si="40"/>
        <v>1</v>
      </c>
      <c r="M38" s="23">
        <f t="shared" si="40"/>
        <v>1</v>
      </c>
      <c r="P38" s="23">
        <f>GEOMEAN(P26:P33)</f>
        <v>1</v>
      </c>
      <c r="Q38" s="23">
        <f>GEOMEAN(Q26:Q33)</f>
        <v>1</v>
      </c>
    </row>
    <row r="39" spans="1:21" x14ac:dyDescent="0.2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21" x14ac:dyDescent="0.2">
      <c r="A40" s="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21" x14ac:dyDescent="0.2">
      <c r="A41" s="4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21" x14ac:dyDescent="0.2">
      <c r="A42" s="4"/>
      <c r="B42" s="61"/>
      <c r="C42" s="23"/>
      <c r="D42" s="23"/>
      <c r="H42" s="23"/>
      <c r="I42" s="23"/>
      <c r="J42" s="23"/>
      <c r="K42" s="23"/>
    </row>
    <row r="43" spans="1:21" x14ac:dyDescent="0.2">
      <c r="A43" s="4" t="s">
        <v>196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1" x14ac:dyDescent="0.2">
      <c r="A44" s="4">
        <v>2007</v>
      </c>
      <c r="B44" s="238">
        <f t="shared" ref="B44:M44" si="41">B57+B70</f>
        <v>51174</v>
      </c>
      <c r="C44" s="238">
        <f t="shared" si="41"/>
        <v>5599</v>
      </c>
      <c r="D44" s="238">
        <f t="shared" si="41"/>
        <v>785</v>
      </c>
      <c r="E44" s="238">
        <f t="shared" si="41"/>
        <v>33</v>
      </c>
      <c r="F44" s="238">
        <f t="shared" si="41"/>
        <v>2</v>
      </c>
      <c r="G44" s="238">
        <f t="shared" si="41"/>
        <v>14978</v>
      </c>
      <c r="H44" s="238">
        <f t="shared" si="41"/>
        <v>140</v>
      </c>
      <c r="I44" s="238">
        <f t="shared" si="41"/>
        <v>512</v>
      </c>
      <c r="J44" s="238">
        <f t="shared" si="41"/>
        <v>1</v>
      </c>
      <c r="K44" s="238">
        <f t="shared" si="41"/>
        <v>1</v>
      </c>
      <c r="L44" s="238">
        <f t="shared" si="41"/>
        <v>4</v>
      </c>
      <c r="M44" s="238">
        <f t="shared" si="41"/>
        <v>2</v>
      </c>
      <c r="N44" s="25">
        <f t="shared" ref="N44:N54" si="42">SUM(B44:M44)</f>
        <v>73231</v>
      </c>
      <c r="P44" s="39">
        <f t="shared" ref="P44:Q54" si="43">P57+P70</f>
        <v>1</v>
      </c>
      <c r="Q44" s="39">
        <f t="shared" si="43"/>
        <v>4</v>
      </c>
      <c r="U44" s="55">
        <f t="shared" ref="U44:U54" si="44">N44-G44-H44-I44+P44+Q44</f>
        <v>57606</v>
      </c>
    </row>
    <row r="45" spans="1:21" x14ac:dyDescent="0.2">
      <c r="A45" s="4">
        <v>2008</v>
      </c>
      <c r="B45" s="238">
        <f t="shared" ref="B45:M45" si="45">B58+B71</f>
        <v>51528</v>
      </c>
      <c r="C45" s="238">
        <f t="shared" si="45"/>
        <v>5704</v>
      </c>
      <c r="D45" s="238">
        <f t="shared" si="45"/>
        <v>768</v>
      </c>
      <c r="E45" s="238">
        <f t="shared" si="45"/>
        <v>33</v>
      </c>
      <c r="F45" s="238">
        <f t="shared" si="45"/>
        <v>2</v>
      </c>
      <c r="G45" s="238">
        <f t="shared" si="45"/>
        <v>15033</v>
      </c>
      <c r="H45" s="238">
        <f t="shared" si="45"/>
        <v>137</v>
      </c>
      <c r="I45" s="238">
        <f t="shared" si="45"/>
        <v>511</v>
      </c>
      <c r="J45" s="238">
        <f t="shared" si="45"/>
        <v>1</v>
      </c>
      <c r="K45" s="238">
        <f t="shared" si="45"/>
        <v>1</v>
      </c>
      <c r="L45" s="238">
        <f t="shared" si="45"/>
        <v>4</v>
      </c>
      <c r="M45" s="238">
        <f t="shared" si="45"/>
        <v>2</v>
      </c>
      <c r="N45" s="25">
        <f t="shared" si="42"/>
        <v>73724</v>
      </c>
      <c r="P45" s="39">
        <f t="shared" si="43"/>
        <v>1</v>
      </c>
      <c r="Q45" s="39">
        <f t="shared" si="43"/>
        <v>4</v>
      </c>
      <c r="U45" s="55">
        <f t="shared" si="44"/>
        <v>58048</v>
      </c>
    </row>
    <row r="46" spans="1:21" x14ac:dyDescent="0.2">
      <c r="A46" s="4">
        <v>2009</v>
      </c>
      <c r="B46" s="238">
        <f t="shared" ref="B46:M46" si="46">B59+B72</f>
        <v>52411</v>
      </c>
      <c r="C46" s="238">
        <f t="shared" si="46"/>
        <v>5874</v>
      </c>
      <c r="D46" s="238">
        <f t="shared" si="46"/>
        <v>803.25</v>
      </c>
      <c r="E46" s="238">
        <f t="shared" si="46"/>
        <v>30</v>
      </c>
      <c r="F46" s="238">
        <f t="shared" si="46"/>
        <v>2</v>
      </c>
      <c r="G46" s="238">
        <f t="shared" si="46"/>
        <v>15166</v>
      </c>
      <c r="H46" s="238">
        <f t="shared" si="46"/>
        <v>221.25</v>
      </c>
      <c r="I46" s="238">
        <f t="shared" si="46"/>
        <v>589.75</v>
      </c>
      <c r="J46" s="238">
        <f t="shared" si="46"/>
        <v>1</v>
      </c>
      <c r="K46" s="238">
        <f t="shared" si="46"/>
        <v>1</v>
      </c>
      <c r="L46" s="238">
        <f t="shared" si="46"/>
        <v>4</v>
      </c>
      <c r="M46" s="238">
        <f t="shared" si="46"/>
        <v>2</v>
      </c>
      <c r="N46" s="25">
        <f t="shared" si="42"/>
        <v>75105.25</v>
      </c>
      <c r="P46" s="39">
        <f t="shared" si="43"/>
        <v>1</v>
      </c>
      <c r="Q46" s="39">
        <f t="shared" si="43"/>
        <v>4</v>
      </c>
      <c r="U46" s="55">
        <f t="shared" si="44"/>
        <v>59133.25</v>
      </c>
    </row>
    <row r="47" spans="1:21" x14ac:dyDescent="0.2">
      <c r="A47" s="4">
        <v>2010</v>
      </c>
      <c r="B47" s="238">
        <f t="shared" ref="B47:M47" si="47">B60+B73</f>
        <v>53696.65</v>
      </c>
      <c r="C47" s="238">
        <f t="shared" si="47"/>
        <v>5912.73</v>
      </c>
      <c r="D47" s="238">
        <f t="shared" si="47"/>
        <v>801.93330000000003</v>
      </c>
      <c r="E47" s="238">
        <f t="shared" si="47"/>
        <v>32</v>
      </c>
      <c r="F47" s="238">
        <f t="shared" si="47"/>
        <v>2</v>
      </c>
      <c r="G47" s="238">
        <f t="shared" si="47"/>
        <v>15231</v>
      </c>
      <c r="H47" s="238">
        <f t="shared" si="47"/>
        <v>217.13</v>
      </c>
      <c r="I47" s="238">
        <f t="shared" si="47"/>
        <v>588</v>
      </c>
      <c r="J47" s="238">
        <f t="shared" si="47"/>
        <v>1</v>
      </c>
      <c r="K47" s="238">
        <f t="shared" si="47"/>
        <v>1</v>
      </c>
      <c r="L47" s="238">
        <f t="shared" si="47"/>
        <v>4</v>
      </c>
      <c r="M47" s="238">
        <f t="shared" si="47"/>
        <v>2</v>
      </c>
      <c r="N47" s="25">
        <f t="shared" si="42"/>
        <v>76489.443300000014</v>
      </c>
      <c r="P47" s="39">
        <f t="shared" si="43"/>
        <v>1</v>
      </c>
      <c r="Q47" s="39">
        <f t="shared" si="43"/>
        <v>4</v>
      </c>
      <c r="U47" s="55">
        <f t="shared" si="44"/>
        <v>60458.313300000016</v>
      </c>
    </row>
    <row r="48" spans="1:21" x14ac:dyDescent="0.2">
      <c r="A48" s="4">
        <v>2011</v>
      </c>
      <c r="B48" s="238">
        <f t="shared" ref="B48:M48" si="48">B61+B74</f>
        <v>54341.543096234309</v>
      </c>
      <c r="C48" s="238">
        <f t="shared" si="48"/>
        <v>5951.8286693318096</v>
      </c>
      <c r="D48" s="238">
        <f t="shared" si="48"/>
        <v>842.9666666666667</v>
      </c>
      <c r="E48" s="238">
        <f t="shared" si="48"/>
        <v>34</v>
      </c>
      <c r="F48" s="238">
        <f t="shared" si="48"/>
        <v>2</v>
      </c>
      <c r="G48" s="238">
        <f t="shared" si="48"/>
        <v>15296</v>
      </c>
      <c r="H48" s="238">
        <f t="shared" si="48"/>
        <v>161.11111111111106</v>
      </c>
      <c r="I48" s="238">
        <f t="shared" si="48"/>
        <v>541.9</v>
      </c>
      <c r="J48" s="238">
        <f t="shared" si="48"/>
        <v>1</v>
      </c>
      <c r="K48" s="238">
        <f t="shared" si="48"/>
        <v>1</v>
      </c>
      <c r="L48" s="238">
        <f t="shared" si="48"/>
        <v>4</v>
      </c>
      <c r="M48" s="238">
        <f t="shared" si="48"/>
        <v>2</v>
      </c>
      <c r="N48" s="25">
        <f t="shared" si="42"/>
        <v>77179.349543343895</v>
      </c>
      <c r="P48" s="39">
        <f t="shared" si="43"/>
        <v>1</v>
      </c>
      <c r="Q48" s="39">
        <f t="shared" si="43"/>
        <v>4</v>
      </c>
      <c r="U48" s="55">
        <f t="shared" si="44"/>
        <v>61185.338432232784</v>
      </c>
    </row>
    <row r="49" spans="1:22" x14ac:dyDescent="0.2">
      <c r="A49" s="4">
        <v>2012</v>
      </c>
      <c r="B49" s="238">
        <f t="shared" ref="B49:M49" si="49">B62+B75</f>
        <v>54925</v>
      </c>
      <c r="C49" s="238">
        <f t="shared" si="49"/>
        <v>6009</v>
      </c>
      <c r="D49" s="238">
        <f t="shared" si="49"/>
        <v>835</v>
      </c>
      <c r="E49" s="238">
        <f t="shared" si="49"/>
        <v>30</v>
      </c>
      <c r="F49" s="238">
        <f t="shared" si="49"/>
        <v>2</v>
      </c>
      <c r="G49" s="238">
        <f t="shared" si="49"/>
        <v>15428</v>
      </c>
      <c r="H49" s="238">
        <f t="shared" si="49"/>
        <v>192.68301350390902</v>
      </c>
      <c r="I49" s="238">
        <f t="shared" si="49"/>
        <v>535</v>
      </c>
      <c r="J49" s="238">
        <f t="shared" si="49"/>
        <v>1</v>
      </c>
      <c r="K49" s="238">
        <f t="shared" si="49"/>
        <v>1</v>
      </c>
      <c r="L49" s="238">
        <f t="shared" si="49"/>
        <v>4</v>
      </c>
      <c r="M49" s="238">
        <f t="shared" si="49"/>
        <v>2</v>
      </c>
      <c r="N49" s="25">
        <f t="shared" si="42"/>
        <v>77964.683013503905</v>
      </c>
      <c r="P49" s="39">
        <f t="shared" si="43"/>
        <v>1</v>
      </c>
      <c r="Q49" s="39">
        <f t="shared" si="43"/>
        <v>4</v>
      </c>
      <c r="U49" s="55">
        <f t="shared" si="44"/>
        <v>61814</v>
      </c>
    </row>
    <row r="50" spans="1:22" x14ac:dyDescent="0.2">
      <c r="A50" s="4">
        <v>2013</v>
      </c>
      <c r="B50" s="238">
        <f t="shared" ref="B50:M50" si="50">B63+B76</f>
        <v>55214.533333333333</v>
      </c>
      <c r="C50" s="238">
        <f t="shared" si="50"/>
        <v>5999.767035527082</v>
      </c>
      <c r="D50" s="238">
        <f t="shared" si="50"/>
        <v>845.00052126772312</v>
      </c>
      <c r="E50" s="238">
        <f t="shared" si="50"/>
        <v>29</v>
      </c>
      <c r="F50" s="238">
        <f t="shared" si="50"/>
        <v>3</v>
      </c>
      <c r="G50" s="238">
        <f t="shared" si="50"/>
        <v>15478.147570544375</v>
      </c>
      <c r="H50" s="238">
        <f t="shared" si="50"/>
        <v>188.52144041696278</v>
      </c>
      <c r="I50" s="238">
        <f t="shared" si="50"/>
        <v>533</v>
      </c>
      <c r="J50" s="238">
        <f t="shared" si="50"/>
        <v>1</v>
      </c>
      <c r="K50" s="238">
        <f t="shared" si="50"/>
        <v>1</v>
      </c>
      <c r="L50" s="238">
        <f t="shared" si="50"/>
        <v>4</v>
      </c>
      <c r="M50" s="238">
        <f t="shared" si="50"/>
        <v>2</v>
      </c>
      <c r="N50" s="25">
        <f t="shared" si="42"/>
        <v>78298.969901089484</v>
      </c>
      <c r="P50" s="39">
        <f t="shared" si="43"/>
        <v>1</v>
      </c>
      <c r="Q50" s="39">
        <f t="shared" si="43"/>
        <v>4</v>
      </c>
      <c r="U50" s="55">
        <f t="shared" si="44"/>
        <v>62104.30089012815</v>
      </c>
    </row>
    <row r="51" spans="1:22" x14ac:dyDescent="0.2">
      <c r="A51" s="4">
        <v>2014</v>
      </c>
      <c r="B51" s="238">
        <f t="shared" ref="B51:M51" si="51">B64+B77</f>
        <v>55711.533333333333</v>
      </c>
      <c r="C51" s="238">
        <f t="shared" si="51"/>
        <v>6113.767035527082</v>
      </c>
      <c r="D51" s="238">
        <f t="shared" si="51"/>
        <v>805.00052126772312</v>
      </c>
      <c r="E51" s="238">
        <f t="shared" si="51"/>
        <v>29</v>
      </c>
      <c r="F51" s="238">
        <f t="shared" si="51"/>
        <v>2</v>
      </c>
      <c r="G51" s="238">
        <f t="shared" si="51"/>
        <v>15546</v>
      </c>
      <c r="H51" s="238">
        <f t="shared" si="51"/>
        <v>188.52144041696278</v>
      </c>
      <c r="I51" s="238">
        <f t="shared" si="51"/>
        <v>529</v>
      </c>
      <c r="J51" s="238">
        <f t="shared" si="51"/>
        <v>1</v>
      </c>
      <c r="K51" s="238">
        <f t="shared" si="51"/>
        <v>1</v>
      </c>
      <c r="L51" s="238">
        <f t="shared" si="51"/>
        <v>4</v>
      </c>
      <c r="M51" s="238">
        <f t="shared" si="51"/>
        <v>2</v>
      </c>
      <c r="N51" s="25">
        <f t="shared" si="42"/>
        <v>78932.822330545096</v>
      </c>
      <c r="P51" s="39">
        <f t="shared" si="43"/>
        <v>1</v>
      </c>
      <c r="Q51" s="39">
        <f t="shared" si="43"/>
        <v>4</v>
      </c>
      <c r="U51" s="55">
        <f t="shared" si="44"/>
        <v>62674.300890128136</v>
      </c>
    </row>
    <row r="52" spans="1:22" x14ac:dyDescent="0.2">
      <c r="A52" s="4">
        <v>2015</v>
      </c>
      <c r="B52" s="238">
        <f t="shared" ref="B52:M52" si="52">B65+B78</f>
        <v>56132.142602495544</v>
      </c>
      <c r="C52" s="238">
        <f t="shared" si="52"/>
        <v>6184.432603686636</v>
      </c>
      <c r="D52" s="238">
        <f t="shared" si="52"/>
        <v>810.87362482569904</v>
      </c>
      <c r="E52" s="238">
        <f t="shared" si="52"/>
        <v>29</v>
      </c>
      <c r="F52" s="238">
        <f t="shared" si="52"/>
        <v>2</v>
      </c>
      <c r="G52" s="238">
        <f t="shared" si="52"/>
        <v>15531</v>
      </c>
      <c r="H52" s="238">
        <f t="shared" si="52"/>
        <v>189.04264392324095</v>
      </c>
      <c r="I52" s="238">
        <f t="shared" si="52"/>
        <v>539</v>
      </c>
      <c r="J52" s="238">
        <f t="shared" si="52"/>
        <v>1</v>
      </c>
      <c r="K52" s="238">
        <f t="shared" si="52"/>
        <v>1</v>
      </c>
      <c r="L52" s="238">
        <f t="shared" si="52"/>
        <v>4</v>
      </c>
      <c r="M52" s="238">
        <f t="shared" si="52"/>
        <v>2</v>
      </c>
      <c r="N52" s="25">
        <f t="shared" si="42"/>
        <v>79425.491474931114</v>
      </c>
      <c r="P52" s="39">
        <f t="shared" si="43"/>
        <v>1</v>
      </c>
      <c r="Q52" s="39">
        <f t="shared" si="43"/>
        <v>4</v>
      </c>
      <c r="U52" s="55">
        <f t="shared" si="44"/>
        <v>63171.448831007874</v>
      </c>
    </row>
    <row r="53" spans="1:22" x14ac:dyDescent="0.2">
      <c r="A53" s="4">
        <v>2016</v>
      </c>
      <c r="B53" s="238">
        <f t="shared" ref="B53:M53" si="53">B66+B79</f>
        <v>56989</v>
      </c>
      <c r="C53" s="238">
        <f t="shared" si="53"/>
        <v>6297</v>
      </c>
      <c r="D53" s="238">
        <f t="shared" si="53"/>
        <v>801</v>
      </c>
      <c r="E53" s="238">
        <f t="shared" si="53"/>
        <v>28</v>
      </c>
      <c r="F53" s="238">
        <f t="shared" si="53"/>
        <v>2</v>
      </c>
      <c r="G53" s="238">
        <f t="shared" si="53"/>
        <v>15921</v>
      </c>
      <c r="H53" s="238">
        <f t="shared" si="53"/>
        <v>173</v>
      </c>
      <c r="I53" s="238">
        <f t="shared" si="53"/>
        <v>507</v>
      </c>
      <c r="J53" s="238">
        <f t="shared" si="53"/>
        <v>1</v>
      </c>
      <c r="K53" s="238">
        <f t="shared" si="53"/>
        <v>1</v>
      </c>
      <c r="L53" s="238">
        <f t="shared" si="53"/>
        <v>4</v>
      </c>
      <c r="M53" s="238">
        <f t="shared" si="53"/>
        <v>2</v>
      </c>
      <c r="N53" s="25">
        <f t="shared" si="42"/>
        <v>80726</v>
      </c>
      <c r="P53" s="39">
        <f t="shared" si="43"/>
        <v>1</v>
      </c>
      <c r="Q53" s="39">
        <f t="shared" si="43"/>
        <v>4</v>
      </c>
      <c r="U53" s="55">
        <f t="shared" si="44"/>
        <v>64130</v>
      </c>
    </row>
    <row r="54" spans="1:22" x14ac:dyDescent="0.2">
      <c r="A54" s="4">
        <v>2017</v>
      </c>
      <c r="B54" s="238">
        <f t="shared" ref="B54:M54" si="54">B67+B80</f>
        <v>57554</v>
      </c>
      <c r="C54" s="238">
        <f t="shared" si="54"/>
        <v>6298</v>
      </c>
      <c r="D54" s="238">
        <f t="shared" si="54"/>
        <v>791</v>
      </c>
      <c r="E54" s="238">
        <f t="shared" si="54"/>
        <v>28</v>
      </c>
      <c r="F54" s="238">
        <f t="shared" si="54"/>
        <v>2</v>
      </c>
      <c r="G54" s="238">
        <f t="shared" si="54"/>
        <v>16127.000000000002</v>
      </c>
      <c r="H54" s="238">
        <f t="shared" si="54"/>
        <v>163</v>
      </c>
      <c r="I54" s="238">
        <f t="shared" si="54"/>
        <v>491</v>
      </c>
      <c r="J54" s="238">
        <f t="shared" si="54"/>
        <v>1</v>
      </c>
      <c r="K54" s="238">
        <f t="shared" si="54"/>
        <v>1</v>
      </c>
      <c r="L54" s="238">
        <f t="shared" si="54"/>
        <v>4</v>
      </c>
      <c r="M54" s="238">
        <f t="shared" si="54"/>
        <v>2</v>
      </c>
      <c r="N54" s="25">
        <f t="shared" si="42"/>
        <v>81462</v>
      </c>
      <c r="P54" s="39">
        <f t="shared" si="43"/>
        <v>1</v>
      </c>
      <c r="Q54" s="39">
        <f t="shared" si="43"/>
        <v>4</v>
      </c>
      <c r="U54" s="55">
        <f t="shared" si="44"/>
        <v>64686</v>
      </c>
      <c r="V54">
        <f>U54/U44</f>
        <v>1.1229038641808144</v>
      </c>
    </row>
    <row r="55" spans="1:22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2" x14ac:dyDescent="0.2">
      <c r="A56" s="4" t="s">
        <v>171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22" x14ac:dyDescent="0.2">
      <c r="A57" s="4">
        <v>2007</v>
      </c>
      <c r="B57" s="39">
        <v>43304</v>
      </c>
      <c r="C57" s="39">
        <v>4398</v>
      </c>
      <c r="D57" s="39">
        <v>682</v>
      </c>
      <c r="E57" s="39">
        <v>28</v>
      </c>
      <c r="F57" s="39">
        <v>2</v>
      </c>
      <c r="G57" s="39">
        <v>12338</v>
      </c>
      <c r="I57" s="39">
        <v>456</v>
      </c>
      <c r="K57"/>
      <c r="L57"/>
      <c r="M57" s="39">
        <v>2</v>
      </c>
      <c r="P57" s="39">
        <v>1</v>
      </c>
      <c r="Q57" s="39">
        <v>4</v>
      </c>
    </row>
    <row r="58" spans="1:22" x14ac:dyDescent="0.2">
      <c r="A58" s="4">
        <v>2008</v>
      </c>
      <c r="B58" s="39">
        <v>43558</v>
      </c>
      <c r="C58" s="39">
        <v>4500</v>
      </c>
      <c r="D58" s="39">
        <v>677</v>
      </c>
      <c r="E58" s="39">
        <v>28</v>
      </c>
      <c r="F58" s="39">
        <v>2</v>
      </c>
      <c r="G58" s="39">
        <v>12393</v>
      </c>
      <c r="I58" s="39">
        <v>458</v>
      </c>
      <c r="K58"/>
      <c r="L58"/>
      <c r="M58" s="39">
        <v>2</v>
      </c>
      <c r="P58" s="39">
        <v>1</v>
      </c>
      <c r="Q58" s="39">
        <v>4</v>
      </c>
    </row>
    <row r="59" spans="1:22" x14ac:dyDescent="0.2">
      <c r="A59" s="4">
        <v>2009</v>
      </c>
      <c r="B59" s="72">
        <v>44315</v>
      </c>
      <c r="C59" s="72">
        <f>3524+1057</f>
        <v>4581</v>
      </c>
      <c r="D59" s="72">
        <f>250+168+291</f>
        <v>709</v>
      </c>
      <c r="E59" s="72">
        <v>25</v>
      </c>
      <c r="F59" s="72">
        <v>2</v>
      </c>
      <c r="G59" s="73">
        <v>12526</v>
      </c>
      <c r="I59" s="72">
        <v>538</v>
      </c>
      <c r="K59"/>
      <c r="L59"/>
      <c r="M59" s="39">
        <v>2</v>
      </c>
      <c r="P59" s="39">
        <v>1</v>
      </c>
      <c r="Q59" s="39">
        <v>4</v>
      </c>
    </row>
    <row r="60" spans="1:22" x14ac:dyDescent="0.2">
      <c r="A60" s="4">
        <v>2010</v>
      </c>
      <c r="B60" s="73">
        <v>45526</v>
      </c>
      <c r="C60" s="73">
        <v>4627</v>
      </c>
      <c r="D60" s="73">
        <v>707</v>
      </c>
      <c r="E60" s="73">
        <v>27</v>
      </c>
      <c r="F60" s="73">
        <v>2</v>
      </c>
      <c r="G60" s="73">
        <v>12591</v>
      </c>
      <c r="I60" s="73">
        <v>537</v>
      </c>
      <c r="K60"/>
      <c r="L60"/>
      <c r="M60" s="39">
        <v>2</v>
      </c>
      <c r="P60" s="39">
        <v>1</v>
      </c>
      <c r="Q60" s="39">
        <v>4</v>
      </c>
    </row>
    <row r="61" spans="1:22" x14ac:dyDescent="0.2">
      <c r="A61" s="4">
        <v>2011</v>
      </c>
      <c r="B61" s="69">
        <v>46035</v>
      </c>
      <c r="C61" s="69">
        <v>4632</v>
      </c>
      <c r="D61" s="69">
        <v>740</v>
      </c>
      <c r="E61" s="69">
        <v>29</v>
      </c>
      <c r="F61" s="69">
        <v>2</v>
      </c>
      <c r="G61" s="69">
        <v>12656</v>
      </c>
      <c r="I61" s="69">
        <v>492</v>
      </c>
      <c r="K61"/>
      <c r="L61"/>
      <c r="M61" s="39">
        <v>2</v>
      </c>
      <c r="P61" s="39">
        <v>1</v>
      </c>
      <c r="Q61" s="39">
        <v>4</v>
      </c>
    </row>
    <row r="62" spans="1:22" x14ac:dyDescent="0.2">
      <c r="A62" s="4">
        <v>2012</v>
      </c>
      <c r="B62" s="69">
        <v>46532</v>
      </c>
      <c r="C62" s="69">
        <v>4690</v>
      </c>
      <c r="D62" s="69">
        <v>733</v>
      </c>
      <c r="E62" s="69">
        <v>25</v>
      </c>
      <c r="F62" s="69">
        <v>2</v>
      </c>
      <c r="G62" s="69">
        <v>12788</v>
      </c>
      <c r="I62" s="69">
        <v>489</v>
      </c>
      <c r="K62"/>
      <c r="L62"/>
      <c r="M62" s="39">
        <v>2</v>
      </c>
      <c r="P62" s="39">
        <v>1</v>
      </c>
      <c r="Q62" s="39">
        <v>4</v>
      </c>
    </row>
    <row r="63" spans="1:22" x14ac:dyDescent="0.2">
      <c r="A63" s="4">
        <v>2013</v>
      </c>
      <c r="B63" s="69">
        <v>46744</v>
      </c>
      <c r="C63" s="69">
        <v>4702</v>
      </c>
      <c r="D63" s="69">
        <v>739</v>
      </c>
      <c r="E63" s="69">
        <v>24</v>
      </c>
      <c r="F63" s="69">
        <v>3</v>
      </c>
      <c r="G63" s="69">
        <v>12838.147570544375</v>
      </c>
      <c r="I63" s="69">
        <v>484</v>
      </c>
      <c r="K63"/>
      <c r="M63" s="39">
        <v>2</v>
      </c>
      <c r="P63" s="39">
        <v>1</v>
      </c>
      <c r="Q63" s="39">
        <v>4</v>
      </c>
    </row>
    <row r="64" spans="1:22" x14ac:dyDescent="0.2">
      <c r="A64" s="4">
        <v>2014</v>
      </c>
      <c r="B64" s="69">
        <v>47143</v>
      </c>
      <c r="C64" s="69">
        <v>4816</v>
      </c>
      <c r="D64" s="69">
        <v>699</v>
      </c>
      <c r="E64" s="69">
        <v>24</v>
      </c>
      <c r="F64" s="69">
        <v>2</v>
      </c>
      <c r="G64" s="69">
        <v>12906</v>
      </c>
      <c r="I64" s="69">
        <v>480</v>
      </c>
      <c r="K64"/>
      <c r="M64" s="39">
        <v>2</v>
      </c>
      <c r="P64" s="39">
        <v>1</v>
      </c>
      <c r="Q64" s="39">
        <v>4</v>
      </c>
    </row>
    <row r="65" spans="1:21" x14ac:dyDescent="0.2">
      <c r="A65" s="4">
        <v>2015</v>
      </c>
      <c r="B65" s="69">
        <v>47501</v>
      </c>
      <c r="C65" s="69">
        <v>4887</v>
      </c>
      <c r="D65" s="69">
        <v>692.87352171165492</v>
      </c>
      <c r="E65" s="69">
        <v>23</v>
      </c>
      <c r="F65" s="69">
        <v>2</v>
      </c>
      <c r="G65" s="69">
        <v>12891</v>
      </c>
      <c r="I65" s="69">
        <v>489.99999999999994</v>
      </c>
      <c r="K65"/>
      <c r="M65" s="39">
        <v>2</v>
      </c>
      <c r="P65" s="39">
        <v>1</v>
      </c>
      <c r="Q65" s="39">
        <v>4</v>
      </c>
    </row>
    <row r="66" spans="1:21" x14ac:dyDescent="0.2">
      <c r="A66" s="4">
        <v>2016</v>
      </c>
      <c r="B66" s="69">
        <v>48158</v>
      </c>
      <c r="C66" s="69">
        <v>4955</v>
      </c>
      <c r="D66" s="69">
        <v>693</v>
      </c>
      <c r="E66" s="69">
        <v>22</v>
      </c>
      <c r="F66" s="69">
        <v>2</v>
      </c>
      <c r="G66" s="69">
        <v>12994</v>
      </c>
      <c r="I66" s="69">
        <v>460</v>
      </c>
      <c r="K66"/>
      <c r="M66" s="39">
        <v>2</v>
      </c>
      <c r="P66" s="39">
        <v>1</v>
      </c>
      <c r="Q66" s="39">
        <v>4</v>
      </c>
    </row>
    <row r="67" spans="1:21" x14ac:dyDescent="0.2">
      <c r="A67" s="4">
        <v>2017</v>
      </c>
      <c r="B67" s="69">
        <v>48594</v>
      </c>
      <c r="C67" s="69">
        <v>4962</v>
      </c>
      <c r="D67" s="69">
        <v>684</v>
      </c>
      <c r="E67" s="69">
        <v>22</v>
      </c>
      <c r="F67" s="69">
        <v>2</v>
      </c>
      <c r="G67" s="69">
        <v>13195.000000000002</v>
      </c>
      <c r="I67" s="69">
        <v>444</v>
      </c>
      <c r="K67"/>
      <c r="M67" s="39">
        <v>2</v>
      </c>
      <c r="P67" s="39">
        <v>1</v>
      </c>
      <c r="Q67" s="39">
        <v>4</v>
      </c>
    </row>
    <row r="68" spans="1:2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 s="4" t="s">
        <v>172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">
      <c r="A70" s="4">
        <v>2007</v>
      </c>
      <c r="B70" s="223">
        <v>7870</v>
      </c>
      <c r="C70" s="223">
        <v>1201</v>
      </c>
      <c r="D70" s="223">
        <v>103</v>
      </c>
      <c r="E70" s="223">
        <v>5</v>
      </c>
      <c r="F70" s="69"/>
      <c r="G70" s="223">
        <v>2640</v>
      </c>
      <c r="H70" s="223">
        <v>140</v>
      </c>
      <c r="I70" s="223">
        <v>56</v>
      </c>
      <c r="J70" s="223">
        <v>1</v>
      </c>
      <c r="K70" s="223">
        <v>1</v>
      </c>
      <c r="L70" s="223">
        <v>4</v>
      </c>
      <c r="M70"/>
      <c r="N70"/>
      <c r="O70"/>
      <c r="P70"/>
      <c r="Q70"/>
      <c r="R70"/>
      <c r="S70"/>
      <c r="T70"/>
      <c r="U70"/>
    </row>
    <row r="71" spans="1:21" x14ac:dyDescent="0.2">
      <c r="A71" s="4">
        <v>2008</v>
      </c>
      <c r="B71" s="223">
        <v>7970</v>
      </c>
      <c r="C71" s="223">
        <v>1204</v>
      </c>
      <c r="D71" s="223">
        <v>91</v>
      </c>
      <c r="E71" s="223">
        <v>5</v>
      </c>
      <c r="F71" s="69"/>
      <c r="G71" s="223">
        <v>2640</v>
      </c>
      <c r="H71" s="223">
        <v>137</v>
      </c>
      <c r="I71" s="223">
        <v>53</v>
      </c>
      <c r="J71" s="223">
        <v>1</v>
      </c>
      <c r="K71" s="223">
        <v>1</v>
      </c>
      <c r="L71" s="223">
        <v>4</v>
      </c>
      <c r="M71"/>
      <c r="N71"/>
      <c r="O71"/>
      <c r="P71"/>
      <c r="Q71"/>
      <c r="R71"/>
      <c r="S71"/>
      <c r="T71"/>
      <c r="U71"/>
    </row>
    <row r="72" spans="1:21" x14ac:dyDescent="0.2">
      <c r="A72" s="4">
        <v>2009</v>
      </c>
      <c r="B72" s="224">
        <v>8096</v>
      </c>
      <c r="C72" s="224">
        <v>1293</v>
      </c>
      <c r="D72" s="223">
        <v>94.25</v>
      </c>
      <c r="E72" s="223">
        <v>5</v>
      </c>
      <c r="F72" s="69"/>
      <c r="G72" s="224">
        <v>2640</v>
      </c>
      <c r="H72" s="73">
        <v>221.25</v>
      </c>
      <c r="I72" s="73">
        <v>51.75</v>
      </c>
      <c r="J72" s="223">
        <v>1</v>
      </c>
      <c r="K72" s="223">
        <v>1</v>
      </c>
      <c r="L72" s="223">
        <v>4</v>
      </c>
      <c r="M72"/>
      <c r="N72"/>
      <c r="O72"/>
      <c r="P72"/>
      <c r="Q72"/>
      <c r="R72"/>
      <c r="S72"/>
      <c r="T72"/>
      <c r="U72"/>
    </row>
    <row r="73" spans="1:21" x14ac:dyDescent="0.2">
      <c r="A73" s="4">
        <v>2010</v>
      </c>
      <c r="B73" s="73">
        <v>8170.6500000000005</v>
      </c>
      <c r="C73" s="73">
        <v>1285.73</v>
      </c>
      <c r="D73" s="73">
        <v>94.933300000000003</v>
      </c>
      <c r="E73" s="223">
        <v>5</v>
      </c>
      <c r="F73" s="69"/>
      <c r="G73" s="73">
        <v>2640</v>
      </c>
      <c r="H73" s="73">
        <v>217.13</v>
      </c>
      <c r="I73" s="73">
        <v>51</v>
      </c>
      <c r="J73" s="223">
        <v>1</v>
      </c>
      <c r="K73" s="223">
        <v>1</v>
      </c>
      <c r="L73" s="223">
        <v>4</v>
      </c>
      <c r="M73"/>
      <c r="N73"/>
      <c r="O73"/>
      <c r="P73"/>
      <c r="Q73"/>
      <c r="R73"/>
      <c r="S73"/>
      <c r="T73"/>
      <c r="U73"/>
    </row>
    <row r="74" spans="1:21" x14ac:dyDescent="0.2">
      <c r="A74" s="4">
        <v>2011</v>
      </c>
      <c r="B74" s="69">
        <v>8306.5430962343107</v>
      </c>
      <c r="C74" s="69">
        <v>1319.82866933181</v>
      </c>
      <c r="D74" s="69">
        <v>102.96666666666667</v>
      </c>
      <c r="E74" s="69">
        <v>5</v>
      </c>
      <c r="F74" s="69"/>
      <c r="G74" s="69">
        <v>2640</v>
      </c>
      <c r="H74" s="69">
        <v>161.11111111111106</v>
      </c>
      <c r="I74" s="69">
        <v>49.9</v>
      </c>
      <c r="J74" s="69">
        <v>1</v>
      </c>
      <c r="K74" s="69">
        <v>1</v>
      </c>
      <c r="L74" s="223">
        <v>4</v>
      </c>
      <c r="M74"/>
      <c r="N74"/>
      <c r="O74"/>
      <c r="P74"/>
      <c r="Q74"/>
      <c r="R74"/>
      <c r="S74"/>
      <c r="T74"/>
      <c r="U74"/>
    </row>
    <row r="75" spans="1:21" x14ac:dyDescent="0.2">
      <c r="A75" s="4">
        <v>2012</v>
      </c>
      <c r="B75" s="69">
        <v>8393</v>
      </c>
      <c r="C75" s="69">
        <v>1319</v>
      </c>
      <c r="D75" s="69">
        <v>102</v>
      </c>
      <c r="E75" s="69">
        <v>5</v>
      </c>
      <c r="F75" s="69"/>
      <c r="G75" s="69">
        <v>2640</v>
      </c>
      <c r="H75" s="69">
        <v>192.68301350390902</v>
      </c>
      <c r="I75" s="69">
        <v>46</v>
      </c>
      <c r="J75" s="69">
        <v>1</v>
      </c>
      <c r="K75" s="69">
        <v>1</v>
      </c>
      <c r="L75" s="223">
        <v>4</v>
      </c>
      <c r="M75"/>
      <c r="N75"/>
      <c r="O75"/>
      <c r="P75"/>
      <c r="Q75"/>
      <c r="R75"/>
      <c r="S75"/>
      <c r="T75"/>
      <c r="U75"/>
    </row>
    <row r="76" spans="1:21" x14ac:dyDescent="0.2">
      <c r="A76" s="4">
        <v>2013</v>
      </c>
      <c r="B76" s="69">
        <v>8470.5333333333347</v>
      </c>
      <c r="C76" s="69">
        <v>1297.767035527082</v>
      </c>
      <c r="D76" s="69">
        <v>106.0005212677231</v>
      </c>
      <c r="E76" s="69">
        <v>5</v>
      </c>
      <c r="F76" s="69"/>
      <c r="G76" s="69">
        <v>2640</v>
      </c>
      <c r="H76" s="69">
        <v>188.52144041696278</v>
      </c>
      <c r="I76" s="69">
        <v>49</v>
      </c>
      <c r="J76" s="69">
        <v>1</v>
      </c>
      <c r="K76" s="69">
        <v>1</v>
      </c>
      <c r="L76" s="223">
        <v>4</v>
      </c>
      <c r="M76"/>
      <c r="N76"/>
      <c r="O76"/>
      <c r="P76"/>
      <c r="Q76"/>
      <c r="R76"/>
      <c r="S76"/>
      <c r="T76"/>
      <c r="U76"/>
    </row>
    <row r="77" spans="1:21" x14ac:dyDescent="0.2">
      <c r="A77" s="4">
        <v>2014</v>
      </c>
      <c r="B77" s="69">
        <v>8568.5333333333347</v>
      </c>
      <c r="C77" s="69">
        <v>1297.767035527082</v>
      </c>
      <c r="D77" s="69">
        <v>106.0005212677231</v>
      </c>
      <c r="E77" s="69">
        <v>5</v>
      </c>
      <c r="F77" s="69"/>
      <c r="G77" s="69">
        <v>2640</v>
      </c>
      <c r="H77" s="69">
        <v>188.52144041696278</v>
      </c>
      <c r="I77" s="69">
        <v>49</v>
      </c>
      <c r="J77" s="69">
        <v>1</v>
      </c>
      <c r="K77" s="69">
        <v>1</v>
      </c>
      <c r="L77" s="223">
        <v>4</v>
      </c>
      <c r="M77"/>
      <c r="N77"/>
      <c r="O77"/>
      <c r="P77"/>
      <c r="Q77"/>
      <c r="R77"/>
      <c r="S77"/>
      <c r="T77"/>
      <c r="U77"/>
    </row>
    <row r="78" spans="1:21" x14ac:dyDescent="0.2">
      <c r="A78" s="4">
        <v>2015</v>
      </c>
      <c r="B78" s="69">
        <v>8631.1426024955435</v>
      </c>
      <c r="C78" s="69">
        <v>1297.4326036866362</v>
      </c>
      <c r="D78" s="69">
        <v>118.00010311404412</v>
      </c>
      <c r="E78" s="69">
        <v>6</v>
      </c>
      <c r="F78" s="69"/>
      <c r="G78" s="69">
        <v>2640</v>
      </c>
      <c r="H78" s="69">
        <v>189.04264392324095</v>
      </c>
      <c r="I78" s="69">
        <v>49</v>
      </c>
      <c r="J78" s="69">
        <v>1</v>
      </c>
      <c r="K78" s="69">
        <v>1</v>
      </c>
      <c r="L78" s="223">
        <v>4</v>
      </c>
      <c r="M78"/>
      <c r="N78"/>
      <c r="O78"/>
      <c r="P78"/>
      <c r="Q78"/>
      <c r="R78"/>
      <c r="S78"/>
      <c r="T78"/>
      <c r="U78"/>
    </row>
    <row r="79" spans="1:21" x14ac:dyDescent="0.2">
      <c r="A79" s="4">
        <v>2016</v>
      </c>
      <c r="B79" s="69">
        <v>8831</v>
      </c>
      <c r="C79" s="69">
        <v>1342</v>
      </c>
      <c r="D79" s="69">
        <v>108</v>
      </c>
      <c r="E79" s="69">
        <v>6</v>
      </c>
      <c r="F79" s="69"/>
      <c r="G79" s="69">
        <v>2927</v>
      </c>
      <c r="H79" s="69">
        <v>173</v>
      </c>
      <c r="I79" s="69">
        <v>47</v>
      </c>
      <c r="J79" s="69">
        <v>1</v>
      </c>
      <c r="K79" s="69">
        <v>1</v>
      </c>
      <c r="L79" s="223">
        <v>4</v>
      </c>
      <c r="M79"/>
      <c r="N79"/>
      <c r="O79"/>
      <c r="P79"/>
      <c r="Q79"/>
      <c r="R79"/>
      <c r="S79"/>
      <c r="T79"/>
      <c r="U79"/>
    </row>
    <row r="80" spans="1:21" x14ac:dyDescent="0.2">
      <c r="A80" s="4">
        <v>2017</v>
      </c>
      <c r="B80" s="69">
        <v>8960</v>
      </c>
      <c r="C80" s="69">
        <v>1336</v>
      </c>
      <c r="D80" s="69">
        <v>107</v>
      </c>
      <c r="E80" s="69">
        <v>6</v>
      </c>
      <c r="F80" s="69"/>
      <c r="G80" s="69">
        <v>2932</v>
      </c>
      <c r="H80" s="69">
        <v>163</v>
      </c>
      <c r="I80" s="69">
        <v>47</v>
      </c>
      <c r="J80" s="69">
        <v>1</v>
      </c>
      <c r="K80" s="69">
        <v>1</v>
      </c>
      <c r="L80" s="223">
        <v>4</v>
      </c>
      <c r="M80"/>
      <c r="N80"/>
      <c r="O80"/>
      <c r="P80"/>
      <c r="Q80"/>
      <c r="R80"/>
      <c r="S80"/>
      <c r="T80"/>
      <c r="U80"/>
    </row>
    <row r="81" spans="2:2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</sheetData>
  <phoneticPr fontId="0" type="noConversion"/>
  <pageMargins left="0.38" right="0.75" top="0.73" bottom="0.74" header="0.5" footer="0.5"/>
  <pageSetup scale="40" orientation="landscape" r:id="rId1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72"/>
  <sheetViews>
    <sheetView workbookViewId="0">
      <selection activeCell="D11" sqref="D11"/>
    </sheetView>
  </sheetViews>
  <sheetFormatPr defaultRowHeight="12.75" x14ac:dyDescent="0.2"/>
  <cols>
    <col min="1" max="1" width="11" customWidth="1"/>
    <col min="2" max="2" width="14.140625" style="6" bestFit="1" customWidth="1"/>
    <col min="3" max="3" width="17.7109375" style="6" customWidth="1"/>
    <col min="4" max="6" width="12.5703125" style="6" customWidth="1"/>
    <col min="7" max="7" width="13.7109375" customWidth="1"/>
    <col min="8" max="8" width="13.28515625" customWidth="1"/>
    <col min="9" max="9" width="13" customWidth="1"/>
    <col min="10" max="10" width="13.28515625" customWidth="1"/>
    <col min="11" max="11" width="12.7109375" style="6" bestFit="1" customWidth="1"/>
    <col min="13" max="13" width="12.28515625" style="6" bestFit="1" customWidth="1"/>
    <col min="14" max="14" width="13.28515625" style="6" bestFit="1" customWidth="1"/>
    <col min="15" max="16" width="9.140625" style="6" customWidth="1"/>
  </cols>
  <sheetData>
    <row r="1" spans="1:14" ht="63.75" x14ac:dyDescent="0.2">
      <c r="B1" s="8" t="str">
        <f>'Rate Class Customer Model'!D2</f>
        <v>General Service &gt; 50 to 999 kW</v>
      </c>
      <c r="C1" s="8" t="str">
        <f>'Rate Class Customer Model'!E2</f>
        <v>General Service &gt; 1000 to 4999 kW</v>
      </c>
      <c r="D1" s="8" t="str">
        <f>'Rate Class Customer Model'!F2</f>
        <v>Large User</v>
      </c>
      <c r="E1" s="8" t="str">
        <f>'Rate Class Customer Model'!G2</f>
        <v>Street Lights</v>
      </c>
      <c r="F1" s="8" t="str">
        <f>'Rate Class Customer Model'!H2</f>
        <v>Sentinel Lights</v>
      </c>
      <c r="G1" s="8" t="str">
        <f>'Rate Class Customer Model'!J2</f>
        <v>Embedded Distributors -BPI - BCP</v>
      </c>
      <c r="H1" s="8" t="str">
        <f>'Rate Class Customer Model'!K2</f>
        <v>Embedded Distributors - Hydro One #1, BCP</v>
      </c>
      <c r="I1" s="8" t="str">
        <f>'Rate Class Customer Model'!L2</f>
        <v>Embedded Distributors - Hydro One #2, BCP</v>
      </c>
      <c r="J1" s="230" t="s">
        <v>208</v>
      </c>
      <c r="K1" s="6" t="s">
        <v>12</v>
      </c>
      <c r="M1" s="8"/>
      <c r="N1" s="8" t="str">
        <f>'Rate Class Customer Model'!Q2</f>
        <v>Direct Market Participant</v>
      </c>
    </row>
    <row r="2" spans="1:14" x14ac:dyDescent="0.2">
      <c r="A2" s="28">
        <v>2010</v>
      </c>
      <c r="B2" s="229">
        <f t="shared" ref="B2:B9" si="0">B14+B24</f>
        <v>1535991.72820355</v>
      </c>
      <c r="C2" s="229">
        <f t="shared" ref="C2:J2" si="1">C14+C24</f>
        <v>646503.53520000004</v>
      </c>
      <c r="D2" s="229">
        <f t="shared" si="1"/>
        <v>421436.3223</v>
      </c>
      <c r="E2" s="229">
        <f t="shared" si="1"/>
        <v>31414.760000000002</v>
      </c>
      <c r="F2" s="229">
        <f t="shared" si="1"/>
        <v>486.90111111111116</v>
      </c>
      <c r="G2" s="229">
        <f t="shared" si="1"/>
        <v>10.28</v>
      </c>
      <c r="H2" s="229">
        <f t="shared" si="1"/>
        <v>29199.89</v>
      </c>
      <c r="I2" s="229">
        <f>'Rate Class Energy Model'!R30*'Rate Class Load Model'!H35</f>
        <v>109926.40127449173</v>
      </c>
      <c r="J2" s="229">
        <f t="shared" si="1"/>
        <v>101371.27183867899</v>
      </c>
      <c r="K2" s="6">
        <f>SUM(B2:J2)</f>
        <v>2876341.0899278312</v>
      </c>
      <c r="N2" s="6">
        <f>N14</f>
        <v>75928.2</v>
      </c>
    </row>
    <row r="3" spans="1:14" x14ac:dyDescent="0.2">
      <c r="A3" s="28">
        <v>2011</v>
      </c>
      <c r="B3" s="229">
        <f t="shared" si="0"/>
        <v>1559457.9765679198</v>
      </c>
      <c r="C3" s="229">
        <f t="shared" ref="C3:J3" si="2">C15+C25</f>
        <v>659131.46674197295</v>
      </c>
      <c r="D3" s="229">
        <f t="shared" si="2"/>
        <v>431698.8584427</v>
      </c>
      <c r="E3" s="229">
        <f t="shared" si="2"/>
        <v>31402.7772498757</v>
      </c>
      <c r="F3" s="229">
        <f t="shared" si="2"/>
        <v>228.22855967333334</v>
      </c>
      <c r="G3" s="229">
        <f t="shared" si="2"/>
        <v>44.33</v>
      </c>
      <c r="H3" s="229">
        <f t="shared" si="2"/>
        <v>31127.55</v>
      </c>
      <c r="I3" s="229">
        <f>'Rate Class Energy Model'!R31*'Rate Class Load Model'!H36</f>
        <v>117160.63801515776</v>
      </c>
      <c r="J3" s="229">
        <f t="shared" si="2"/>
        <v>107151.213530009</v>
      </c>
      <c r="K3" s="6">
        <f t="shared" ref="K3:K11" si="3">SUM(B3:J3)</f>
        <v>2937403.0391073083</v>
      </c>
      <c r="N3" s="6">
        <f t="shared" ref="N3:N9" si="4">N15</f>
        <v>81847.960000000006</v>
      </c>
    </row>
    <row r="4" spans="1:14" x14ac:dyDescent="0.2">
      <c r="A4" s="28">
        <v>2012</v>
      </c>
      <c r="B4" s="229">
        <f t="shared" si="0"/>
        <v>1578630.36979942</v>
      </c>
      <c r="C4" s="229">
        <f t="shared" ref="C4:J4" si="5">C16+C26</f>
        <v>606301.92947526893</v>
      </c>
      <c r="D4" s="229">
        <f t="shared" si="5"/>
        <v>483777.43670654303</v>
      </c>
      <c r="E4" s="229">
        <f t="shared" si="5"/>
        <v>31676.619901697199</v>
      </c>
      <c r="F4" s="229">
        <f t="shared" si="5"/>
        <v>311.12235571111108</v>
      </c>
      <c r="G4" s="229">
        <f t="shared" si="5"/>
        <v>87.52000000000001</v>
      </c>
      <c r="H4" s="229">
        <f t="shared" si="5"/>
        <v>24429.269999999997</v>
      </c>
      <c r="I4" s="229">
        <f>'Rate Class Energy Model'!R32*'Rate Class Load Model'!H37</f>
        <v>129577.45874038131</v>
      </c>
      <c r="J4" s="229">
        <f t="shared" si="5"/>
        <v>100035.046333313</v>
      </c>
      <c r="K4" s="6">
        <f t="shared" si="3"/>
        <v>2954826.7733123349</v>
      </c>
      <c r="M4" s="79"/>
      <c r="N4" s="6">
        <f t="shared" si="4"/>
        <v>81650.759999999995</v>
      </c>
    </row>
    <row r="5" spans="1:14" x14ac:dyDescent="0.2">
      <c r="A5" s="28">
        <v>2013</v>
      </c>
      <c r="B5" s="229">
        <f t="shared" si="0"/>
        <v>1568192.8160256497</v>
      </c>
      <c r="C5" s="229">
        <f t="shared" ref="C5:J5" si="6">C17+C27</f>
        <v>586434.7699999999</v>
      </c>
      <c r="D5" s="229">
        <f t="shared" si="6"/>
        <v>425911.83</v>
      </c>
      <c r="E5" s="229">
        <f t="shared" si="6"/>
        <v>31771.761757714674</v>
      </c>
      <c r="F5" s="229">
        <f t="shared" si="6"/>
        <v>306.93329242222217</v>
      </c>
      <c r="G5" s="229">
        <f t="shared" si="6"/>
        <v>31.049999999999997</v>
      </c>
      <c r="H5" s="229">
        <f t="shared" si="6"/>
        <v>31865.139999999996</v>
      </c>
      <c r="I5" s="229">
        <f>'Rate Class Energy Model'!R33*'Rate Class Load Model'!H38</f>
        <v>119620.77246283546</v>
      </c>
      <c r="J5" s="229">
        <f t="shared" si="6"/>
        <v>119938.29999999999</v>
      </c>
      <c r="K5" s="6">
        <f t="shared" si="3"/>
        <v>2884073.3735386222</v>
      </c>
      <c r="M5" s="79"/>
      <c r="N5" s="6">
        <f t="shared" si="4"/>
        <v>73573.420000000013</v>
      </c>
    </row>
    <row r="6" spans="1:14" x14ac:dyDescent="0.2">
      <c r="A6" s="28">
        <v>2014</v>
      </c>
      <c r="B6" s="229">
        <f t="shared" si="0"/>
        <v>1605303.1854654762</v>
      </c>
      <c r="C6" s="229">
        <f t="shared" ref="C6:J6" si="7">C18+C28</f>
        <v>581849.28</v>
      </c>
      <c r="D6" s="229">
        <f t="shared" si="7"/>
        <v>457866.89653992082</v>
      </c>
      <c r="E6" s="229">
        <f t="shared" si="7"/>
        <v>31886.136091179094</v>
      </c>
      <c r="F6" s="229">
        <f t="shared" si="7"/>
        <v>292.76845053333329</v>
      </c>
      <c r="G6" s="229">
        <f t="shared" si="7"/>
        <v>94.67</v>
      </c>
      <c r="H6" s="229">
        <f t="shared" si="7"/>
        <v>31822.170000000002</v>
      </c>
      <c r="I6" s="229">
        <f>'Rate Class Energy Model'!R34*'Rate Class Load Model'!H39</f>
        <v>126064.88355692466</v>
      </c>
      <c r="J6" s="229">
        <f t="shared" si="7"/>
        <v>135496.47</v>
      </c>
      <c r="K6" s="6">
        <f t="shared" si="3"/>
        <v>2970676.4601040347</v>
      </c>
      <c r="M6" s="79"/>
      <c r="N6" s="6">
        <f t="shared" si="4"/>
        <v>69660.58</v>
      </c>
    </row>
    <row r="7" spans="1:14" x14ac:dyDescent="0.2">
      <c r="A7" s="28">
        <v>2015</v>
      </c>
      <c r="B7" s="229">
        <f t="shared" si="0"/>
        <v>1555819.3298522707</v>
      </c>
      <c r="C7" s="229">
        <f t="shared" ref="C7:J7" si="8">C19+C29</f>
        <v>581152.97</v>
      </c>
      <c r="D7" s="229">
        <f t="shared" si="8"/>
        <v>430086.51000000007</v>
      </c>
      <c r="E7" s="229">
        <f t="shared" si="8"/>
        <v>31872.978670269313</v>
      </c>
      <c r="F7" s="229">
        <f t="shared" si="8"/>
        <v>288.48305517777777</v>
      </c>
      <c r="G7" s="229">
        <f t="shared" si="8"/>
        <v>95.46</v>
      </c>
      <c r="H7" s="229">
        <f t="shared" si="8"/>
        <v>30826.699999999997</v>
      </c>
      <c r="I7" s="229">
        <f>'Rate Class Energy Model'!R35*'Rate Class Load Model'!H40</f>
        <v>139060.14729191593</v>
      </c>
      <c r="J7" s="229">
        <f t="shared" si="8"/>
        <v>137772.01</v>
      </c>
      <c r="K7" s="6">
        <f t="shared" si="3"/>
        <v>2906974.5888696341</v>
      </c>
      <c r="M7" s="79"/>
      <c r="N7" s="6">
        <f t="shared" si="4"/>
        <v>69115.460000000006</v>
      </c>
    </row>
    <row r="8" spans="1:14" x14ac:dyDescent="0.2">
      <c r="A8" s="28">
        <v>2016</v>
      </c>
      <c r="B8" s="229">
        <f t="shared" si="0"/>
        <v>1564560.6600000001</v>
      </c>
      <c r="C8" s="229">
        <f t="shared" ref="C8:J9" si="9">C20+C30</f>
        <v>631904.10997964221</v>
      </c>
      <c r="D8" s="229">
        <f t="shared" si="9"/>
        <v>358566.19</v>
      </c>
      <c r="E8" s="229">
        <f t="shared" si="9"/>
        <v>31300.14</v>
      </c>
      <c r="F8" s="229">
        <f t="shared" si="9"/>
        <v>416.63902725875835</v>
      </c>
      <c r="G8" s="229">
        <f t="shared" si="9"/>
        <v>1313.24</v>
      </c>
      <c r="H8" s="229">
        <f t="shared" si="9"/>
        <v>29427.999999999996</v>
      </c>
      <c r="I8" s="229">
        <f>'Rate Class Energy Model'!R36*'Rate Class Load Model'!H41</f>
        <v>99936.488133577368</v>
      </c>
      <c r="J8" s="229">
        <f t="shared" si="9"/>
        <v>148633.62</v>
      </c>
      <c r="K8" s="6">
        <f t="shared" si="3"/>
        <v>2866059.0871404787</v>
      </c>
      <c r="M8" s="79"/>
      <c r="N8" s="6">
        <f t="shared" si="4"/>
        <v>70836.33</v>
      </c>
    </row>
    <row r="9" spans="1:14" x14ac:dyDescent="0.2">
      <c r="A9" s="28">
        <v>2017</v>
      </c>
      <c r="B9" s="229">
        <f t="shared" si="0"/>
        <v>1518753.3299999998</v>
      </c>
      <c r="C9" s="229">
        <f t="shared" si="9"/>
        <v>574484.46259129199</v>
      </c>
      <c r="D9" s="229">
        <f t="shared" si="9"/>
        <v>348189.01999999996</v>
      </c>
      <c r="E9" s="229">
        <f t="shared" si="9"/>
        <v>24144.04</v>
      </c>
      <c r="F9" s="229">
        <f t="shared" si="9"/>
        <v>342.92000000000007</v>
      </c>
      <c r="G9" s="229">
        <f t="shared" si="9"/>
        <v>1074.96</v>
      </c>
      <c r="H9" s="229">
        <f t="shared" si="9"/>
        <v>29010.799999999999</v>
      </c>
      <c r="I9" s="229">
        <f>'Rate Class Energy Model'!R37*'Rate Class Load Model'!H42</f>
        <v>102972.90667387019</v>
      </c>
      <c r="J9" s="229">
        <f t="shared" si="9"/>
        <v>139044.32</v>
      </c>
      <c r="K9" s="6">
        <f t="shared" si="3"/>
        <v>2738016.7592651616</v>
      </c>
      <c r="N9" s="6">
        <f t="shared" si="4"/>
        <v>67941.700000000012</v>
      </c>
    </row>
    <row r="10" spans="1:14" x14ac:dyDescent="0.2">
      <c r="A10" s="28">
        <v>2018</v>
      </c>
      <c r="B10" s="29">
        <f>B44*'Rate Class Energy Model'!J70</f>
        <v>1537442.2798401683</v>
      </c>
      <c r="C10" s="29">
        <f>C44*'Rate Class Energy Model'!K70</f>
        <v>549696.5768787415</v>
      </c>
      <c r="D10" s="29">
        <f>D44*'Rate Class Energy Model'!L70</f>
        <v>331944.32251332153</v>
      </c>
      <c r="E10" s="29">
        <f>E44*'Rate Class Energy Model'!M70</f>
        <v>14844.081169277064</v>
      </c>
      <c r="F10" s="29">
        <f>F44*'Rate Class Energy Model'!N70</f>
        <v>342.92000000000007</v>
      </c>
      <c r="G10" s="29">
        <f>G44*'Rate Class Energy Model'!P70</f>
        <v>1074.96</v>
      </c>
      <c r="H10" s="29">
        <f>$H$44*'Rate Class Energy Model'!S70</f>
        <v>29994.605248481424</v>
      </c>
      <c r="I10" s="29">
        <f>'Rate Class Energy Model'!R70*$I$44</f>
        <v>102972.90667387019</v>
      </c>
      <c r="J10" s="29">
        <f>('Rate Class Energy Model'!S70+'Rate Class Energy Model'!U66)*'Rate Class Load Model'!$J$44</f>
        <v>139044.32</v>
      </c>
      <c r="K10" s="6">
        <f t="shared" si="3"/>
        <v>2707356.9723238596</v>
      </c>
      <c r="N10" s="6">
        <f t="shared" ref="N10:N11" si="10">N9</f>
        <v>67941.700000000012</v>
      </c>
    </row>
    <row r="11" spans="1:14" x14ac:dyDescent="0.2">
      <c r="A11" s="28">
        <v>2019</v>
      </c>
      <c r="B11" s="29">
        <f>B44*'Rate Class Energy Model'!J71</f>
        <v>1538558.4780661359</v>
      </c>
      <c r="C11" s="29">
        <f>C44*'Rate Class Energy Model'!K71</f>
        <v>536325.42448888335</v>
      </c>
      <c r="D11" s="29">
        <f>D44*'Rate Class Energy Model'!L71+30443.08</f>
        <v>361276.31069675618</v>
      </c>
      <c r="E11" s="29">
        <f>E44*'Rate Class Energy Model'!M71</f>
        <v>10945.463296866632</v>
      </c>
      <c r="F11" s="29">
        <f>F44*'Rate Class Energy Model'!N71</f>
        <v>342.92000000000007</v>
      </c>
      <c r="G11" s="29">
        <f>G44*'Rate Class Energy Model'!P71</f>
        <v>1074.96</v>
      </c>
      <c r="H11" s="29">
        <f>$H$44*'Rate Class Energy Model'!S71</f>
        <v>29994.605248481424</v>
      </c>
      <c r="I11" s="29">
        <f>'Rate Class Energy Model'!R71*$I$44</f>
        <v>102972.90667387019</v>
      </c>
      <c r="J11" s="29">
        <f>('Rate Class Energy Model'!S71+'Rate Class Energy Model'!U67)*'Rate Class Load Model'!$J$44</f>
        <v>139044.32</v>
      </c>
      <c r="K11" s="6">
        <f t="shared" si="3"/>
        <v>2720535.3884709929</v>
      </c>
      <c r="N11" s="6">
        <f t="shared" si="10"/>
        <v>67941.700000000012</v>
      </c>
    </row>
    <row r="12" spans="1:14" x14ac:dyDescent="0.2">
      <c r="A12" s="18"/>
    </row>
    <row r="13" spans="1:14" x14ac:dyDescent="0.2">
      <c r="A13" s="18" t="s">
        <v>171</v>
      </c>
    </row>
    <row r="14" spans="1:14" x14ac:dyDescent="0.2">
      <c r="A14" s="28">
        <v>2010</v>
      </c>
      <c r="B14" s="76">
        <v>1294863.05220355</v>
      </c>
      <c r="C14" s="76">
        <v>570059.72519999999</v>
      </c>
      <c r="D14" s="76">
        <v>421436.3223</v>
      </c>
      <c r="E14" s="76">
        <v>26613.74</v>
      </c>
      <c r="J14" s="76">
        <v>101371.27183867899</v>
      </c>
      <c r="N14" s="76">
        <v>75928.2</v>
      </c>
    </row>
    <row r="15" spans="1:14" x14ac:dyDescent="0.2">
      <c r="A15" s="28">
        <v>2011</v>
      </c>
      <c r="B15" s="76">
        <v>1331831.0365679199</v>
      </c>
      <c r="C15" s="76">
        <v>582382.60674197297</v>
      </c>
      <c r="D15" s="76">
        <v>431698.8584427</v>
      </c>
      <c r="E15" s="76">
        <v>26604.0272498757</v>
      </c>
      <c r="J15" s="76">
        <v>107151.213530009</v>
      </c>
      <c r="N15" s="76">
        <v>81847.960000000006</v>
      </c>
    </row>
    <row r="16" spans="1:14" x14ac:dyDescent="0.2">
      <c r="A16" s="28">
        <v>2012</v>
      </c>
      <c r="B16" s="76">
        <v>1350651.40979942</v>
      </c>
      <c r="C16" s="76">
        <v>527946.71947526897</v>
      </c>
      <c r="D16" s="76">
        <v>483777.43670654303</v>
      </c>
      <c r="E16" s="76">
        <v>26876.1599016972</v>
      </c>
      <c r="J16" s="76">
        <v>100035.046333313</v>
      </c>
      <c r="N16" s="76">
        <v>81650.759999999995</v>
      </c>
    </row>
    <row r="17" spans="1:14" x14ac:dyDescent="0.2">
      <c r="A17" s="28">
        <v>2013</v>
      </c>
      <c r="B17" s="76">
        <v>1335995.0860256497</v>
      </c>
      <c r="C17" s="76">
        <v>502672.54999999993</v>
      </c>
      <c r="D17" s="76">
        <v>425911.83</v>
      </c>
      <c r="E17" s="76">
        <v>26970.441757714674</v>
      </c>
      <c r="J17" s="76">
        <v>119938.29999999999</v>
      </c>
      <c r="N17" s="76">
        <v>73573.420000000013</v>
      </c>
    </row>
    <row r="18" spans="1:14" x14ac:dyDescent="0.2">
      <c r="A18" s="28">
        <v>2014</v>
      </c>
      <c r="B18" s="76">
        <v>1364263.1754654762</v>
      </c>
      <c r="C18" s="76">
        <v>498922.62</v>
      </c>
      <c r="D18" s="76">
        <v>457866.89653992082</v>
      </c>
      <c r="E18" s="76">
        <v>27084.816091179095</v>
      </c>
      <c r="J18" s="76">
        <v>135496.47</v>
      </c>
      <c r="N18" s="76">
        <v>69660.58</v>
      </c>
    </row>
    <row r="19" spans="1:14" x14ac:dyDescent="0.2">
      <c r="A19" s="28">
        <v>2015</v>
      </c>
      <c r="B19" s="76">
        <v>1332729.5398522706</v>
      </c>
      <c r="C19" s="76">
        <v>485225.93999999994</v>
      </c>
      <c r="D19" s="76">
        <v>430086.51000000007</v>
      </c>
      <c r="E19" s="76">
        <v>27097.358670269314</v>
      </c>
      <c r="J19" s="76">
        <v>137772.01</v>
      </c>
      <c r="N19" s="76">
        <v>69115.460000000006</v>
      </c>
    </row>
    <row r="20" spans="1:14" x14ac:dyDescent="0.2">
      <c r="A20" s="28">
        <v>2016</v>
      </c>
      <c r="B20" s="76">
        <v>1327240.33</v>
      </c>
      <c r="C20" s="76">
        <v>529211.76</v>
      </c>
      <c r="D20" s="76">
        <v>358566.19</v>
      </c>
      <c r="E20" s="76">
        <v>26888.84</v>
      </c>
      <c r="J20" s="76">
        <v>148633.62</v>
      </c>
      <c r="N20" s="76">
        <v>70836.33</v>
      </c>
    </row>
    <row r="21" spans="1:14" x14ac:dyDescent="0.2">
      <c r="A21" s="28">
        <v>2017</v>
      </c>
      <c r="B21" s="76">
        <v>1295209.3899999999</v>
      </c>
      <c r="C21" s="76">
        <v>466699.17000000004</v>
      </c>
      <c r="D21" s="76">
        <v>348189.01999999996</v>
      </c>
      <c r="E21" s="76">
        <v>21829.670000000002</v>
      </c>
      <c r="J21" s="76">
        <v>139044.32</v>
      </c>
      <c r="N21" s="76">
        <v>67941.700000000012</v>
      </c>
    </row>
    <row r="22" spans="1:14" x14ac:dyDescent="0.2">
      <c r="A22" s="18"/>
    </row>
    <row r="23" spans="1:14" x14ac:dyDescent="0.2">
      <c r="A23" s="18" t="s">
        <v>172</v>
      </c>
    </row>
    <row r="24" spans="1:14" x14ac:dyDescent="0.2">
      <c r="A24" s="28">
        <v>2010</v>
      </c>
      <c r="B24" s="227">
        <v>241128.67600000001</v>
      </c>
      <c r="C24" s="227">
        <v>76443.81</v>
      </c>
      <c r="E24" s="227">
        <v>4801.0200000000004</v>
      </c>
      <c r="F24" s="227">
        <v>486.90111111111116</v>
      </c>
      <c r="G24" s="227">
        <v>10.28</v>
      </c>
      <c r="H24" s="227">
        <v>29199.89</v>
      </c>
      <c r="I24" s="227"/>
    </row>
    <row r="25" spans="1:14" x14ac:dyDescent="0.2">
      <c r="A25" s="28">
        <v>2011</v>
      </c>
      <c r="B25" s="227">
        <v>227626.94</v>
      </c>
      <c r="C25" s="227">
        <v>76748.86</v>
      </c>
      <c r="E25" s="227">
        <v>4798.75</v>
      </c>
      <c r="F25" s="227">
        <v>228.22855967333334</v>
      </c>
      <c r="G25" s="227">
        <v>44.33</v>
      </c>
      <c r="H25" s="227">
        <v>31127.55</v>
      </c>
      <c r="I25" s="227"/>
    </row>
    <row r="26" spans="1:14" x14ac:dyDescent="0.2">
      <c r="A26" s="28">
        <v>2012</v>
      </c>
      <c r="B26" s="227">
        <v>227978.96000000002</v>
      </c>
      <c r="C26" s="227">
        <v>78355.210000000006</v>
      </c>
      <c r="E26" s="227">
        <v>4800.46</v>
      </c>
      <c r="F26" s="227">
        <v>311.12235571111108</v>
      </c>
      <c r="G26" s="227">
        <v>87.52000000000001</v>
      </c>
      <c r="H26" s="227">
        <v>24429.269999999997</v>
      </c>
      <c r="I26" s="227"/>
    </row>
    <row r="27" spans="1:14" x14ac:dyDescent="0.2">
      <c r="A27" s="28">
        <v>2013</v>
      </c>
      <c r="B27" s="227">
        <v>232197.73</v>
      </c>
      <c r="C27" s="227">
        <v>83762.219999999987</v>
      </c>
      <c r="E27" s="227">
        <v>4801.3200000000006</v>
      </c>
      <c r="F27" s="227">
        <v>306.93329242222217</v>
      </c>
      <c r="G27" s="227">
        <v>31.049999999999997</v>
      </c>
      <c r="H27" s="227">
        <v>31865.139999999996</v>
      </c>
      <c r="I27" s="227"/>
    </row>
    <row r="28" spans="1:14" x14ac:dyDescent="0.2">
      <c r="A28" s="28">
        <v>2014</v>
      </c>
      <c r="B28" s="227">
        <v>241040.00999999998</v>
      </c>
      <c r="C28" s="227">
        <v>82926.66</v>
      </c>
      <c r="E28" s="227">
        <v>4801.3200000000006</v>
      </c>
      <c r="F28" s="227">
        <v>292.76845053333329</v>
      </c>
      <c r="G28" s="227">
        <v>94.67</v>
      </c>
      <c r="H28" s="227">
        <v>31822.170000000002</v>
      </c>
      <c r="I28" s="227"/>
    </row>
    <row r="29" spans="1:14" x14ac:dyDescent="0.2">
      <c r="A29" s="28">
        <v>2015</v>
      </c>
      <c r="B29" s="228">
        <v>223089.78999999998</v>
      </c>
      <c r="C29" s="228">
        <v>95927.03</v>
      </c>
      <c r="E29" s="228">
        <v>4775.62</v>
      </c>
      <c r="F29" s="228">
        <v>288.48305517777777</v>
      </c>
      <c r="G29" s="228">
        <v>95.46</v>
      </c>
      <c r="H29" s="228">
        <v>30826.699999999997</v>
      </c>
      <c r="I29" s="228"/>
    </row>
    <row r="30" spans="1:14" x14ac:dyDescent="0.2">
      <c r="A30" s="28">
        <v>2016</v>
      </c>
      <c r="B30" s="228">
        <v>237320.32999999996</v>
      </c>
      <c r="C30" s="228">
        <v>102692.34997964223</v>
      </c>
      <c r="E30" s="228">
        <v>4411.3</v>
      </c>
      <c r="F30" s="228">
        <v>416.63902725875835</v>
      </c>
      <c r="G30" s="228">
        <v>1313.24</v>
      </c>
      <c r="H30" s="228">
        <v>29427.999999999996</v>
      </c>
      <c r="I30" s="228"/>
    </row>
    <row r="31" spans="1:14" x14ac:dyDescent="0.2">
      <c r="A31" s="28">
        <v>2017</v>
      </c>
      <c r="B31" s="228">
        <v>223543.93999999997</v>
      </c>
      <c r="C31" s="228">
        <v>107785.29259129196</v>
      </c>
      <c r="E31" s="228">
        <v>2314.3699999999994</v>
      </c>
      <c r="F31" s="228">
        <v>342.92000000000007</v>
      </c>
      <c r="G31" s="228">
        <v>1074.96</v>
      </c>
      <c r="H31" s="228">
        <v>29010.799999999999</v>
      </c>
      <c r="I31" s="228"/>
    </row>
    <row r="32" spans="1:14" x14ac:dyDescent="0.2">
      <c r="A32" s="18"/>
    </row>
    <row r="33" spans="1:14" x14ac:dyDescent="0.2">
      <c r="A33" s="18"/>
    </row>
    <row r="34" spans="1:14" x14ac:dyDescent="0.2">
      <c r="A34" s="17" t="s">
        <v>64</v>
      </c>
      <c r="B34" s="5"/>
      <c r="C34" s="5"/>
      <c r="D34" s="5"/>
      <c r="E34" s="5"/>
      <c r="F34" s="5"/>
    </row>
    <row r="35" spans="1:14" x14ac:dyDescent="0.2">
      <c r="A35" s="4">
        <v>2010</v>
      </c>
      <c r="B35" s="26">
        <f>B2/'Rate Class Energy Model'!J6</f>
        <v>3.1570737840942859E-3</v>
      </c>
      <c r="C35" s="26">
        <f>C2/'Rate Class Energy Model'!K6</f>
        <v>2.5812714153470003E-3</v>
      </c>
      <c r="D35" s="26">
        <f>D2/'Rate Class Energy Model'!L6</f>
        <v>2.1440890969027598E-3</v>
      </c>
      <c r="E35" s="26">
        <f>E2/'Rate Class Energy Model'!M6</f>
        <v>2.7977234933807041E-3</v>
      </c>
      <c r="F35" s="26">
        <f>F2/'Rate Class Energy Model'!N6</f>
        <v>2.7777777777777783E-3</v>
      </c>
      <c r="G35" s="26">
        <f>G2/'Rate Class Energy Model'!P6</f>
        <v>2.7535296339251992E-5</v>
      </c>
      <c r="H35" s="26">
        <f>H2/'Rate Class Energy Model'!Q6</f>
        <v>2.1874494754388751E-3</v>
      </c>
      <c r="I35" s="26"/>
      <c r="J35" s="26"/>
      <c r="M35" s="26"/>
      <c r="N35" s="26">
        <f>N14/'Rate Class Energy Model'!V6</f>
        <v>1.7336493260294912E-3</v>
      </c>
    </row>
    <row r="36" spans="1:14" x14ac:dyDescent="0.2">
      <c r="A36" s="4">
        <v>2011</v>
      </c>
      <c r="B36" s="26">
        <f>B3/'Rate Class Energy Model'!J7</f>
        <v>3.1158774893600841E-3</v>
      </c>
      <c r="C36" s="26">
        <f>C3/'Rate Class Energy Model'!K7</f>
        <v>2.4425671567357742E-3</v>
      </c>
      <c r="D36" s="26">
        <f>D3/'Rate Class Energy Model'!L7</f>
        <v>2.5514750245168526E-3</v>
      </c>
      <c r="E36" s="26">
        <f>E3/'Rate Class Energy Model'!M7</f>
        <v>2.7964805051584134E-3</v>
      </c>
      <c r="F36" s="26">
        <f>F3/'Rate Class Energy Model'!N7</f>
        <v>1.3915865624273972E-3</v>
      </c>
      <c r="G36" s="26">
        <f>G3/'Rate Class Energy Model'!P7</f>
        <v>1.1873926913609346E-4</v>
      </c>
      <c r="H36" s="26">
        <f>H3/'Rate Class Energy Model'!Q7</f>
        <v>2.2728554537627221E-3</v>
      </c>
      <c r="I36" s="26"/>
      <c r="J36" s="26"/>
      <c r="M36" s="26"/>
      <c r="N36" s="26">
        <f>N15/'Rate Class Energy Model'!V7</f>
        <v>1.7506184180007566E-3</v>
      </c>
    </row>
    <row r="37" spans="1:14" x14ac:dyDescent="0.2">
      <c r="A37" s="4">
        <v>2012</v>
      </c>
      <c r="B37" s="26">
        <f>B4/'Rate Class Energy Model'!J8</f>
        <v>3.1501078223306364E-3</v>
      </c>
      <c r="C37" s="26">
        <f>C4/'Rate Class Energy Model'!K8</f>
        <v>2.3682908790490583E-3</v>
      </c>
      <c r="D37" s="26">
        <f>D4/'Rate Class Energy Model'!L8</f>
        <v>2.4045858465408946E-3</v>
      </c>
      <c r="E37" s="26">
        <f>E4/'Rate Class Energy Model'!M8</f>
        <v>2.7884449288587427E-3</v>
      </c>
      <c r="F37" s="26">
        <f>F4/'Rate Class Energy Model'!N8</f>
        <v>1.7438969294267493E-3</v>
      </c>
      <c r="G37" s="26">
        <f>G4/'Rate Class Energy Model'!P8</f>
        <v>2.3349687719270164E-4</v>
      </c>
      <c r="H37" s="26">
        <f>H4/'Rate Class Energy Model'!Q8</f>
        <v>2.4766825435041172E-3</v>
      </c>
      <c r="I37" s="26"/>
      <c r="J37" s="26"/>
      <c r="M37" s="26"/>
      <c r="N37" s="26">
        <f>N16/'Rate Class Energy Model'!V8</f>
        <v>1.796391424410425E-3</v>
      </c>
    </row>
    <row r="38" spans="1:14" x14ac:dyDescent="0.2">
      <c r="A38" s="4">
        <v>2013</v>
      </c>
      <c r="B38" s="26">
        <f>B5/'Rate Class Energy Model'!J9</f>
        <v>3.0253622954800772E-3</v>
      </c>
      <c r="C38" s="26">
        <f>C5/'Rate Class Energy Model'!K9</f>
        <v>2.1697261813464772E-3</v>
      </c>
      <c r="D38" s="26">
        <f>D5/'Rate Class Energy Model'!L9</f>
        <v>2.0785691775295216E-3</v>
      </c>
      <c r="E38" s="26">
        <f>E5/'Rate Class Energy Model'!M9</f>
        <v>2.8209111186227463E-3</v>
      </c>
      <c r="F38" s="26">
        <f>F5/'Rate Class Energy Model'!N9</f>
        <v>2.0086843263520562E-3</v>
      </c>
      <c r="G38" s="26">
        <f>G5/'Rate Class Energy Model'!P9</f>
        <v>8.7152268064096902E-5</v>
      </c>
      <c r="H38" s="26">
        <f>H5/'Rate Class Energy Model'!Q9</f>
        <v>2.2952307022654794E-3</v>
      </c>
      <c r="I38" s="26"/>
      <c r="J38" s="26">
        <f>J5/('Rate Class Energy Model'!S9+'Rate Class Energy Model'!U9)</f>
        <v>2.0273436260749575E-3</v>
      </c>
      <c r="M38" s="26"/>
      <c r="N38" s="26">
        <f>N17/'Rate Class Energy Model'!V9</f>
        <v>1.7080762822786954E-3</v>
      </c>
    </row>
    <row r="39" spans="1:14" x14ac:dyDescent="0.2">
      <c r="A39" s="4">
        <v>2014</v>
      </c>
      <c r="B39" s="26">
        <f>B6/'Rate Class Energy Model'!J10</f>
        <v>3.2477788774770782E-3</v>
      </c>
      <c r="C39" s="26">
        <f>C6/'Rate Class Energy Model'!K10</f>
        <v>2.2119999506535408E-3</v>
      </c>
      <c r="D39" s="26">
        <f>D6/'Rate Class Energy Model'!L10</f>
        <v>2.2306092924191281E-3</v>
      </c>
      <c r="E39" s="26">
        <f>E6/'Rate Class Energy Model'!M10</f>
        <v>2.7955297878488367E-3</v>
      </c>
      <c r="F39" s="26">
        <f>F6/'Rate Class Energy Model'!N10</f>
        <v>1.9982115890014801E-3</v>
      </c>
      <c r="G39" s="26">
        <f>G6/'Rate Class Energy Model'!P10</f>
        <v>2.8007052795380182E-4</v>
      </c>
      <c r="H39" s="26">
        <f>H6/'Rate Class Energy Model'!Q10</f>
        <v>2.4485397364667582E-3</v>
      </c>
      <c r="I39" s="26"/>
      <c r="J39" s="26">
        <f>J6/('Rate Class Energy Model'!S10+'Rate Class Energy Model'!U10)</f>
        <v>1.8656501048749656E-3</v>
      </c>
      <c r="M39" s="26"/>
      <c r="N39" s="26">
        <f>N18/'Rate Class Energy Model'!V10</f>
        <v>1.671801131341221E-3</v>
      </c>
    </row>
    <row r="40" spans="1:14" x14ac:dyDescent="0.2">
      <c r="A40" s="4">
        <v>2015</v>
      </c>
      <c r="B40" s="26">
        <f>B7/'Rate Class Energy Model'!J11</f>
        <v>3.2019058570745347E-3</v>
      </c>
      <c r="C40" s="26">
        <f>C7/'Rate Class Energy Model'!K11</f>
        <v>2.2075639305751552E-3</v>
      </c>
      <c r="D40" s="26">
        <f>D7/'Rate Class Energy Model'!L11</f>
        <v>2.073961827790093E-3</v>
      </c>
      <c r="E40" s="26">
        <f>E7/'Rate Class Energy Model'!M11</f>
        <v>2.7972823749248064E-3</v>
      </c>
      <c r="F40" s="26">
        <f>F7/'Rate Class Energy Model'!N11</f>
        <v>2.0214858902524485E-3</v>
      </c>
      <c r="G40" s="26">
        <f>G7/'Rate Class Energy Model'!P11</f>
        <v>2.71140971775378E-4</v>
      </c>
      <c r="H40" s="26">
        <f>H7/'Rate Class Energy Model'!Q11</f>
        <v>2.2306923797295814E-3</v>
      </c>
      <c r="I40" s="26"/>
      <c r="J40" s="26">
        <f>J7/('Rate Class Energy Model'!S11+'Rate Class Energy Model'!U11)</f>
        <v>1.8640021247728535E-3</v>
      </c>
      <c r="M40" s="26"/>
      <c r="N40" s="26">
        <f>N19/'Rate Class Energy Model'!V11</f>
        <v>1.6626284313339076E-3</v>
      </c>
    </row>
    <row r="41" spans="1:14" x14ac:dyDescent="0.2">
      <c r="A41" s="4">
        <v>2016</v>
      </c>
      <c r="B41" s="26">
        <f>B8/'Rate Class Energy Model'!J12</f>
        <v>3.2312283731150606E-3</v>
      </c>
      <c r="C41" s="26">
        <f>C8/'Rate Class Energy Model'!K12</f>
        <v>2.4136475882539032E-3</v>
      </c>
      <c r="D41" s="26">
        <f>D8/'Rate Class Energy Model'!L12</f>
        <v>2.3706806662767256E-3</v>
      </c>
      <c r="E41" s="26">
        <f>E8/'Rate Class Energy Model'!M12</f>
        <v>2.8176478288412373E-3</v>
      </c>
      <c r="F41" s="26">
        <f>F8/'Rate Class Energy Model'!N12</f>
        <v>3.0478125782456462E-3</v>
      </c>
      <c r="G41" s="26">
        <f>G8/'Rate Class Energy Model'!P12</f>
        <v>3.4548542802004577E-3</v>
      </c>
      <c r="H41" s="26">
        <f>H8/'Rate Class Energy Model'!Q12</f>
        <v>2.1701598376406583E-3</v>
      </c>
      <c r="I41" s="26"/>
      <c r="J41" s="26">
        <f>J8/('Rate Class Energy Model'!S12+'Rate Class Energy Model'!U12)</f>
        <v>1.9969140592479393E-3</v>
      </c>
      <c r="M41" s="26"/>
      <c r="N41" s="26">
        <f>N20/'Rate Class Energy Model'!V12</f>
        <v>1.6823942415125405E-3</v>
      </c>
    </row>
    <row r="42" spans="1:14" x14ac:dyDescent="0.2">
      <c r="A42" s="4">
        <v>2017</v>
      </c>
      <c r="B42" s="26">
        <f>B9/'Rate Class Energy Model'!J13</f>
        <v>3.118349740204503E-3</v>
      </c>
      <c r="C42" s="26">
        <f>C9/'Rate Class Energy Model'!K13</f>
        <v>2.3802773062573967E-3</v>
      </c>
      <c r="D42" s="26">
        <f>D9/'Rate Class Energy Model'!L13</f>
        <v>2.3811640592463633E-3</v>
      </c>
      <c r="E42" s="26">
        <f>E9/'Rate Class Energy Model'!M13</f>
        <v>2.8816887936371481E-3</v>
      </c>
      <c r="F42" s="26">
        <f>F9/'Rate Class Energy Model'!N13</f>
        <v>2.7003913724810815E-3</v>
      </c>
      <c r="G42" s="26">
        <f>G9/'Rate Class Energy Model'!P13</f>
        <v>3.0911275933101787E-3</v>
      </c>
      <c r="H42" s="26">
        <f>H9/'Rate Class Energy Model'!Q13</f>
        <v>2.3795493247116203E-3</v>
      </c>
      <c r="I42" s="26"/>
      <c r="J42" s="26">
        <f>J9/('Rate Class Energy Model'!S13+'Rate Class Energy Model'!U13)</f>
        <v>1.9664151782715555E-3</v>
      </c>
      <c r="M42" s="26"/>
      <c r="N42" s="26">
        <f>N21/'Rate Class Energy Model'!V13</f>
        <v>1.7121165473537902E-3</v>
      </c>
    </row>
    <row r="43" spans="1:14" x14ac:dyDescent="0.2">
      <c r="N43"/>
    </row>
    <row r="44" spans="1:14" x14ac:dyDescent="0.2">
      <c r="A44" s="112" t="s">
        <v>60</v>
      </c>
      <c r="B44" s="26">
        <f>B46</f>
        <v>3.1559605298920324E-3</v>
      </c>
      <c r="C44" s="26">
        <f>C46</f>
        <v>2.3469180510272882E-3</v>
      </c>
      <c r="D44" s="26">
        <f>D46</f>
        <v>2.2793918739027921E-3</v>
      </c>
      <c r="E44" s="26">
        <f>E42</f>
        <v>2.8816887936371481E-3</v>
      </c>
      <c r="F44" s="26">
        <f>F42</f>
        <v>2.7003913724810815E-3</v>
      </c>
      <c r="G44" s="26">
        <f>G42</f>
        <v>3.0911275933101787E-3</v>
      </c>
      <c r="H44" s="26">
        <f>H42</f>
        <v>2.3795493247116203E-3</v>
      </c>
      <c r="I44" s="26">
        <f>H44</f>
        <v>2.3795493247116203E-3</v>
      </c>
      <c r="J44" s="26">
        <f>J42</f>
        <v>1.9664151782715555E-3</v>
      </c>
      <c r="N44" s="26">
        <f>N42</f>
        <v>1.7121165473537902E-3</v>
      </c>
    </row>
    <row r="45" spans="1:14" x14ac:dyDescent="0.2">
      <c r="N45"/>
    </row>
    <row r="46" spans="1:14" x14ac:dyDescent="0.2">
      <c r="A46" t="s">
        <v>16</v>
      </c>
      <c r="B46" s="26">
        <f>AVERAGE(B35:B42)</f>
        <v>3.1559605298920324E-3</v>
      </c>
      <c r="C46" s="26">
        <f t="shared" ref="C46:N46" si="11">AVERAGE(C35:C42)</f>
        <v>2.3469180510272882E-3</v>
      </c>
      <c r="D46" s="26">
        <f t="shared" si="11"/>
        <v>2.2793918739027921E-3</v>
      </c>
      <c r="E46" s="26">
        <f t="shared" si="11"/>
        <v>2.8119636039090797E-3</v>
      </c>
      <c r="F46" s="26">
        <f t="shared" si="11"/>
        <v>2.2112308782455794E-3</v>
      </c>
      <c r="G46" s="26">
        <f t="shared" si="11"/>
        <v>9.45514635496495E-4</v>
      </c>
      <c r="H46" s="26">
        <f t="shared" si="11"/>
        <v>2.3076449316899767E-3</v>
      </c>
      <c r="I46" s="26"/>
      <c r="J46" s="26">
        <f t="shared" si="11"/>
        <v>1.9440650186484539E-3</v>
      </c>
      <c r="K46" s="26"/>
      <c r="L46" s="26"/>
      <c r="M46" s="26"/>
      <c r="N46" s="26">
        <f t="shared" si="11"/>
        <v>1.7147094752826034E-3</v>
      </c>
    </row>
    <row r="51" spans="2:6" x14ac:dyDescent="0.2">
      <c r="B51" s="24"/>
      <c r="C51" s="24"/>
      <c r="D51" s="24"/>
      <c r="E51" s="24"/>
      <c r="F51" s="24"/>
    </row>
    <row r="52" spans="2:6" x14ac:dyDescent="0.2">
      <c r="B52" s="24"/>
      <c r="C52" s="24"/>
      <c r="D52" s="24"/>
      <c r="E52" s="24"/>
      <c r="F52" s="24"/>
    </row>
    <row r="71" spans="2:6" x14ac:dyDescent="0.2">
      <c r="B71" s="14"/>
      <c r="C71" s="14"/>
      <c r="D71" s="14"/>
      <c r="E71" s="14"/>
      <c r="F71" s="14"/>
    </row>
    <row r="72" spans="2:6" x14ac:dyDescent="0.2">
      <c r="B72" s="14"/>
      <c r="C72" s="14"/>
      <c r="D72" s="14"/>
      <c r="E72" s="14"/>
      <c r="F72" s="14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  <ignoredErrors>
    <ignoredError sqref="E44 I44 I3:I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topLeftCell="E1" workbookViewId="0">
      <selection activeCell="H34" sqref="H34"/>
    </sheetView>
  </sheetViews>
  <sheetFormatPr defaultColWidth="9.140625" defaultRowHeight="12.75" x14ac:dyDescent="0.2"/>
  <cols>
    <col min="1" max="1" width="9.140625" style="116"/>
    <col min="2" max="7" width="14.140625" style="116" customWidth="1"/>
    <col min="8" max="8" width="14.42578125" style="116" customWidth="1"/>
    <col min="9" max="9" width="13" style="116" bestFit="1" customWidth="1"/>
    <col min="10" max="10" width="12.85546875" style="116" bestFit="1" customWidth="1"/>
    <col min="11" max="11" width="12.28515625" style="116" bestFit="1" customWidth="1"/>
    <col min="12" max="12" width="10.28515625" style="116" bestFit="1" customWidth="1"/>
    <col min="13" max="16" width="9.140625" style="116"/>
    <col min="17" max="17" width="1.42578125" style="116" customWidth="1"/>
    <col min="18" max="18" width="9.140625" style="116"/>
    <col min="19" max="19" width="14.140625" style="116" customWidth="1"/>
    <col min="20" max="20" width="11.28515625" style="116" bestFit="1" customWidth="1"/>
    <col min="21" max="21" width="11.85546875" style="116" customWidth="1"/>
    <col min="22" max="22" width="14" style="116" bestFit="1" customWidth="1"/>
    <col min="23" max="23" width="11" style="116" customWidth="1"/>
    <col min="24" max="16384" width="9.140625" style="116"/>
  </cols>
  <sheetData>
    <row r="1" spans="1:23" ht="15.75" x14ac:dyDescent="0.25">
      <c r="A1" s="206"/>
      <c r="B1" s="206"/>
      <c r="C1" s="206"/>
      <c r="D1" s="206"/>
      <c r="E1" s="206"/>
      <c r="F1" s="206"/>
      <c r="G1" s="206"/>
    </row>
    <row r="2" spans="1:23" ht="63.75" x14ac:dyDescent="0.2">
      <c r="B2" s="207" t="s">
        <v>219</v>
      </c>
      <c r="C2" s="207" t="s">
        <v>169</v>
      </c>
      <c r="D2" s="207" t="s">
        <v>220</v>
      </c>
      <c r="E2" s="207" t="s">
        <v>221</v>
      </c>
      <c r="F2" s="207" t="s">
        <v>241</v>
      </c>
      <c r="G2" s="207" t="s">
        <v>74</v>
      </c>
      <c r="H2" s="207" t="s">
        <v>75</v>
      </c>
    </row>
    <row r="3" spans="1:23" x14ac:dyDescent="0.2">
      <c r="H3" s="208"/>
      <c r="I3" s="208"/>
      <c r="K3" s="298" t="s">
        <v>19</v>
      </c>
      <c r="L3" s="298"/>
      <c r="N3" s="159" t="s">
        <v>76</v>
      </c>
      <c r="O3" s="159">
        <v>1</v>
      </c>
    </row>
    <row r="4" spans="1:23" x14ac:dyDescent="0.2">
      <c r="A4" s="116">
        <v>2006</v>
      </c>
      <c r="B4" s="208">
        <f>B26+B43</f>
        <v>2199695.3612610851</v>
      </c>
      <c r="C4" s="208">
        <f>C26+C43</f>
        <v>0</v>
      </c>
      <c r="D4" s="208">
        <f>D26+D43</f>
        <v>0</v>
      </c>
      <c r="E4" s="208"/>
      <c r="F4" s="208"/>
      <c r="G4" s="208">
        <f t="shared" ref="G4:G17" si="0">SUM(B4:F4)</f>
        <v>2199695.3612610851</v>
      </c>
      <c r="H4" s="208">
        <f>G4</f>
        <v>2199695.3612610851</v>
      </c>
      <c r="I4" s="208">
        <f t="shared" ref="I4:I17" si="1">H4/$O$15</f>
        <v>28201.222580270321</v>
      </c>
      <c r="K4" s="209">
        <f>I71</f>
        <v>2199695.3612610851</v>
      </c>
      <c r="L4" s="209">
        <f>G4-K4</f>
        <v>0</v>
      </c>
      <c r="N4" s="159" t="s">
        <v>77</v>
      </c>
      <c r="O4" s="159">
        <v>2</v>
      </c>
    </row>
    <row r="5" spans="1:23" x14ac:dyDescent="0.2">
      <c r="A5" s="116">
        <v>2007</v>
      </c>
      <c r="B5" s="208">
        <f t="shared" ref="B5:D17" si="2">B27+B44</f>
        <v>5865380.9545399398</v>
      </c>
      <c r="C5" s="208">
        <f t="shared" si="2"/>
        <v>0</v>
      </c>
      <c r="D5" s="208">
        <f t="shared" si="2"/>
        <v>0</v>
      </c>
      <c r="G5" s="208">
        <f t="shared" si="0"/>
        <v>5865380.9545399398</v>
      </c>
      <c r="H5" s="208">
        <f>G5-J71</f>
        <v>1804404.9029810131</v>
      </c>
      <c r="I5" s="208">
        <f t="shared" si="1"/>
        <v>23133.396192064269</v>
      </c>
      <c r="K5" s="209">
        <f>I83</f>
        <v>5865380.9545399398</v>
      </c>
      <c r="L5" s="209">
        <f t="shared" ref="L5:L17" si="3">G5-K5</f>
        <v>0</v>
      </c>
      <c r="N5" s="159" t="s">
        <v>78</v>
      </c>
      <c r="O5" s="159">
        <v>3</v>
      </c>
    </row>
    <row r="6" spans="1:23" x14ac:dyDescent="0.2">
      <c r="A6" s="116">
        <v>2008</v>
      </c>
      <c r="B6" s="208">
        <f t="shared" si="2"/>
        <v>8715686.3449556809</v>
      </c>
      <c r="C6" s="208">
        <f t="shared" si="2"/>
        <v>0</v>
      </c>
      <c r="D6" s="208">
        <f t="shared" si="2"/>
        <v>0</v>
      </c>
      <c r="E6" s="208"/>
      <c r="F6" s="208"/>
      <c r="G6" s="208">
        <f t="shared" si="0"/>
        <v>8715686.3449556809</v>
      </c>
      <c r="H6" s="208">
        <f>G6-J83</f>
        <v>1323501.2417394994</v>
      </c>
      <c r="I6" s="208">
        <f t="shared" si="1"/>
        <v>16967.964637685891</v>
      </c>
      <c r="K6" s="209">
        <f>I95</f>
        <v>8715686.3449556828</v>
      </c>
      <c r="L6" s="209">
        <f t="shared" si="3"/>
        <v>0</v>
      </c>
      <c r="N6" s="159" t="s">
        <v>79</v>
      </c>
      <c r="O6" s="159">
        <v>4</v>
      </c>
      <c r="T6" s="116">
        <v>2017</v>
      </c>
      <c r="U6" s="116">
        <v>2018</v>
      </c>
      <c r="V6" s="116">
        <v>2019</v>
      </c>
    </row>
    <row r="7" spans="1:23" x14ac:dyDescent="0.2">
      <c r="A7" s="116">
        <v>2009</v>
      </c>
      <c r="B7" s="208">
        <f t="shared" si="2"/>
        <v>14062057.38329369</v>
      </c>
      <c r="C7" s="208">
        <f t="shared" si="2"/>
        <v>0</v>
      </c>
      <c r="D7" s="208">
        <f t="shared" si="2"/>
        <v>0</v>
      </c>
      <c r="E7" s="208"/>
      <c r="F7" s="208"/>
      <c r="G7" s="208">
        <f t="shared" si="0"/>
        <v>14062057.38329369</v>
      </c>
      <c r="H7" s="208">
        <f>G7-J95</f>
        <v>4226485.3722507376</v>
      </c>
      <c r="I7" s="208">
        <f t="shared" si="1"/>
        <v>54185.70990065048</v>
      </c>
      <c r="K7" s="209">
        <f>I107</f>
        <v>14062057.383293686</v>
      </c>
      <c r="L7" s="209">
        <f t="shared" si="3"/>
        <v>0</v>
      </c>
      <c r="N7" s="159" t="s">
        <v>80</v>
      </c>
      <c r="O7" s="159">
        <v>5</v>
      </c>
      <c r="S7" s="116" t="s">
        <v>170</v>
      </c>
      <c r="T7" s="209">
        <f>F15*2</f>
        <v>32821514</v>
      </c>
      <c r="U7" s="209">
        <f>F16</f>
        <v>30494190</v>
      </c>
      <c r="V7" s="209">
        <f>F17</f>
        <v>30486756</v>
      </c>
    </row>
    <row r="8" spans="1:23" x14ac:dyDescent="0.2">
      <c r="A8" s="116">
        <v>2010</v>
      </c>
      <c r="B8" s="208">
        <f t="shared" si="2"/>
        <v>19632401.026942715</v>
      </c>
      <c r="C8" s="208">
        <f t="shared" si="2"/>
        <v>0</v>
      </c>
      <c r="D8" s="208">
        <f t="shared" si="2"/>
        <v>0</v>
      </c>
      <c r="E8" s="208"/>
      <c r="F8" s="208"/>
      <c r="G8" s="208">
        <f t="shared" si="0"/>
        <v>19632401.026942715</v>
      </c>
      <c r="H8" s="208">
        <f>G8-J107</f>
        <v>1994086.7902061008</v>
      </c>
      <c r="I8" s="208">
        <f t="shared" si="1"/>
        <v>25565.215259052573</v>
      </c>
      <c r="K8" s="209">
        <f>I119</f>
        <v>19632401.026942719</v>
      </c>
      <c r="L8" s="209">
        <f t="shared" si="3"/>
        <v>0</v>
      </c>
      <c r="N8" s="159" t="s">
        <v>81</v>
      </c>
      <c r="O8" s="159">
        <v>6</v>
      </c>
      <c r="S8" s="116" t="s">
        <v>179</v>
      </c>
      <c r="U8" s="236">
        <v>29298881.316179384</v>
      </c>
      <c r="V8" s="236">
        <v>14028881.316179384</v>
      </c>
      <c r="W8" s="213">
        <f>U8-V8</f>
        <v>15270000</v>
      </c>
    </row>
    <row r="9" spans="1:23" x14ac:dyDescent="0.2">
      <c r="A9" s="116">
        <v>2011</v>
      </c>
      <c r="B9" s="208">
        <f t="shared" si="2"/>
        <v>23543735.668849543</v>
      </c>
      <c r="C9" s="208">
        <f t="shared" si="2"/>
        <v>6993904.1266628653</v>
      </c>
      <c r="D9" s="208">
        <f t="shared" si="2"/>
        <v>0</v>
      </c>
      <c r="G9" s="208">
        <f t="shared" si="0"/>
        <v>30537639.795512408</v>
      </c>
      <c r="H9" s="208">
        <f>G9-J119</f>
        <v>9217934.5614722222</v>
      </c>
      <c r="I9" s="208">
        <f t="shared" si="1"/>
        <v>118178.64822400284</v>
      </c>
      <c r="K9" s="209">
        <f>I131</f>
        <v>30537639.795512404</v>
      </c>
      <c r="L9" s="209">
        <f t="shared" si="3"/>
        <v>0</v>
      </c>
      <c r="N9" s="159" t="s">
        <v>82</v>
      </c>
      <c r="O9" s="159">
        <v>7</v>
      </c>
      <c r="S9" s="116" t="s">
        <v>180</v>
      </c>
      <c r="U9" s="237"/>
      <c r="V9" s="236">
        <v>13814261.316179384</v>
      </c>
      <c r="W9" s="213">
        <v>3063917.0885735415</v>
      </c>
    </row>
    <row r="10" spans="1:23" x14ac:dyDescent="0.2">
      <c r="A10" s="116">
        <v>2012</v>
      </c>
      <c r="B10" s="208">
        <f t="shared" si="2"/>
        <v>23185905.657823481</v>
      </c>
      <c r="C10" s="208">
        <f t="shared" si="2"/>
        <v>19010177.342864227</v>
      </c>
      <c r="D10" s="208">
        <f t="shared" si="2"/>
        <v>0</v>
      </c>
      <c r="E10" s="208"/>
      <c r="F10" s="208"/>
      <c r="G10" s="208">
        <f t="shared" si="0"/>
        <v>42196083.000687703</v>
      </c>
      <c r="H10" s="208">
        <f>G10-J131</f>
        <v>3858652.4223911241</v>
      </c>
      <c r="I10" s="208">
        <f t="shared" si="1"/>
        <v>49469.902851168255</v>
      </c>
      <c r="K10" s="209">
        <f>I143</f>
        <v>42196083.000687689</v>
      </c>
      <c r="L10" s="209">
        <f t="shared" si="3"/>
        <v>0</v>
      </c>
      <c r="N10" s="159" t="s">
        <v>83</v>
      </c>
      <c r="O10" s="159">
        <v>8</v>
      </c>
    </row>
    <row r="11" spans="1:23" x14ac:dyDescent="0.2">
      <c r="A11" s="116">
        <v>2013</v>
      </c>
      <c r="B11" s="208">
        <f t="shared" si="2"/>
        <v>23093273.383187491</v>
      </c>
      <c r="C11" s="208">
        <f t="shared" si="2"/>
        <v>29756732.742700759</v>
      </c>
      <c r="D11" s="208">
        <f t="shared" si="2"/>
        <v>0</v>
      </c>
      <c r="E11" s="208"/>
      <c r="F11" s="208"/>
      <c r="G11" s="208">
        <f t="shared" si="0"/>
        <v>52850006.125888251</v>
      </c>
      <c r="H11" s="208">
        <f>G11-J143</f>
        <v>7388909.5370234698</v>
      </c>
      <c r="I11" s="208">
        <f t="shared" si="1"/>
        <v>94729.609449018841</v>
      </c>
      <c r="K11" s="209">
        <f>I155</f>
        <v>52850006.125888243</v>
      </c>
      <c r="L11" s="209">
        <f t="shared" si="3"/>
        <v>0</v>
      </c>
      <c r="N11" s="159" t="s">
        <v>84</v>
      </c>
      <c r="O11" s="159">
        <v>9</v>
      </c>
      <c r="V11" s="130"/>
    </row>
    <row r="12" spans="1:23" x14ac:dyDescent="0.2">
      <c r="A12" s="116">
        <v>2014</v>
      </c>
      <c r="B12" s="208">
        <f t="shared" si="2"/>
        <v>22519904.220766161</v>
      </c>
      <c r="C12" s="208">
        <f t="shared" si="2"/>
        <v>45730998.767416835</v>
      </c>
      <c r="D12" s="208">
        <f t="shared" si="2"/>
        <v>0</v>
      </c>
      <c r="E12" s="208"/>
      <c r="F12" s="208"/>
      <c r="G12" s="208">
        <f t="shared" si="0"/>
        <v>68250902.988182992</v>
      </c>
      <c r="H12" s="208">
        <f>G12-J155</f>
        <v>9148742.638659507</v>
      </c>
      <c r="I12" s="208">
        <f t="shared" si="1"/>
        <v>117291.5722905065</v>
      </c>
      <c r="K12" s="209">
        <f>I167</f>
        <v>68250902.988182977</v>
      </c>
      <c r="L12" s="209">
        <f t="shared" si="3"/>
        <v>0</v>
      </c>
      <c r="N12" s="159" t="s">
        <v>85</v>
      </c>
      <c r="O12" s="159">
        <v>10</v>
      </c>
    </row>
    <row r="13" spans="1:23" x14ac:dyDescent="0.2">
      <c r="A13" s="116">
        <v>2015</v>
      </c>
      <c r="B13" s="208">
        <f t="shared" si="2"/>
        <v>20225484.941065822</v>
      </c>
      <c r="C13" s="208">
        <f t="shared" si="2"/>
        <v>55118688.551353671</v>
      </c>
      <c r="D13" s="208">
        <v>10515309.5</v>
      </c>
      <c r="E13" s="208"/>
      <c r="F13" s="208"/>
      <c r="G13" s="208">
        <f t="shared" si="0"/>
        <v>85859482.992419496</v>
      </c>
      <c r="H13" s="208">
        <f>G13-J167</f>
        <v>9867336.2330631167</v>
      </c>
      <c r="I13" s="208">
        <f t="shared" si="1"/>
        <v>126504.31068029637</v>
      </c>
      <c r="K13" s="209">
        <f>I179</f>
        <v>85859482.992419481</v>
      </c>
      <c r="L13" s="209">
        <f t="shared" si="3"/>
        <v>0</v>
      </c>
      <c r="N13" s="159" t="s">
        <v>86</v>
      </c>
      <c r="O13" s="159">
        <v>11</v>
      </c>
    </row>
    <row r="14" spans="1:23" x14ac:dyDescent="0.2">
      <c r="A14" s="116">
        <v>2016</v>
      </c>
      <c r="B14" s="208">
        <f t="shared" si="2"/>
        <v>19336761.166483566</v>
      </c>
      <c r="C14" s="208">
        <f t="shared" si="2"/>
        <v>54157230.135607593</v>
      </c>
      <c r="D14" s="208">
        <v>20981651</v>
      </c>
      <c r="E14" s="208">
        <v>8714054</v>
      </c>
      <c r="F14" s="208"/>
      <c r="G14" s="208">
        <f t="shared" si="0"/>
        <v>103189696.30209115</v>
      </c>
      <c r="H14" s="208">
        <f>G14-J179</f>
        <v>8980928.8047721088</v>
      </c>
      <c r="I14" s="208">
        <f t="shared" si="1"/>
        <v>115140.1128816937</v>
      </c>
      <c r="K14" s="209">
        <f>I191</f>
        <v>103189696.30209118</v>
      </c>
      <c r="L14" s="209">
        <f t="shared" si="3"/>
        <v>0</v>
      </c>
      <c r="N14" s="159" t="s">
        <v>87</v>
      </c>
      <c r="O14" s="159">
        <v>12</v>
      </c>
    </row>
    <row r="15" spans="1:23" x14ac:dyDescent="0.2">
      <c r="A15" s="116">
        <v>2017</v>
      </c>
      <c r="B15" s="208">
        <f t="shared" si="2"/>
        <v>16614718.7831212</v>
      </c>
      <c r="C15" s="208">
        <f t="shared" si="2"/>
        <v>52313261.574779622</v>
      </c>
      <c r="D15" s="208">
        <v>20698092</v>
      </c>
      <c r="E15" s="208">
        <v>17428107</v>
      </c>
      <c r="F15" s="208">
        <v>16410757</v>
      </c>
      <c r="G15" s="208">
        <f t="shared" si="0"/>
        <v>123464936.35790083</v>
      </c>
      <c r="H15" s="208">
        <f>G15-J191</f>
        <v>12675992.605617851</v>
      </c>
      <c r="I15" s="208">
        <f t="shared" si="1"/>
        <v>162512.72571304938</v>
      </c>
      <c r="K15" s="209">
        <f>I203</f>
        <v>123464936.35790089</v>
      </c>
      <c r="L15" s="209">
        <f t="shared" si="3"/>
        <v>0</v>
      </c>
      <c r="N15" s="159" t="s">
        <v>12</v>
      </c>
      <c r="O15" s="159">
        <f>SUM(O3:O14)</f>
        <v>78</v>
      </c>
    </row>
    <row r="16" spans="1:23" x14ac:dyDescent="0.2">
      <c r="A16" s="116">
        <v>2018</v>
      </c>
      <c r="B16" s="208">
        <f t="shared" si="2"/>
        <v>13279278.834750477</v>
      </c>
      <c r="C16" s="208">
        <f t="shared" si="2"/>
        <v>51465421.515413366</v>
      </c>
      <c r="D16" s="208">
        <v>20605060</v>
      </c>
      <c r="E16" s="208">
        <v>17454763</v>
      </c>
      <c r="F16" s="208">
        <v>30494190</v>
      </c>
      <c r="G16" s="208">
        <f t="shared" si="0"/>
        <v>133298713.35016385</v>
      </c>
      <c r="H16" s="208">
        <f>G16-J203</f>
        <v>-892062.90479832888</v>
      </c>
      <c r="I16" s="208">
        <f t="shared" si="1"/>
        <v>-11436.703907670882</v>
      </c>
      <c r="K16" s="209">
        <f>I215</f>
        <v>133298713.35016388</v>
      </c>
      <c r="L16" s="209">
        <f t="shared" si="3"/>
        <v>0</v>
      </c>
      <c r="N16"/>
      <c r="O16"/>
    </row>
    <row r="17" spans="1:15" x14ac:dyDescent="0.2">
      <c r="A17" s="116">
        <v>2019</v>
      </c>
      <c r="B17" s="208">
        <f t="shared" si="2"/>
        <v>7609615.3956155851</v>
      </c>
      <c r="C17" s="208">
        <f t="shared" si="2"/>
        <v>50830908.090940356</v>
      </c>
      <c r="D17" s="208">
        <v>20593543</v>
      </c>
      <c r="E17" s="208">
        <v>17454763</v>
      </c>
      <c r="F17" s="208">
        <v>30486756</v>
      </c>
      <c r="G17" s="208">
        <f t="shared" si="0"/>
        <v>126975585.48655593</v>
      </c>
      <c r="H17" s="208">
        <f>G17-J215</f>
        <v>-5568305.4057016969</v>
      </c>
      <c r="I17" s="208">
        <f t="shared" si="1"/>
        <v>-71388.530842329448</v>
      </c>
      <c r="K17" s="209">
        <f>I227</f>
        <v>126975585.48655587</v>
      </c>
      <c r="L17" s="209">
        <f t="shared" si="3"/>
        <v>0</v>
      </c>
      <c r="N17"/>
      <c r="O17"/>
    </row>
    <row r="18" spans="1:15" x14ac:dyDescent="0.2">
      <c r="A18" s="116" t="s">
        <v>12</v>
      </c>
      <c r="B18" s="208">
        <f t="shared" ref="B18:G18" si="4">SUM(B4:B17)</f>
        <v>219883899.12265643</v>
      </c>
      <c r="C18" s="208">
        <f t="shared" si="4"/>
        <v>365377322.84773928</v>
      </c>
      <c r="D18" s="208">
        <f>SUM(D4:D17)</f>
        <v>93393655.5</v>
      </c>
      <c r="E18" s="208">
        <f>SUM(E4:E17)</f>
        <v>61051687</v>
      </c>
      <c r="F18" s="208">
        <f>SUM(F4:F17)</f>
        <v>77391703</v>
      </c>
      <c r="G18" s="208">
        <f t="shared" si="4"/>
        <v>817098267.47039568</v>
      </c>
      <c r="H18" s="208"/>
      <c r="I18" s="208"/>
      <c r="L18" s="209"/>
      <c r="N18"/>
      <c r="O18"/>
    </row>
    <row r="19" spans="1:15" x14ac:dyDescent="0.2">
      <c r="B19" s="208"/>
      <c r="C19" s="208"/>
      <c r="D19" s="208"/>
      <c r="E19" s="208"/>
      <c r="F19" s="208"/>
      <c r="G19" s="208"/>
      <c r="H19" s="208"/>
      <c r="I19" s="208"/>
      <c r="L19" s="209"/>
      <c r="N19" s="215"/>
      <c r="O19" s="215"/>
    </row>
    <row r="20" spans="1:15" x14ac:dyDescent="0.2">
      <c r="F20"/>
      <c r="H20" s="208"/>
    </row>
    <row r="21" spans="1:15" x14ac:dyDescent="0.2">
      <c r="C21" s="214"/>
      <c r="D21" s="213"/>
      <c r="E21" s="213"/>
      <c r="F21" s="213"/>
      <c r="H21" s="209"/>
      <c r="I21" s="213"/>
    </row>
    <row r="22" spans="1:15" x14ac:dyDescent="0.2">
      <c r="C22" s="214"/>
      <c r="D22" s="213"/>
      <c r="H22" s="209"/>
      <c r="I22" s="213"/>
    </row>
    <row r="23" spans="1:15" x14ac:dyDescent="0.2">
      <c r="D23" s="213"/>
      <c r="E23" s="213"/>
      <c r="H23" s="209"/>
      <c r="I23" s="213"/>
    </row>
    <row r="24" spans="1:15" x14ac:dyDescent="0.2">
      <c r="D24" s="213"/>
      <c r="H24" s="208"/>
    </row>
    <row r="25" spans="1:15" x14ac:dyDescent="0.2">
      <c r="A25" s="116" t="s">
        <v>171</v>
      </c>
      <c r="D25" s="213"/>
      <c r="H25" s="208"/>
    </row>
    <row r="26" spans="1:15" x14ac:dyDescent="0.2">
      <c r="A26" s="116">
        <v>2006</v>
      </c>
      <c r="B26" s="208">
        <v>1826895.8597920679</v>
      </c>
      <c r="D26" s="208"/>
      <c r="E26" s="208"/>
      <c r="F26" s="208"/>
      <c r="H26" s="208"/>
    </row>
    <row r="27" spans="1:15" x14ac:dyDescent="0.2">
      <c r="A27" s="116">
        <v>2007</v>
      </c>
      <c r="B27" s="208">
        <v>4932237.5799856689</v>
      </c>
      <c r="H27" s="208"/>
    </row>
    <row r="28" spans="1:15" x14ac:dyDescent="0.2">
      <c r="A28" s="116">
        <v>2008</v>
      </c>
      <c r="B28" s="208">
        <v>7199424.3715859503</v>
      </c>
      <c r="D28" s="208"/>
      <c r="E28" s="208"/>
      <c r="F28" s="208"/>
      <c r="H28" s="208"/>
    </row>
    <row r="29" spans="1:15" x14ac:dyDescent="0.2">
      <c r="A29" s="116">
        <v>2009</v>
      </c>
      <c r="B29" s="208">
        <v>11355458.395677306</v>
      </c>
      <c r="D29" s="208"/>
      <c r="E29" s="208"/>
      <c r="F29" s="208"/>
      <c r="H29" s="208"/>
    </row>
    <row r="30" spans="1:15" x14ac:dyDescent="0.2">
      <c r="A30" s="116">
        <v>2010</v>
      </c>
      <c r="B30" s="208">
        <v>16129896.991863357</v>
      </c>
      <c r="D30" s="208"/>
      <c r="E30" s="208"/>
      <c r="F30" s="208"/>
      <c r="H30" s="208"/>
    </row>
    <row r="31" spans="1:15" x14ac:dyDescent="0.2">
      <c r="A31" s="116">
        <v>2011</v>
      </c>
      <c r="B31" s="208">
        <v>19795632.977069873</v>
      </c>
      <c r="C31" s="208">
        <v>6778815.9923871942</v>
      </c>
      <c r="H31" s="208"/>
    </row>
    <row r="32" spans="1:15" x14ac:dyDescent="0.2">
      <c r="A32" s="116">
        <v>2012</v>
      </c>
      <c r="B32" s="208">
        <v>19505272.310954027</v>
      </c>
      <c r="C32" s="208">
        <v>17888164.594762463</v>
      </c>
      <c r="D32" s="208"/>
      <c r="E32" s="208"/>
      <c r="F32" s="208"/>
      <c r="H32" s="208"/>
    </row>
    <row r="33" spans="1:8" x14ac:dyDescent="0.2">
      <c r="A33" s="116">
        <v>2013</v>
      </c>
      <c r="B33" s="208">
        <v>19444649.840082143</v>
      </c>
      <c r="C33" s="208">
        <v>27622904.902100723</v>
      </c>
      <c r="D33" s="208"/>
      <c r="E33" s="208"/>
      <c r="F33" s="208"/>
      <c r="H33" s="208"/>
    </row>
    <row r="34" spans="1:8" x14ac:dyDescent="0.2">
      <c r="A34" s="116">
        <v>2014</v>
      </c>
      <c r="B34" s="208">
        <v>19030184.128223255</v>
      </c>
      <c r="C34" s="208">
        <v>42192523.183772601</v>
      </c>
      <c r="D34" s="208"/>
      <c r="E34" s="208"/>
      <c r="F34" s="208"/>
      <c r="H34" s="208"/>
    </row>
    <row r="35" spans="1:8" x14ac:dyDescent="0.2">
      <c r="A35" s="116">
        <v>2015</v>
      </c>
      <c r="B35" s="208">
        <v>17119012.003422014</v>
      </c>
      <c r="C35" s="208">
        <v>50661733.804871768</v>
      </c>
      <c r="D35" s="208">
        <v>8187687.5</v>
      </c>
      <c r="E35" s="208"/>
      <c r="F35" s="208"/>
      <c r="H35" s="208"/>
    </row>
    <row r="36" spans="1:8" x14ac:dyDescent="0.2">
      <c r="A36" s="116">
        <v>2016</v>
      </c>
      <c r="B36" s="208">
        <v>16413894.695557421</v>
      </c>
      <c r="C36" s="208">
        <v>49887125.555337399</v>
      </c>
      <c r="D36" s="208">
        <v>16312404</v>
      </c>
      <c r="E36" s="208"/>
      <c r="F36" s="208"/>
      <c r="H36" s="208"/>
    </row>
    <row r="37" spans="1:8" x14ac:dyDescent="0.2">
      <c r="A37" s="116">
        <v>2017</v>
      </c>
      <c r="B37" s="208">
        <v>14306340.745248856</v>
      </c>
      <c r="C37" s="208">
        <v>48449983.476045534</v>
      </c>
      <c r="D37" s="208">
        <v>15941956</v>
      </c>
      <c r="E37" s="208"/>
      <c r="F37" s="208"/>
      <c r="H37" s="208"/>
    </row>
    <row r="38" spans="1:8" x14ac:dyDescent="0.2">
      <c r="A38" s="116">
        <v>2018</v>
      </c>
      <c r="B38" s="208">
        <v>11654540.724840907</v>
      </c>
      <c r="C38" s="208">
        <v>47806271.232385643</v>
      </c>
      <c r="D38" s="208">
        <v>15674985</v>
      </c>
      <c r="E38" s="208"/>
      <c r="F38" s="208"/>
      <c r="H38" s="208"/>
    </row>
    <row r="39" spans="1:8" x14ac:dyDescent="0.2">
      <c r="A39" s="116">
        <v>2019</v>
      </c>
      <c r="B39" s="208">
        <v>6354427.4825532325</v>
      </c>
      <c r="C39" s="208">
        <v>47182509.223140597</v>
      </c>
      <c r="D39" s="208">
        <v>15529899</v>
      </c>
      <c r="E39" s="208"/>
      <c r="F39" s="208"/>
      <c r="H39" s="208"/>
    </row>
    <row r="40" spans="1:8" x14ac:dyDescent="0.2">
      <c r="A40" s="116" t="s">
        <v>12</v>
      </c>
      <c r="B40" s="208">
        <f>SUM(B26:B39)</f>
        <v>185067868.10685608</v>
      </c>
      <c r="C40" s="208">
        <f>SUM(C26:C39)</f>
        <v>338470031.96480393</v>
      </c>
      <c r="D40" s="208">
        <f>SUM(D26:D39)</f>
        <v>71646931.5</v>
      </c>
      <c r="E40" s="208"/>
      <c r="F40" s="208"/>
      <c r="H40" s="208"/>
    </row>
    <row r="41" spans="1:8" x14ac:dyDescent="0.2">
      <c r="D41" s="213"/>
      <c r="H41" s="208"/>
    </row>
    <row r="42" spans="1:8" x14ac:dyDescent="0.2">
      <c r="A42" s="116" t="s">
        <v>172</v>
      </c>
      <c r="C42" s="214"/>
      <c r="D42" s="213"/>
      <c r="E42" s="213"/>
      <c r="F42" s="213"/>
      <c r="H42" s="208"/>
    </row>
    <row r="43" spans="1:8" x14ac:dyDescent="0.2">
      <c r="A43" s="116">
        <v>2006</v>
      </c>
      <c r="B43" s="208">
        <v>372799.50146901724</v>
      </c>
      <c r="D43" s="208"/>
      <c r="E43" s="208"/>
      <c r="F43" s="208"/>
      <c r="H43" s="208"/>
    </row>
    <row r="44" spans="1:8" x14ac:dyDescent="0.2">
      <c r="A44" s="116">
        <v>2007</v>
      </c>
      <c r="B44" s="208">
        <v>933143.37455427099</v>
      </c>
      <c r="H44" s="208"/>
    </row>
    <row r="45" spans="1:8" x14ac:dyDescent="0.2">
      <c r="A45" s="116">
        <v>2008</v>
      </c>
      <c r="B45" s="208">
        <v>1516261.9733697299</v>
      </c>
      <c r="D45" s="208"/>
      <c r="E45" s="208"/>
      <c r="F45" s="208"/>
      <c r="H45" s="208"/>
    </row>
    <row r="46" spans="1:8" x14ac:dyDescent="0.2">
      <c r="A46" s="116">
        <v>2009</v>
      </c>
      <c r="B46" s="208">
        <v>2706598.9876163849</v>
      </c>
      <c r="D46" s="208"/>
      <c r="E46" s="208"/>
      <c r="F46" s="208"/>
      <c r="H46" s="208"/>
    </row>
    <row r="47" spans="1:8" x14ac:dyDescent="0.2">
      <c r="A47" s="116">
        <v>2010</v>
      </c>
      <c r="B47" s="208">
        <v>3502504.0350793563</v>
      </c>
      <c r="D47" s="208"/>
      <c r="E47" s="208"/>
      <c r="F47" s="208"/>
      <c r="H47" s="208"/>
    </row>
    <row r="48" spans="1:8" x14ac:dyDescent="0.2">
      <c r="A48" s="116">
        <v>2011</v>
      </c>
      <c r="B48" s="208">
        <v>3748102.691779668</v>
      </c>
      <c r="C48" s="208">
        <v>215088.13427567083</v>
      </c>
      <c r="H48" s="208"/>
    </row>
    <row r="49" spans="1:8" x14ac:dyDescent="0.2">
      <c r="A49" s="116">
        <v>2012</v>
      </c>
      <c r="B49" s="208">
        <v>3680633.3468694547</v>
      </c>
      <c r="C49" s="208">
        <v>1122012.7481017627</v>
      </c>
      <c r="D49" s="208"/>
      <c r="E49" s="208"/>
      <c r="F49" s="208"/>
      <c r="H49" s="208"/>
    </row>
    <row r="50" spans="1:8" x14ac:dyDescent="0.2">
      <c r="A50" s="116">
        <v>2013</v>
      </c>
      <c r="B50" s="208">
        <v>3648623.5431053485</v>
      </c>
      <c r="C50" s="208">
        <v>2133827.8406000347</v>
      </c>
      <c r="D50" s="208"/>
      <c r="E50" s="208"/>
      <c r="F50" s="208"/>
      <c r="H50" s="208"/>
    </row>
    <row r="51" spans="1:8" x14ac:dyDescent="0.2">
      <c r="A51" s="116">
        <v>2014</v>
      </c>
      <c r="B51" s="208">
        <v>3489720.0925429063</v>
      </c>
      <c r="C51" s="208">
        <v>3538475.5836442299</v>
      </c>
      <c r="D51" s="208"/>
      <c r="E51" s="208"/>
      <c r="F51" s="208"/>
      <c r="H51" s="208"/>
    </row>
    <row r="52" spans="1:8" x14ac:dyDescent="0.2">
      <c r="A52" s="116">
        <v>2015</v>
      </c>
      <c r="B52" s="208">
        <v>3106472.9376438074</v>
      </c>
      <c r="C52" s="208">
        <v>4456954.746481901</v>
      </c>
      <c r="D52" s="208">
        <v>933742.5</v>
      </c>
      <c r="E52" s="208"/>
      <c r="F52" s="208"/>
      <c r="H52" s="208"/>
    </row>
    <row r="53" spans="1:8" x14ac:dyDescent="0.2">
      <c r="A53" s="116">
        <v>2016</v>
      </c>
      <c r="B53" s="208">
        <v>2922866.4709261446</v>
      </c>
      <c r="C53" s="208">
        <v>4270104.5802701935</v>
      </c>
      <c r="D53" s="208">
        <v>1854781</v>
      </c>
      <c r="E53" s="208"/>
      <c r="F53" s="208"/>
      <c r="H53" s="208"/>
    </row>
    <row r="54" spans="1:8" x14ac:dyDescent="0.2">
      <c r="A54" s="116">
        <v>2017</v>
      </c>
      <c r="B54" s="208">
        <v>2308378.0378723443</v>
      </c>
      <c r="C54" s="208">
        <v>3863278.0987340892</v>
      </c>
      <c r="D54" s="208">
        <v>1831572</v>
      </c>
      <c r="E54" s="208"/>
      <c r="F54" s="208"/>
      <c r="H54" s="208"/>
    </row>
    <row r="55" spans="1:8" x14ac:dyDescent="0.2">
      <c r="A55" s="116">
        <v>2018</v>
      </c>
      <c r="B55" s="208">
        <v>1624738.1099095705</v>
      </c>
      <c r="C55" s="208">
        <v>3659150.283027723</v>
      </c>
      <c r="D55" s="208">
        <v>1828033</v>
      </c>
      <c r="E55" s="208"/>
      <c r="F55" s="208"/>
      <c r="H55" s="208"/>
    </row>
    <row r="56" spans="1:8" x14ac:dyDescent="0.2">
      <c r="A56" s="116">
        <v>2019</v>
      </c>
      <c r="B56" s="208">
        <v>1255187.9130623529</v>
      </c>
      <c r="C56" s="208">
        <v>3648398.8677997589</v>
      </c>
      <c r="D56" s="208">
        <v>1819062</v>
      </c>
      <c r="E56" s="208"/>
      <c r="F56" s="208"/>
      <c r="H56" s="208"/>
    </row>
    <row r="57" spans="1:8" x14ac:dyDescent="0.2">
      <c r="A57" s="116" t="s">
        <v>12</v>
      </c>
      <c r="B57" s="208">
        <f>SUM(B43:B56)</f>
        <v>34816031.015800357</v>
      </c>
      <c r="C57" s="208">
        <f>SUM(C43:C56)</f>
        <v>26907290.882935364</v>
      </c>
      <c r="D57" s="208">
        <f>SUM(D43:D56)</f>
        <v>8267190.5</v>
      </c>
      <c r="E57" s="208"/>
      <c r="F57" s="208"/>
      <c r="H57" s="208"/>
    </row>
    <row r="58" spans="1:8" x14ac:dyDescent="0.2">
      <c r="D58" s="213"/>
      <c r="H58" s="208"/>
    </row>
    <row r="59" spans="1:8" x14ac:dyDescent="0.2">
      <c r="D59" s="213"/>
      <c r="H59" s="208" t="s">
        <v>88</v>
      </c>
    </row>
    <row r="60" spans="1:8" x14ac:dyDescent="0.2">
      <c r="A60" s="210">
        <v>38718</v>
      </c>
      <c r="B60" s="210"/>
      <c r="C60" s="210"/>
      <c r="D60" s="210"/>
      <c r="E60" s="210"/>
      <c r="F60" s="210"/>
      <c r="G60" s="210"/>
      <c r="H60" s="208">
        <f>$I$4</f>
        <v>28201.222580270321</v>
      </c>
    </row>
    <row r="61" spans="1:8" x14ac:dyDescent="0.2">
      <c r="A61" s="210">
        <v>38749</v>
      </c>
      <c r="B61" s="210"/>
      <c r="C61" s="210"/>
      <c r="D61" s="210"/>
      <c r="E61" s="210"/>
      <c r="F61" s="210"/>
      <c r="G61" s="210"/>
      <c r="H61" s="208">
        <f t="shared" ref="H61:H71" si="5">H60+$I$4</f>
        <v>56402.445160540643</v>
      </c>
    </row>
    <row r="62" spans="1:8" x14ac:dyDescent="0.2">
      <c r="A62" s="210">
        <v>38777</v>
      </c>
      <c r="B62" s="210"/>
      <c r="C62" s="210"/>
      <c r="D62" s="210"/>
      <c r="E62" s="210"/>
      <c r="F62" s="210"/>
      <c r="G62" s="210"/>
      <c r="H62" s="208">
        <f t="shared" si="5"/>
        <v>84603.667740810968</v>
      </c>
    </row>
    <row r="63" spans="1:8" x14ac:dyDescent="0.2">
      <c r="A63" s="210">
        <v>38808</v>
      </c>
      <c r="B63" s="210"/>
      <c r="C63" s="210"/>
      <c r="D63" s="210"/>
      <c r="E63" s="210"/>
      <c r="F63" s="210"/>
      <c r="G63" s="210"/>
      <c r="H63" s="208">
        <f t="shared" si="5"/>
        <v>112804.89032108129</v>
      </c>
    </row>
    <row r="64" spans="1:8" x14ac:dyDescent="0.2">
      <c r="A64" s="210">
        <v>38838</v>
      </c>
      <c r="B64" s="210"/>
      <c r="C64" s="210"/>
      <c r="D64" s="210"/>
      <c r="E64" s="210"/>
      <c r="F64" s="210"/>
      <c r="G64" s="210"/>
      <c r="H64" s="208">
        <f t="shared" si="5"/>
        <v>141006.11290135162</v>
      </c>
    </row>
    <row r="65" spans="1:10" x14ac:dyDescent="0.2">
      <c r="A65" s="210">
        <v>38869</v>
      </c>
      <c r="B65" s="210"/>
      <c r="C65" s="210"/>
      <c r="D65" s="210"/>
      <c r="E65" s="210"/>
      <c r="F65" s="210"/>
      <c r="G65" s="210"/>
      <c r="H65" s="208">
        <f t="shared" si="5"/>
        <v>169207.33548162194</v>
      </c>
    </row>
    <row r="66" spans="1:10" x14ac:dyDescent="0.2">
      <c r="A66" s="210">
        <v>38899</v>
      </c>
      <c r="B66" s="210"/>
      <c r="C66" s="210"/>
      <c r="D66" s="210"/>
      <c r="E66" s="210"/>
      <c r="F66" s="210"/>
      <c r="G66" s="210"/>
      <c r="H66" s="208">
        <f t="shared" si="5"/>
        <v>197408.55806189225</v>
      </c>
    </row>
    <row r="67" spans="1:10" x14ac:dyDescent="0.2">
      <c r="A67" s="210">
        <v>38930</v>
      </c>
      <c r="B67" s="210"/>
      <c r="C67" s="210"/>
      <c r="D67" s="210"/>
      <c r="E67" s="210"/>
      <c r="F67" s="210"/>
      <c r="G67" s="210"/>
      <c r="H67" s="208">
        <f t="shared" si="5"/>
        <v>225609.78064216257</v>
      </c>
    </row>
    <row r="68" spans="1:10" x14ac:dyDescent="0.2">
      <c r="A68" s="210">
        <v>38961</v>
      </c>
      <c r="B68" s="210"/>
      <c r="C68" s="210"/>
      <c r="D68" s="210"/>
      <c r="E68" s="210"/>
      <c r="F68" s="210"/>
      <c r="G68" s="210"/>
      <c r="H68" s="208">
        <f t="shared" si="5"/>
        <v>253811.00322243289</v>
      </c>
    </row>
    <row r="69" spans="1:10" x14ac:dyDescent="0.2">
      <c r="A69" s="210">
        <v>38991</v>
      </c>
      <c r="B69" s="210"/>
      <c r="C69" s="210"/>
      <c r="D69" s="210"/>
      <c r="E69" s="210"/>
      <c r="F69" s="210"/>
      <c r="G69" s="210"/>
      <c r="H69" s="208">
        <f t="shared" si="5"/>
        <v>282012.22580270324</v>
      </c>
    </row>
    <row r="70" spans="1:10" x14ac:dyDescent="0.2">
      <c r="A70" s="210">
        <v>39022</v>
      </c>
      <c r="B70" s="210"/>
      <c r="C70" s="210"/>
      <c r="D70" s="210"/>
      <c r="E70" s="210"/>
      <c r="F70" s="210"/>
      <c r="G70" s="210"/>
      <c r="H70" s="208">
        <f t="shared" si="5"/>
        <v>310213.44838297355</v>
      </c>
      <c r="I70" s="211" t="s">
        <v>19</v>
      </c>
    </row>
    <row r="71" spans="1:10" x14ac:dyDescent="0.2">
      <c r="A71" s="210">
        <v>39052</v>
      </c>
      <c r="B71" s="210"/>
      <c r="C71" s="210"/>
      <c r="D71" s="210"/>
      <c r="E71" s="210"/>
      <c r="F71" s="210"/>
      <c r="G71" s="210"/>
      <c r="H71" s="208">
        <f t="shared" si="5"/>
        <v>338414.67096324387</v>
      </c>
      <c r="I71" s="208">
        <f>SUM(H60:H71)</f>
        <v>2199695.3612610851</v>
      </c>
      <c r="J71" s="208">
        <f>H71*12</f>
        <v>4060976.0515589267</v>
      </c>
    </row>
    <row r="72" spans="1:10" x14ac:dyDescent="0.2">
      <c r="A72" s="210">
        <v>39083</v>
      </c>
      <c r="B72" s="210"/>
      <c r="C72" s="210"/>
      <c r="D72" s="210"/>
      <c r="E72" s="210"/>
      <c r="F72" s="210"/>
      <c r="G72" s="210"/>
      <c r="H72" s="208">
        <f t="shared" ref="H72:H83" si="6">H71+$I$5</f>
        <v>361548.06715530815</v>
      </c>
      <c r="J72" s="212"/>
    </row>
    <row r="73" spans="1:10" x14ac:dyDescent="0.2">
      <c r="A73" s="210">
        <v>39114</v>
      </c>
      <c r="B73" s="210"/>
      <c r="C73" s="210"/>
      <c r="D73" s="210"/>
      <c r="E73" s="210"/>
      <c r="F73" s="210"/>
      <c r="G73" s="210"/>
      <c r="H73" s="208">
        <f t="shared" si="6"/>
        <v>384681.46334737242</v>
      </c>
    </row>
    <row r="74" spans="1:10" x14ac:dyDescent="0.2">
      <c r="A74" s="210">
        <v>39142</v>
      </c>
      <c r="B74" s="210"/>
      <c r="C74" s="210"/>
      <c r="D74" s="210"/>
      <c r="E74" s="210"/>
      <c r="F74" s="210"/>
      <c r="G74" s="210"/>
      <c r="H74" s="208">
        <f t="shared" si="6"/>
        <v>407814.8595394367</v>
      </c>
    </row>
    <row r="75" spans="1:10" x14ac:dyDescent="0.2">
      <c r="A75" s="210">
        <v>39173</v>
      </c>
      <c r="B75" s="210"/>
      <c r="C75" s="210"/>
      <c r="D75" s="210"/>
      <c r="E75" s="210"/>
      <c r="F75" s="210"/>
      <c r="G75" s="210"/>
      <c r="H75" s="208">
        <f t="shared" si="6"/>
        <v>430948.25573150098</v>
      </c>
    </row>
    <row r="76" spans="1:10" x14ac:dyDescent="0.2">
      <c r="A76" s="210">
        <v>39203</v>
      </c>
      <c r="B76" s="210"/>
      <c r="C76" s="210"/>
      <c r="D76" s="210"/>
      <c r="E76" s="210"/>
      <c r="F76" s="210"/>
      <c r="G76" s="210"/>
      <c r="H76" s="208">
        <f t="shared" si="6"/>
        <v>454081.65192356525</v>
      </c>
    </row>
    <row r="77" spans="1:10" x14ac:dyDescent="0.2">
      <c r="A77" s="210">
        <v>39234</v>
      </c>
      <c r="B77" s="210"/>
      <c r="C77" s="210"/>
      <c r="D77" s="210"/>
      <c r="E77" s="210"/>
      <c r="F77" s="210"/>
      <c r="G77" s="210"/>
      <c r="H77" s="208">
        <f t="shared" si="6"/>
        <v>477215.04811562953</v>
      </c>
    </row>
    <row r="78" spans="1:10" x14ac:dyDescent="0.2">
      <c r="A78" s="210">
        <v>39264</v>
      </c>
      <c r="B78" s="210"/>
      <c r="C78" s="210"/>
      <c r="D78" s="210"/>
      <c r="E78" s="210"/>
      <c r="F78" s="210"/>
      <c r="G78" s="210"/>
      <c r="H78" s="208">
        <f t="shared" si="6"/>
        <v>500348.4443076938</v>
      </c>
    </row>
    <row r="79" spans="1:10" x14ac:dyDescent="0.2">
      <c r="A79" s="210">
        <v>39295</v>
      </c>
      <c r="B79" s="210"/>
      <c r="C79" s="210"/>
      <c r="D79" s="210"/>
      <c r="E79" s="210"/>
      <c r="F79" s="210"/>
      <c r="G79" s="210"/>
      <c r="H79" s="208">
        <f t="shared" si="6"/>
        <v>523481.84049975808</v>
      </c>
    </row>
    <row r="80" spans="1:10" x14ac:dyDescent="0.2">
      <c r="A80" s="210">
        <v>39326</v>
      </c>
      <c r="B80" s="210"/>
      <c r="C80" s="210"/>
      <c r="D80" s="210"/>
      <c r="E80" s="210"/>
      <c r="F80" s="210"/>
      <c r="G80" s="210"/>
      <c r="H80" s="208">
        <f t="shared" si="6"/>
        <v>546615.2366918223</v>
      </c>
    </row>
    <row r="81" spans="1:10" x14ac:dyDescent="0.2">
      <c r="A81" s="210">
        <v>39356</v>
      </c>
      <c r="B81" s="210"/>
      <c r="C81" s="210"/>
      <c r="D81" s="210"/>
      <c r="E81" s="210"/>
      <c r="F81" s="210"/>
      <c r="G81" s="210"/>
      <c r="H81" s="208">
        <f t="shared" si="6"/>
        <v>569748.63288388657</v>
      </c>
    </row>
    <row r="82" spans="1:10" x14ac:dyDescent="0.2">
      <c r="A82" s="210">
        <v>39387</v>
      </c>
      <c r="B82" s="210"/>
      <c r="C82" s="210"/>
      <c r="D82" s="210"/>
      <c r="E82" s="210"/>
      <c r="F82" s="210"/>
      <c r="G82" s="210"/>
      <c r="H82" s="208">
        <f t="shared" si="6"/>
        <v>592882.02907595085</v>
      </c>
      <c r="I82" s="211" t="s">
        <v>19</v>
      </c>
    </row>
    <row r="83" spans="1:10" x14ac:dyDescent="0.2">
      <c r="A83" s="210">
        <v>39417</v>
      </c>
      <c r="B83" s="210"/>
      <c r="C83" s="210"/>
      <c r="D83" s="210"/>
      <c r="E83" s="210"/>
      <c r="F83" s="210"/>
      <c r="G83" s="210"/>
      <c r="H83" s="208">
        <f t="shared" si="6"/>
        <v>616015.42526801513</v>
      </c>
      <c r="I83" s="208">
        <f>SUM(H72:H83)</f>
        <v>5865380.9545399398</v>
      </c>
      <c r="J83" s="208">
        <f>H83*12</f>
        <v>7392185.1032161815</v>
      </c>
    </row>
    <row r="84" spans="1:10" x14ac:dyDescent="0.2">
      <c r="A84" s="210">
        <v>39448</v>
      </c>
      <c r="B84" s="210"/>
      <c r="C84" s="210"/>
      <c r="D84" s="210"/>
      <c r="E84" s="210"/>
      <c r="F84" s="210"/>
      <c r="G84" s="210"/>
      <c r="H84" s="208">
        <f t="shared" ref="H84:H95" si="7">H83+$I$6</f>
        <v>632983.38990570104</v>
      </c>
    </row>
    <row r="85" spans="1:10" x14ac:dyDescent="0.2">
      <c r="A85" s="210">
        <v>39479</v>
      </c>
      <c r="B85" s="210"/>
      <c r="C85" s="210"/>
      <c r="D85" s="210"/>
      <c r="E85" s="210"/>
      <c r="F85" s="210"/>
      <c r="G85" s="210"/>
      <c r="H85" s="208">
        <f t="shared" si="7"/>
        <v>649951.35454338696</v>
      </c>
    </row>
    <row r="86" spans="1:10" x14ac:dyDescent="0.2">
      <c r="A86" s="210">
        <v>39508</v>
      </c>
      <c r="B86" s="210"/>
      <c r="C86" s="210"/>
      <c r="D86" s="210"/>
      <c r="E86" s="210"/>
      <c r="F86" s="210"/>
      <c r="G86" s="210"/>
      <c r="H86" s="208">
        <f t="shared" si="7"/>
        <v>666919.31918107287</v>
      </c>
    </row>
    <row r="87" spans="1:10" x14ac:dyDescent="0.2">
      <c r="A87" s="210">
        <v>39539</v>
      </c>
      <c r="B87" s="210"/>
      <c r="C87" s="210"/>
      <c r="D87" s="210"/>
      <c r="E87" s="210"/>
      <c r="F87" s="210"/>
      <c r="G87" s="210"/>
      <c r="H87" s="208">
        <f t="shared" si="7"/>
        <v>683887.28381875879</v>
      </c>
    </row>
    <row r="88" spans="1:10" x14ac:dyDescent="0.2">
      <c r="A88" s="210">
        <v>39569</v>
      </c>
      <c r="B88" s="210"/>
      <c r="C88" s="210"/>
      <c r="D88" s="210"/>
      <c r="E88" s="210"/>
      <c r="F88" s="210"/>
      <c r="G88" s="210"/>
      <c r="H88" s="208">
        <f t="shared" si="7"/>
        <v>700855.24845644471</v>
      </c>
    </row>
    <row r="89" spans="1:10" x14ac:dyDescent="0.2">
      <c r="A89" s="210">
        <v>39600</v>
      </c>
      <c r="B89" s="210"/>
      <c r="C89" s="210"/>
      <c r="D89" s="210"/>
      <c r="E89" s="210"/>
      <c r="F89" s="210"/>
      <c r="G89" s="210"/>
      <c r="H89" s="208">
        <f t="shared" si="7"/>
        <v>717823.21309413062</v>
      </c>
    </row>
    <row r="90" spans="1:10" x14ac:dyDescent="0.2">
      <c r="A90" s="210">
        <v>39630</v>
      </c>
      <c r="B90" s="210"/>
      <c r="C90" s="210"/>
      <c r="D90" s="210"/>
      <c r="E90" s="210"/>
      <c r="F90" s="210"/>
      <c r="G90" s="210"/>
      <c r="H90" s="208">
        <f t="shared" si="7"/>
        <v>734791.17773181654</v>
      </c>
    </row>
    <row r="91" spans="1:10" x14ac:dyDescent="0.2">
      <c r="A91" s="210">
        <v>39661</v>
      </c>
      <c r="B91" s="210"/>
      <c r="C91" s="210"/>
      <c r="D91" s="210"/>
      <c r="E91" s="210"/>
      <c r="F91" s="210"/>
      <c r="G91" s="210"/>
      <c r="H91" s="208">
        <f t="shared" si="7"/>
        <v>751759.14236950246</v>
      </c>
    </row>
    <row r="92" spans="1:10" x14ac:dyDescent="0.2">
      <c r="A92" s="210">
        <v>39692</v>
      </c>
      <c r="B92" s="210"/>
      <c r="C92" s="210"/>
      <c r="D92" s="210"/>
      <c r="E92" s="210"/>
      <c r="F92" s="210"/>
      <c r="G92" s="210"/>
      <c r="H92" s="208">
        <f t="shared" si="7"/>
        <v>768727.10700718837</v>
      </c>
    </row>
    <row r="93" spans="1:10" x14ac:dyDescent="0.2">
      <c r="A93" s="210">
        <v>39722</v>
      </c>
      <c r="B93" s="210"/>
      <c r="C93" s="210"/>
      <c r="D93" s="210"/>
      <c r="E93" s="210"/>
      <c r="F93" s="210"/>
      <c r="G93" s="210"/>
      <c r="H93" s="208">
        <f t="shared" si="7"/>
        <v>785695.07164487429</v>
      </c>
    </row>
    <row r="94" spans="1:10" x14ac:dyDescent="0.2">
      <c r="A94" s="210">
        <v>39753</v>
      </c>
      <c r="B94" s="210"/>
      <c r="C94" s="210"/>
      <c r="D94" s="210"/>
      <c r="E94" s="210"/>
      <c r="F94" s="210"/>
      <c r="G94" s="210"/>
      <c r="H94" s="208">
        <f t="shared" si="7"/>
        <v>802663.03628256021</v>
      </c>
    </row>
    <row r="95" spans="1:10" x14ac:dyDescent="0.2">
      <c r="A95" s="210">
        <v>39783</v>
      </c>
      <c r="B95" s="210"/>
      <c r="C95" s="210"/>
      <c r="D95" s="210"/>
      <c r="E95" s="210"/>
      <c r="F95" s="210"/>
      <c r="G95" s="210"/>
      <c r="H95" s="208">
        <f t="shared" si="7"/>
        <v>819631.00092024612</v>
      </c>
      <c r="I95" s="208">
        <f>SUM(H84:H95)</f>
        <v>8715686.3449556828</v>
      </c>
      <c r="J95" s="208">
        <f>H95*12</f>
        <v>9835572.0110429525</v>
      </c>
    </row>
    <row r="96" spans="1:10" x14ac:dyDescent="0.2">
      <c r="A96" s="210">
        <v>39814</v>
      </c>
      <c r="B96" s="210"/>
      <c r="C96" s="210"/>
      <c r="D96" s="210"/>
      <c r="E96" s="210"/>
      <c r="F96" s="210"/>
      <c r="G96" s="210"/>
      <c r="H96" s="208">
        <f t="shared" ref="H96:H107" si="8">H95+$I$7</f>
        <v>873816.71082089655</v>
      </c>
    </row>
    <row r="97" spans="1:10" x14ac:dyDescent="0.2">
      <c r="A97" s="210">
        <v>39845</v>
      </c>
      <c r="B97" s="210"/>
      <c r="C97" s="210"/>
      <c r="D97" s="210"/>
      <c r="E97" s="210"/>
      <c r="F97" s="210"/>
      <c r="G97" s="210"/>
      <c r="H97" s="208">
        <f t="shared" si="8"/>
        <v>928002.42072154698</v>
      </c>
    </row>
    <row r="98" spans="1:10" x14ac:dyDescent="0.2">
      <c r="A98" s="210">
        <v>39873</v>
      </c>
      <c r="B98" s="210"/>
      <c r="C98" s="210"/>
      <c r="D98" s="210"/>
      <c r="E98" s="210"/>
      <c r="F98" s="210"/>
      <c r="G98" s="210"/>
      <c r="H98" s="208">
        <f t="shared" si="8"/>
        <v>982188.13062219741</v>
      </c>
    </row>
    <row r="99" spans="1:10" x14ac:dyDescent="0.2">
      <c r="A99" s="210">
        <v>39904</v>
      </c>
      <c r="B99" s="210"/>
      <c r="C99" s="210"/>
      <c r="D99" s="210"/>
      <c r="E99" s="210"/>
      <c r="F99" s="210"/>
      <c r="G99" s="210"/>
      <c r="H99" s="208">
        <f t="shared" si="8"/>
        <v>1036373.8405228478</v>
      </c>
    </row>
    <row r="100" spans="1:10" x14ac:dyDescent="0.2">
      <c r="A100" s="210">
        <v>39934</v>
      </c>
      <c r="B100" s="210"/>
      <c r="C100" s="210"/>
      <c r="D100" s="210"/>
      <c r="E100" s="210"/>
      <c r="F100" s="210"/>
      <c r="G100" s="210"/>
      <c r="H100" s="208">
        <f t="shared" si="8"/>
        <v>1090559.5504234983</v>
      </c>
    </row>
    <row r="101" spans="1:10" x14ac:dyDescent="0.2">
      <c r="A101" s="210">
        <v>39965</v>
      </c>
      <c r="B101" s="210"/>
      <c r="C101" s="210"/>
      <c r="D101" s="210"/>
      <c r="E101" s="210"/>
      <c r="F101" s="210"/>
      <c r="G101" s="210"/>
      <c r="H101" s="208">
        <f t="shared" si="8"/>
        <v>1144745.2603241487</v>
      </c>
    </row>
    <row r="102" spans="1:10" x14ac:dyDescent="0.2">
      <c r="A102" s="210">
        <v>39995</v>
      </c>
      <c r="B102" s="210"/>
      <c r="C102" s="210"/>
      <c r="D102" s="210"/>
      <c r="E102" s="210"/>
      <c r="F102" s="210"/>
      <c r="G102" s="210"/>
      <c r="H102" s="208">
        <f t="shared" si="8"/>
        <v>1198930.9702247991</v>
      </c>
    </row>
    <row r="103" spans="1:10" x14ac:dyDescent="0.2">
      <c r="A103" s="210">
        <v>40026</v>
      </c>
      <c r="B103" s="210"/>
      <c r="C103" s="210"/>
      <c r="D103" s="210"/>
      <c r="E103" s="210"/>
      <c r="F103" s="210"/>
      <c r="G103" s="210"/>
      <c r="H103" s="208">
        <f t="shared" si="8"/>
        <v>1253116.6801254496</v>
      </c>
    </row>
    <row r="104" spans="1:10" x14ac:dyDescent="0.2">
      <c r="A104" s="210">
        <v>40057</v>
      </c>
      <c r="B104" s="210"/>
      <c r="C104" s="210"/>
      <c r="D104" s="210"/>
      <c r="E104" s="210"/>
      <c r="F104" s="210"/>
      <c r="G104" s="210"/>
      <c r="H104" s="208">
        <f t="shared" si="8"/>
        <v>1307302.3900261</v>
      </c>
    </row>
    <row r="105" spans="1:10" x14ac:dyDescent="0.2">
      <c r="A105" s="210">
        <v>40087</v>
      </c>
      <c r="B105" s="210"/>
      <c r="C105" s="210"/>
      <c r="D105" s="210"/>
      <c r="E105" s="210"/>
      <c r="F105" s="210"/>
      <c r="G105" s="210"/>
      <c r="H105" s="208">
        <f t="shared" si="8"/>
        <v>1361488.0999267504</v>
      </c>
    </row>
    <row r="106" spans="1:10" x14ac:dyDescent="0.2">
      <c r="A106" s="210">
        <v>40118</v>
      </c>
      <c r="B106" s="210"/>
      <c r="C106" s="210"/>
      <c r="D106" s="210"/>
      <c r="E106" s="210"/>
      <c r="F106" s="210"/>
      <c r="G106" s="210"/>
      <c r="H106" s="208">
        <f t="shared" si="8"/>
        <v>1415673.8098274008</v>
      </c>
    </row>
    <row r="107" spans="1:10" x14ac:dyDescent="0.2">
      <c r="A107" s="210">
        <v>40148</v>
      </c>
      <c r="B107" s="210"/>
      <c r="C107" s="210"/>
      <c r="D107" s="210"/>
      <c r="E107" s="210"/>
      <c r="F107" s="210"/>
      <c r="G107" s="210"/>
      <c r="H107" s="208">
        <f t="shared" si="8"/>
        <v>1469859.5197280513</v>
      </c>
      <c r="I107" s="208">
        <f>SUM(H96:H107)</f>
        <v>14062057.383293686</v>
      </c>
      <c r="J107" s="208">
        <f>H107*12</f>
        <v>17638314.236736614</v>
      </c>
    </row>
    <row r="108" spans="1:10" x14ac:dyDescent="0.2">
      <c r="A108" s="210">
        <v>40179</v>
      </c>
      <c r="B108" s="210"/>
      <c r="C108" s="210"/>
      <c r="D108" s="210"/>
      <c r="E108" s="210"/>
      <c r="F108" s="210"/>
      <c r="G108" s="210"/>
      <c r="H108" s="208">
        <f t="shared" ref="H108:H119" si="9">H107+$I$8</f>
        <v>1495424.7349871038</v>
      </c>
    </row>
    <row r="109" spans="1:10" x14ac:dyDescent="0.2">
      <c r="A109" s="210">
        <v>40210</v>
      </c>
      <c r="B109" s="210"/>
      <c r="C109" s="210"/>
      <c r="D109" s="210"/>
      <c r="E109" s="210"/>
      <c r="F109" s="210"/>
      <c r="G109" s="210"/>
      <c r="H109" s="208">
        <f t="shared" si="9"/>
        <v>1520989.9502461564</v>
      </c>
    </row>
    <row r="110" spans="1:10" x14ac:dyDescent="0.2">
      <c r="A110" s="210">
        <v>40238</v>
      </c>
      <c r="B110" s="210"/>
      <c r="C110" s="210"/>
      <c r="D110" s="210"/>
      <c r="E110" s="210"/>
      <c r="F110" s="210"/>
      <c r="G110" s="210"/>
      <c r="H110" s="208">
        <f t="shared" si="9"/>
        <v>1546555.165505209</v>
      </c>
    </row>
    <row r="111" spans="1:10" x14ac:dyDescent="0.2">
      <c r="A111" s="210">
        <v>40269</v>
      </c>
      <c r="B111" s="210"/>
      <c r="C111" s="210"/>
      <c r="D111" s="210"/>
      <c r="E111" s="210"/>
      <c r="F111" s="210"/>
      <c r="G111" s="210"/>
      <c r="H111" s="208">
        <f t="shared" si="9"/>
        <v>1572120.3807642616</v>
      </c>
    </row>
    <row r="112" spans="1:10" x14ac:dyDescent="0.2">
      <c r="A112" s="210">
        <v>40299</v>
      </c>
      <c r="B112" s="210"/>
      <c r="C112" s="210"/>
      <c r="D112" s="210"/>
      <c r="E112" s="210"/>
      <c r="F112" s="210"/>
      <c r="G112" s="210"/>
      <c r="H112" s="208">
        <f t="shared" si="9"/>
        <v>1597685.5960233142</v>
      </c>
    </row>
    <row r="113" spans="1:10" x14ac:dyDescent="0.2">
      <c r="A113" s="210">
        <v>40330</v>
      </c>
      <c r="B113" s="210"/>
      <c r="C113" s="210"/>
      <c r="D113" s="210"/>
      <c r="E113" s="210"/>
      <c r="F113" s="210"/>
      <c r="G113" s="210"/>
      <c r="H113" s="208">
        <f t="shared" si="9"/>
        <v>1623250.8112823667</v>
      </c>
    </row>
    <row r="114" spans="1:10" x14ac:dyDescent="0.2">
      <c r="A114" s="210">
        <v>40360</v>
      </c>
      <c r="B114" s="210"/>
      <c r="C114" s="210"/>
      <c r="D114" s="210"/>
      <c r="E114" s="210"/>
      <c r="F114" s="210"/>
      <c r="G114" s="210"/>
      <c r="H114" s="208">
        <f t="shared" si="9"/>
        <v>1648816.0265414193</v>
      </c>
    </row>
    <row r="115" spans="1:10" x14ac:dyDescent="0.2">
      <c r="A115" s="210">
        <v>40391</v>
      </c>
      <c r="B115" s="210"/>
      <c r="C115" s="210"/>
      <c r="D115" s="210"/>
      <c r="E115" s="210"/>
      <c r="F115" s="210"/>
      <c r="G115" s="210"/>
      <c r="H115" s="208">
        <f t="shared" si="9"/>
        <v>1674381.2418004719</v>
      </c>
    </row>
    <row r="116" spans="1:10" x14ac:dyDescent="0.2">
      <c r="A116" s="210">
        <v>40422</v>
      </c>
      <c r="B116" s="210"/>
      <c r="C116" s="210"/>
      <c r="D116" s="210"/>
      <c r="E116" s="210"/>
      <c r="F116" s="210"/>
      <c r="G116" s="210"/>
      <c r="H116" s="208">
        <f t="shared" si="9"/>
        <v>1699946.4570595245</v>
      </c>
    </row>
    <row r="117" spans="1:10" x14ac:dyDescent="0.2">
      <c r="A117" s="210">
        <v>40452</v>
      </c>
      <c r="B117" s="210"/>
      <c r="C117" s="210"/>
      <c r="D117" s="210"/>
      <c r="E117" s="210"/>
      <c r="F117" s="210"/>
      <c r="G117" s="210"/>
      <c r="H117" s="208">
        <f t="shared" si="9"/>
        <v>1725511.6723185771</v>
      </c>
    </row>
    <row r="118" spans="1:10" x14ac:dyDescent="0.2">
      <c r="A118" s="210">
        <v>40483</v>
      </c>
      <c r="B118" s="210"/>
      <c r="C118" s="210"/>
      <c r="D118" s="210"/>
      <c r="E118" s="210"/>
      <c r="F118" s="210"/>
      <c r="G118" s="210"/>
      <c r="H118" s="208">
        <f t="shared" si="9"/>
        <v>1751076.8875776296</v>
      </c>
    </row>
    <row r="119" spans="1:10" x14ac:dyDescent="0.2">
      <c r="A119" s="210">
        <v>40513</v>
      </c>
      <c r="B119" s="210"/>
      <c r="C119" s="210"/>
      <c r="D119" s="210"/>
      <c r="E119" s="210"/>
      <c r="F119" s="210"/>
      <c r="G119" s="210"/>
      <c r="H119" s="208">
        <f t="shared" si="9"/>
        <v>1776642.1028366822</v>
      </c>
      <c r="I119" s="208">
        <f>SUM(H108:H119)</f>
        <v>19632401.026942719</v>
      </c>
      <c r="J119" s="208">
        <f>H119*12</f>
        <v>21319705.234040186</v>
      </c>
    </row>
    <row r="120" spans="1:10" x14ac:dyDescent="0.2">
      <c r="A120" s="210">
        <v>40544</v>
      </c>
      <c r="B120" s="210"/>
      <c r="C120" s="210"/>
      <c r="D120" s="210"/>
      <c r="E120" s="210"/>
      <c r="F120" s="210"/>
      <c r="G120" s="210"/>
      <c r="H120" s="208">
        <f t="shared" ref="H120:H131" si="10">H119+$I$9</f>
        <v>1894820.7510606851</v>
      </c>
    </row>
    <row r="121" spans="1:10" x14ac:dyDescent="0.2">
      <c r="A121" s="210">
        <v>40575</v>
      </c>
      <c r="B121" s="210"/>
      <c r="C121" s="210"/>
      <c r="D121" s="210"/>
      <c r="E121" s="210"/>
      <c r="F121" s="210"/>
      <c r="G121" s="210"/>
      <c r="H121" s="208">
        <f t="shared" si="10"/>
        <v>2012999.3992846881</v>
      </c>
    </row>
    <row r="122" spans="1:10" x14ac:dyDescent="0.2">
      <c r="A122" s="210">
        <v>40603</v>
      </c>
      <c r="B122" s="210"/>
      <c r="C122" s="210"/>
      <c r="D122" s="210"/>
      <c r="E122" s="210"/>
      <c r="F122" s="210"/>
      <c r="G122" s="210"/>
      <c r="H122" s="208">
        <f t="shared" si="10"/>
        <v>2131178.047508691</v>
      </c>
    </row>
    <row r="123" spans="1:10" x14ac:dyDescent="0.2">
      <c r="A123" s="210">
        <v>40634</v>
      </c>
      <c r="B123" s="210"/>
      <c r="C123" s="210"/>
      <c r="D123" s="210"/>
      <c r="E123" s="210"/>
      <c r="F123" s="210"/>
      <c r="G123" s="210"/>
      <c r="H123" s="208">
        <f t="shared" si="10"/>
        <v>2249356.6957326937</v>
      </c>
    </row>
    <row r="124" spans="1:10" x14ac:dyDescent="0.2">
      <c r="A124" s="210">
        <v>40664</v>
      </c>
      <c r="B124" s="210"/>
      <c r="C124" s="210"/>
      <c r="D124" s="210"/>
      <c r="E124" s="210"/>
      <c r="F124" s="210"/>
      <c r="G124" s="210"/>
      <c r="H124" s="208">
        <f t="shared" si="10"/>
        <v>2367535.3439566963</v>
      </c>
    </row>
    <row r="125" spans="1:10" x14ac:dyDescent="0.2">
      <c r="A125" s="210">
        <v>40695</v>
      </c>
      <c r="B125" s="210"/>
      <c r="C125" s="210"/>
      <c r="D125" s="210"/>
      <c r="E125" s="210"/>
      <c r="F125" s="210"/>
      <c r="G125" s="210"/>
      <c r="H125" s="208">
        <f t="shared" si="10"/>
        <v>2485713.992180699</v>
      </c>
    </row>
    <row r="126" spans="1:10" x14ac:dyDescent="0.2">
      <c r="A126" s="210">
        <v>40725</v>
      </c>
      <c r="B126" s="210"/>
      <c r="C126" s="210"/>
      <c r="D126" s="210"/>
      <c r="E126" s="210"/>
      <c r="F126" s="210"/>
      <c r="G126" s="210"/>
      <c r="H126" s="208">
        <f t="shared" si="10"/>
        <v>2603892.6404047017</v>
      </c>
    </row>
    <row r="127" spans="1:10" x14ac:dyDescent="0.2">
      <c r="A127" s="210">
        <v>40756</v>
      </c>
      <c r="B127" s="210"/>
      <c r="C127" s="210"/>
      <c r="D127" s="210"/>
      <c r="E127" s="210"/>
      <c r="F127" s="210"/>
      <c r="G127" s="210"/>
      <c r="H127" s="208">
        <f t="shared" si="10"/>
        <v>2722071.2886287044</v>
      </c>
    </row>
    <row r="128" spans="1:10" x14ac:dyDescent="0.2">
      <c r="A128" s="210">
        <v>40787</v>
      </c>
      <c r="B128" s="210"/>
      <c r="C128" s="210"/>
      <c r="D128" s="210"/>
      <c r="E128" s="210"/>
      <c r="F128" s="210"/>
      <c r="G128" s="210"/>
      <c r="H128" s="208">
        <f t="shared" si="10"/>
        <v>2840249.9368527071</v>
      </c>
    </row>
    <row r="129" spans="1:10" x14ac:dyDescent="0.2">
      <c r="A129" s="210">
        <v>40817</v>
      </c>
      <c r="B129" s="210"/>
      <c r="C129" s="210"/>
      <c r="D129" s="210"/>
      <c r="E129" s="210"/>
      <c r="F129" s="210"/>
      <c r="G129" s="210"/>
      <c r="H129" s="208">
        <f t="shared" si="10"/>
        <v>2958428.5850767097</v>
      </c>
    </row>
    <row r="130" spans="1:10" x14ac:dyDescent="0.2">
      <c r="A130" s="210">
        <v>40848</v>
      </c>
      <c r="B130" s="210"/>
      <c r="C130" s="210"/>
      <c r="D130" s="210"/>
      <c r="E130" s="210"/>
      <c r="F130" s="210"/>
      <c r="G130" s="210"/>
      <c r="H130" s="208">
        <f t="shared" si="10"/>
        <v>3076607.2333007124</v>
      </c>
    </row>
    <row r="131" spans="1:10" x14ac:dyDescent="0.2">
      <c r="A131" s="210">
        <v>40878</v>
      </c>
      <c r="B131" s="210"/>
      <c r="C131" s="210"/>
      <c r="D131" s="210"/>
      <c r="E131" s="210"/>
      <c r="F131" s="210"/>
      <c r="G131" s="210"/>
      <c r="H131" s="208">
        <f t="shared" si="10"/>
        <v>3194785.8815247151</v>
      </c>
      <c r="I131" s="208">
        <f>SUM(H120:H131)</f>
        <v>30537639.795512404</v>
      </c>
      <c r="J131" s="208">
        <f>H131*12</f>
        <v>38337430.578296579</v>
      </c>
    </row>
    <row r="132" spans="1:10" x14ac:dyDescent="0.2">
      <c r="A132" s="210">
        <v>40909</v>
      </c>
      <c r="B132" s="210"/>
      <c r="C132" s="210"/>
      <c r="D132" s="210"/>
      <c r="E132" s="210"/>
      <c r="F132" s="210"/>
      <c r="G132" s="210"/>
      <c r="H132" s="208">
        <f t="shared" ref="H132:H143" si="11">H131+$I$10</f>
        <v>3244255.7843758832</v>
      </c>
    </row>
    <row r="133" spans="1:10" x14ac:dyDescent="0.2">
      <c r="A133" s="210">
        <v>40940</v>
      </c>
      <c r="B133" s="210"/>
      <c r="C133" s="210"/>
      <c r="D133" s="210"/>
      <c r="E133" s="210"/>
      <c r="F133" s="210"/>
      <c r="G133" s="210"/>
      <c r="H133" s="208">
        <f t="shared" si="11"/>
        <v>3293725.6872270512</v>
      </c>
    </row>
    <row r="134" spans="1:10" x14ac:dyDescent="0.2">
      <c r="A134" s="210">
        <v>40969</v>
      </c>
      <c r="B134" s="210"/>
      <c r="C134" s="210"/>
      <c r="D134" s="210"/>
      <c r="E134" s="210"/>
      <c r="F134" s="210"/>
      <c r="G134" s="210"/>
      <c r="H134" s="208">
        <f t="shared" si="11"/>
        <v>3343195.5900782193</v>
      </c>
    </row>
    <row r="135" spans="1:10" x14ac:dyDescent="0.2">
      <c r="A135" s="210">
        <v>41000</v>
      </c>
      <c r="B135" s="210"/>
      <c r="C135" s="210"/>
      <c r="D135" s="210"/>
      <c r="E135" s="210"/>
      <c r="F135" s="210"/>
      <c r="G135" s="210"/>
      <c r="H135" s="208">
        <f t="shared" si="11"/>
        <v>3392665.4929293874</v>
      </c>
    </row>
    <row r="136" spans="1:10" x14ac:dyDescent="0.2">
      <c r="A136" s="210">
        <v>41030</v>
      </c>
      <c r="B136" s="210"/>
      <c r="C136" s="210"/>
      <c r="D136" s="210"/>
      <c r="E136" s="210"/>
      <c r="F136" s="210"/>
      <c r="G136" s="210"/>
      <c r="H136" s="208">
        <f t="shared" si="11"/>
        <v>3442135.3957805554</v>
      </c>
    </row>
    <row r="137" spans="1:10" x14ac:dyDescent="0.2">
      <c r="A137" s="210">
        <v>41061</v>
      </c>
      <c r="B137" s="210"/>
      <c r="C137" s="210"/>
      <c r="D137" s="210"/>
      <c r="E137" s="210"/>
      <c r="F137" s="210"/>
      <c r="G137" s="210"/>
      <c r="H137" s="208">
        <f t="shared" si="11"/>
        <v>3491605.2986317235</v>
      </c>
    </row>
    <row r="138" spans="1:10" x14ac:dyDescent="0.2">
      <c r="A138" s="210">
        <v>41091</v>
      </c>
      <c r="B138" s="210"/>
      <c r="C138" s="210"/>
      <c r="D138" s="210"/>
      <c r="E138" s="210"/>
      <c r="F138" s="210"/>
      <c r="G138" s="210"/>
      <c r="H138" s="208">
        <f t="shared" si="11"/>
        <v>3541075.2014828916</v>
      </c>
    </row>
    <row r="139" spans="1:10" x14ac:dyDescent="0.2">
      <c r="A139" s="210">
        <v>41122</v>
      </c>
      <c r="B139" s="210"/>
      <c r="C139" s="210"/>
      <c r="D139" s="210"/>
      <c r="E139" s="210"/>
      <c r="F139" s="210"/>
      <c r="G139" s="210"/>
      <c r="H139" s="208">
        <f t="shared" si="11"/>
        <v>3590545.1043340596</v>
      </c>
    </row>
    <row r="140" spans="1:10" x14ac:dyDescent="0.2">
      <c r="A140" s="210">
        <v>41153</v>
      </c>
      <c r="B140" s="210"/>
      <c r="C140" s="210"/>
      <c r="D140" s="210"/>
      <c r="E140" s="210"/>
      <c r="F140" s="210"/>
      <c r="G140" s="210"/>
      <c r="H140" s="208">
        <f t="shared" si="11"/>
        <v>3640015.0071852277</v>
      </c>
    </row>
    <row r="141" spans="1:10" x14ac:dyDescent="0.2">
      <c r="A141" s="210">
        <v>41183</v>
      </c>
      <c r="B141" s="210"/>
      <c r="C141" s="210"/>
      <c r="D141" s="210"/>
      <c r="E141" s="210"/>
      <c r="F141" s="210"/>
      <c r="G141" s="210"/>
      <c r="H141" s="208">
        <f t="shared" si="11"/>
        <v>3689484.9100363958</v>
      </c>
    </row>
    <row r="142" spans="1:10" x14ac:dyDescent="0.2">
      <c r="A142" s="210">
        <v>41214</v>
      </c>
      <c r="B142" s="210"/>
      <c r="C142" s="210"/>
      <c r="D142" s="210"/>
      <c r="E142" s="210"/>
      <c r="F142" s="210"/>
      <c r="G142" s="210"/>
      <c r="H142" s="208">
        <f t="shared" si="11"/>
        <v>3738954.8128875638</v>
      </c>
    </row>
    <row r="143" spans="1:10" x14ac:dyDescent="0.2">
      <c r="A143" s="210">
        <v>41244</v>
      </c>
      <c r="B143" s="210"/>
      <c r="C143" s="210"/>
      <c r="D143" s="210"/>
      <c r="E143" s="210"/>
      <c r="F143" s="210"/>
      <c r="G143" s="210"/>
      <c r="H143" s="208">
        <f t="shared" si="11"/>
        <v>3788424.7157387319</v>
      </c>
      <c r="I143" s="208">
        <f>SUM(H132:H143)</f>
        <v>42196083.000687689</v>
      </c>
      <c r="J143" s="208">
        <f>H143*12</f>
        <v>45461096.588864781</v>
      </c>
    </row>
    <row r="144" spans="1:10" x14ac:dyDescent="0.2">
      <c r="A144" s="210">
        <v>41275</v>
      </c>
      <c r="B144" s="210"/>
      <c r="C144" s="210"/>
      <c r="D144" s="210"/>
      <c r="E144" s="210"/>
      <c r="F144" s="210"/>
      <c r="G144" s="210"/>
      <c r="H144" s="208">
        <f t="shared" ref="H144:H155" si="12">H143+$I$11</f>
        <v>3883154.3251877506</v>
      </c>
    </row>
    <row r="145" spans="1:10" x14ac:dyDescent="0.2">
      <c r="A145" s="210">
        <v>41306</v>
      </c>
      <c r="B145" s="210"/>
      <c r="C145" s="210"/>
      <c r="D145" s="210"/>
      <c r="E145" s="210"/>
      <c r="F145" s="210"/>
      <c r="G145" s="210"/>
      <c r="H145" s="208">
        <f t="shared" si="12"/>
        <v>3977883.9346367694</v>
      </c>
    </row>
    <row r="146" spans="1:10" x14ac:dyDescent="0.2">
      <c r="A146" s="210">
        <v>41334</v>
      </c>
      <c r="B146" s="210"/>
      <c r="C146" s="210"/>
      <c r="D146" s="210"/>
      <c r="E146" s="210"/>
      <c r="F146" s="210"/>
      <c r="G146" s="210"/>
      <c r="H146" s="208">
        <f t="shared" si="12"/>
        <v>4072613.5440857881</v>
      </c>
    </row>
    <row r="147" spans="1:10" x14ac:dyDescent="0.2">
      <c r="A147" s="210">
        <v>41365</v>
      </c>
      <c r="B147" s="210"/>
      <c r="C147" s="210"/>
      <c r="D147" s="210"/>
      <c r="E147" s="210"/>
      <c r="F147" s="210"/>
      <c r="G147" s="210"/>
      <c r="H147" s="208">
        <f t="shared" si="12"/>
        <v>4167343.1535348068</v>
      </c>
    </row>
    <row r="148" spans="1:10" x14ac:dyDescent="0.2">
      <c r="A148" s="210">
        <v>41395</v>
      </c>
      <c r="B148" s="210"/>
      <c r="C148" s="210"/>
      <c r="D148" s="210"/>
      <c r="E148" s="210"/>
      <c r="F148" s="210"/>
      <c r="G148" s="210"/>
      <c r="H148" s="208">
        <f t="shared" si="12"/>
        <v>4262072.762983826</v>
      </c>
    </row>
    <row r="149" spans="1:10" x14ac:dyDescent="0.2">
      <c r="A149" s="210">
        <v>41426</v>
      </c>
      <c r="B149" s="210"/>
      <c r="C149" s="210"/>
      <c r="D149" s="210"/>
      <c r="E149" s="210"/>
      <c r="F149" s="210"/>
      <c r="G149" s="210"/>
      <c r="H149" s="208">
        <f t="shared" si="12"/>
        <v>4356802.3724328447</v>
      </c>
    </row>
    <row r="150" spans="1:10" x14ac:dyDescent="0.2">
      <c r="A150" s="210">
        <v>41456</v>
      </c>
      <c r="B150" s="210"/>
      <c r="C150" s="210"/>
      <c r="D150" s="210"/>
      <c r="E150" s="210"/>
      <c r="F150" s="210"/>
      <c r="G150" s="210"/>
      <c r="H150" s="208">
        <f t="shared" si="12"/>
        <v>4451531.9818818634</v>
      </c>
    </row>
    <row r="151" spans="1:10" x14ac:dyDescent="0.2">
      <c r="A151" s="210">
        <v>41487</v>
      </c>
      <c r="B151" s="210"/>
      <c r="C151" s="210"/>
      <c r="D151" s="210"/>
      <c r="E151" s="210"/>
      <c r="F151" s="210"/>
      <c r="G151" s="210"/>
      <c r="H151" s="208">
        <f t="shared" si="12"/>
        <v>4546261.5913308822</v>
      </c>
    </row>
    <row r="152" spans="1:10" x14ac:dyDescent="0.2">
      <c r="A152" s="210">
        <v>41518</v>
      </c>
      <c r="B152" s="210"/>
      <c r="C152" s="210"/>
      <c r="D152" s="210"/>
      <c r="E152" s="210"/>
      <c r="F152" s="210"/>
      <c r="G152" s="210"/>
      <c r="H152" s="208">
        <f t="shared" si="12"/>
        <v>4640991.2007799009</v>
      </c>
    </row>
    <row r="153" spans="1:10" x14ac:dyDescent="0.2">
      <c r="A153" s="210">
        <v>41548</v>
      </c>
      <c r="B153" s="210"/>
      <c r="C153" s="210"/>
      <c r="D153" s="210"/>
      <c r="E153" s="210"/>
      <c r="F153" s="210"/>
      <c r="G153" s="210"/>
      <c r="H153" s="208">
        <f t="shared" si="12"/>
        <v>4735720.8102289196</v>
      </c>
    </row>
    <row r="154" spans="1:10" x14ac:dyDescent="0.2">
      <c r="A154" s="210">
        <v>41579</v>
      </c>
      <c r="B154" s="210"/>
      <c r="C154" s="210"/>
      <c r="D154" s="210"/>
      <c r="E154" s="210"/>
      <c r="F154" s="210"/>
      <c r="G154" s="210"/>
      <c r="H154" s="208">
        <f t="shared" si="12"/>
        <v>4830450.4196779383</v>
      </c>
    </row>
    <row r="155" spans="1:10" x14ac:dyDescent="0.2">
      <c r="A155" s="210">
        <v>41609</v>
      </c>
      <c r="B155" s="210"/>
      <c r="C155" s="210"/>
      <c r="D155" s="210"/>
      <c r="E155" s="210"/>
      <c r="F155" s="210"/>
      <c r="G155" s="210"/>
      <c r="H155" s="208">
        <f t="shared" si="12"/>
        <v>4925180.0291269571</v>
      </c>
      <c r="I155" s="208">
        <f>SUM(H144:H155)</f>
        <v>52850006.125888243</v>
      </c>
      <c r="J155" s="208">
        <f>H155*12</f>
        <v>59102160.349523485</v>
      </c>
    </row>
    <row r="156" spans="1:10" x14ac:dyDescent="0.2">
      <c r="A156" s="210">
        <v>41640</v>
      </c>
      <c r="H156" s="208">
        <f>H155+$I$12</f>
        <v>5042471.6014174633</v>
      </c>
    </row>
    <row r="157" spans="1:10" x14ac:dyDescent="0.2">
      <c r="A157" s="210">
        <v>41671</v>
      </c>
      <c r="H157" s="208">
        <f t="shared" ref="H157:H167" si="13">H156+$I$12</f>
        <v>5159763.1737079695</v>
      </c>
    </row>
    <row r="158" spans="1:10" x14ac:dyDescent="0.2">
      <c r="A158" s="210">
        <v>41699</v>
      </c>
      <c r="H158" s="208">
        <f t="shared" si="13"/>
        <v>5277054.7459984757</v>
      </c>
    </row>
    <row r="159" spans="1:10" x14ac:dyDescent="0.2">
      <c r="A159" s="210">
        <v>41730</v>
      </c>
      <c r="H159" s="208">
        <f t="shared" si="13"/>
        <v>5394346.3182889819</v>
      </c>
    </row>
    <row r="160" spans="1:10" x14ac:dyDescent="0.2">
      <c r="A160" s="210">
        <v>41760</v>
      </c>
      <c r="H160" s="208">
        <f t="shared" si="13"/>
        <v>5511637.8905794881</v>
      </c>
    </row>
    <row r="161" spans="1:10" x14ac:dyDescent="0.2">
      <c r="A161" s="210">
        <v>41791</v>
      </c>
      <c r="H161" s="208">
        <f t="shared" si="13"/>
        <v>5628929.4628699943</v>
      </c>
    </row>
    <row r="162" spans="1:10" x14ac:dyDescent="0.2">
      <c r="A162" s="210">
        <v>41821</v>
      </c>
      <c r="H162" s="208">
        <f t="shared" si="13"/>
        <v>5746221.0351605006</v>
      </c>
    </row>
    <row r="163" spans="1:10" x14ac:dyDescent="0.2">
      <c r="A163" s="210">
        <v>41852</v>
      </c>
      <c r="H163" s="208">
        <f t="shared" si="13"/>
        <v>5863512.6074510068</v>
      </c>
    </row>
    <row r="164" spans="1:10" x14ac:dyDescent="0.2">
      <c r="A164" s="210">
        <v>41883</v>
      </c>
      <c r="H164" s="208">
        <f t="shared" si="13"/>
        <v>5980804.179741513</v>
      </c>
    </row>
    <row r="165" spans="1:10" x14ac:dyDescent="0.2">
      <c r="A165" s="210">
        <v>41913</v>
      </c>
      <c r="H165" s="208">
        <f t="shared" si="13"/>
        <v>6098095.7520320192</v>
      </c>
    </row>
    <row r="166" spans="1:10" x14ac:dyDescent="0.2">
      <c r="A166" s="210">
        <v>41944</v>
      </c>
      <c r="H166" s="208">
        <f t="shared" si="13"/>
        <v>6215387.3243225254</v>
      </c>
    </row>
    <row r="167" spans="1:10" x14ac:dyDescent="0.2">
      <c r="A167" s="210">
        <v>41974</v>
      </c>
      <c r="H167" s="208">
        <f t="shared" si="13"/>
        <v>6332678.8966130316</v>
      </c>
      <c r="I167" s="208">
        <f>SUM(H156:H167)</f>
        <v>68250902.988182977</v>
      </c>
      <c r="J167" s="208">
        <f>H167*12</f>
        <v>75992146.75935638</v>
      </c>
    </row>
    <row r="168" spans="1:10" x14ac:dyDescent="0.2">
      <c r="A168" s="210">
        <v>42005</v>
      </c>
      <c r="H168" s="208">
        <f>H167+$I$13</f>
        <v>6459183.2072933279</v>
      </c>
    </row>
    <row r="169" spans="1:10" x14ac:dyDescent="0.2">
      <c r="A169" s="210">
        <v>42036</v>
      </c>
      <c r="H169" s="208">
        <f t="shared" ref="H169:H179" si="14">H168+$I$13</f>
        <v>6585687.5179736242</v>
      </c>
    </row>
    <row r="170" spans="1:10" x14ac:dyDescent="0.2">
      <c r="A170" s="210">
        <v>42064</v>
      </c>
      <c r="H170" s="208">
        <f t="shared" si="14"/>
        <v>6712191.8286539204</v>
      </c>
    </row>
    <row r="171" spans="1:10" x14ac:dyDescent="0.2">
      <c r="A171" s="210">
        <v>42095</v>
      </c>
      <c r="H171" s="208">
        <f t="shared" si="14"/>
        <v>6838696.1393342167</v>
      </c>
    </row>
    <row r="172" spans="1:10" x14ac:dyDescent="0.2">
      <c r="A172" s="210">
        <v>42125</v>
      </c>
      <c r="H172" s="208">
        <f t="shared" si="14"/>
        <v>6965200.450014513</v>
      </c>
    </row>
    <row r="173" spans="1:10" x14ac:dyDescent="0.2">
      <c r="A173" s="210">
        <v>42156</v>
      </c>
      <c r="H173" s="208">
        <f t="shared" si="14"/>
        <v>7091704.7606948093</v>
      </c>
    </row>
    <row r="174" spans="1:10" x14ac:dyDescent="0.2">
      <c r="A174" s="210">
        <v>42186</v>
      </c>
      <c r="H174" s="208">
        <f t="shared" si="14"/>
        <v>7218209.0713751055</v>
      </c>
    </row>
    <row r="175" spans="1:10" x14ac:dyDescent="0.2">
      <c r="A175" s="210">
        <v>42217</v>
      </c>
      <c r="H175" s="208">
        <f t="shared" si="14"/>
        <v>7344713.3820554018</v>
      </c>
    </row>
    <row r="176" spans="1:10" x14ac:dyDescent="0.2">
      <c r="A176" s="210">
        <v>42248</v>
      </c>
      <c r="H176" s="208">
        <f t="shared" si="14"/>
        <v>7471217.6927356981</v>
      </c>
    </row>
    <row r="177" spans="1:10" x14ac:dyDescent="0.2">
      <c r="A177" s="210">
        <v>42278</v>
      </c>
      <c r="H177" s="208">
        <f t="shared" si="14"/>
        <v>7597722.0034159943</v>
      </c>
    </row>
    <row r="178" spans="1:10" x14ac:dyDescent="0.2">
      <c r="A178" s="210">
        <v>42309</v>
      </c>
      <c r="H178" s="208">
        <f t="shared" si="14"/>
        <v>7724226.3140962906</v>
      </c>
    </row>
    <row r="179" spans="1:10" x14ac:dyDescent="0.2">
      <c r="A179" s="210">
        <v>42339</v>
      </c>
      <c r="H179" s="208">
        <f t="shared" si="14"/>
        <v>7850730.6247765869</v>
      </c>
      <c r="I179" s="208">
        <f>SUM(H168:H179)</f>
        <v>85859482.992419481</v>
      </c>
      <c r="J179" s="208">
        <f>H179*12</f>
        <v>94208767.497319043</v>
      </c>
    </row>
    <row r="180" spans="1:10" x14ac:dyDescent="0.2">
      <c r="A180" s="210">
        <v>42370</v>
      </c>
      <c r="H180" s="208">
        <f>H179+$I$14</f>
        <v>7965870.7376582809</v>
      </c>
    </row>
    <row r="181" spans="1:10" x14ac:dyDescent="0.2">
      <c r="A181" s="210">
        <v>42401</v>
      </c>
      <c r="H181" s="208">
        <f t="shared" ref="H181:H191" si="15">H180+$I$14</f>
        <v>8081010.8505399749</v>
      </c>
    </row>
    <row r="182" spans="1:10" x14ac:dyDescent="0.2">
      <c r="A182" s="210">
        <v>42430</v>
      </c>
      <c r="H182" s="208">
        <f t="shared" si="15"/>
        <v>8196150.9634216689</v>
      </c>
    </row>
    <row r="183" spans="1:10" x14ac:dyDescent="0.2">
      <c r="A183" s="210">
        <v>42461</v>
      </c>
      <c r="H183" s="208">
        <f t="shared" si="15"/>
        <v>8311291.0763033628</v>
      </c>
    </row>
    <row r="184" spans="1:10" x14ac:dyDescent="0.2">
      <c r="A184" s="210">
        <v>42491</v>
      </c>
      <c r="H184" s="208">
        <f t="shared" si="15"/>
        <v>8426431.1891850568</v>
      </c>
    </row>
    <row r="185" spans="1:10" x14ac:dyDescent="0.2">
      <c r="A185" s="210">
        <v>42522</v>
      </c>
      <c r="H185" s="208">
        <f t="shared" si="15"/>
        <v>8541571.3020667508</v>
      </c>
    </row>
    <row r="186" spans="1:10" x14ac:dyDescent="0.2">
      <c r="A186" s="210">
        <v>42552</v>
      </c>
      <c r="H186" s="208">
        <f t="shared" si="15"/>
        <v>8656711.4149484448</v>
      </c>
    </row>
    <row r="187" spans="1:10" x14ac:dyDescent="0.2">
      <c r="A187" s="210">
        <v>42583</v>
      </c>
      <c r="H187" s="208">
        <f t="shared" si="15"/>
        <v>8771851.5278301388</v>
      </c>
    </row>
    <row r="188" spans="1:10" x14ac:dyDescent="0.2">
      <c r="A188" s="210">
        <v>42614</v>
      </c>
      <c r="H188" s="208">
        <f t="shared" si="15"/>
        <v>8886991.6407118328</v>
      </c>
    </row>
    <row r="189" spans="1:10" x14ac:dyDescent="0.2">
      <c r="A189" s="210">
        <v>42644</v>
      </c>
      <c r="H189" s="208">
        <f t="shared" si="15"/>
        <v>9002131.7535935268</v>
      </c>
    </row>
    <row r="190" spans="1:10" x14ac:dyDescent="0.2">
      <c r="A190" s="210">
        <v>42675</v>
      </c>
      <c r="H190" s="208">
        <f t="shared" si="15"/>
        <v>9117271.8664752208</v>
      </c>
    </row>
    <row r="191" spans="1:10" x14ac:dyDescent="0.2">
      <c r="A191" s="210">
        <v>42705</v>
      </c>
      <c r="H191" s="208">
        <f t="shared" si="15"/>
        <v>9232411.9793569148</v>
      </c>
      <c r="I191" s="208">
        <f>SUM(H180:H191)</f>
        <v>103189696.30209118</v>
      </c>
      <c r="J191" s="208">
        <f>H191*12</f>
        <v>110788943.75228298</v>
      </c>
    </row>
    <row r="192" spans="1:10" x14ac:dyDescent="0.2">
      <c r="A192" s="210">
        <v>42736</v>
      </c>
      <c r="H192" s="208">
        <f>H191+$I$15</f>
        <v>9394924.7050699648</v>
      </c>
    </row>
    <row r="193" spans="1:10" x14ac:dyDescent="0.2">
      <c r="A193" s="210">
        <v>42767</v>
      </c>
      <c r="H193" s="208">
        <f t="shared" ref="H193:H203" si="16">H192+$I$15</f>
        <v>9557437.4307830147</v>
      </c>
    </row>
    <row r="194" spans="1:10" x14ac:dyDescent="0.2">
      <c r="A194" s="210">
        <v>42795</v>
      </c>
      <c r="H194" s="208">
        <f t="shared" si="16"/>
        <v>9719950.1564960647</v>
      </c>
    </row>
    <row r="195" spans="1:10" x14ac:dyDescent="0.2">
      <c r="A195" s="210">
        <v>42826</v>
      </c>
      <c r="H195" s="208">
        <f t="shared" si="16"/>
        <v>9882462.8822091147</v>
      </c>
    </row>
    <row r="196" spans="1:10" x14ac:dyDescent="0.2">
      <c r="A196" s="210">
        <v>42856</v>
      </c>
      <c r="H196" s="208">
        <f t="shared" si="16"/>
        <v>10044975.607922165</v>
      </c>
    </row>
    <row r="197" spans="1:10" x14ac:dyDescent="0.2">
      <c r="A197" s="210">
        <v>42887</v>
      </c>
      <c r="H197" s="208">
        <f t="shared" si="16"/>
        <v>10207488.333635215</v>
      </c>
    </row>
    <row r="198" spans="1:10" x14ac:dyDescent="0.2">
      <c r="A198" s="210">
        <v>42917</v>
      </c>
      <c r="H198" s="208">
        <f t="shared" si="16"/>
        <v>10370001.059348265</v>
      </c>
    </row>
    <row r="199" spans="1:10" x14ac:dyDescent="0.2">
      <c r="A199" s="210">
        <v>42948</v>
      </c>
      <c r="H199" s="208">
        <f t="shared" si="16"/>
        <v>10532513.785061315</v>
      </c>
    </row>
    <row r="200" spans="1:10" x14ac:dyDescent="0.2">
      <c r="A200" s="210">
        <v>42979</v>
      </c>
      <c r="H200" s="208">
        <f t="shared" si="16"/>
        <v>10695026.510774365</v>
      </c>
    </row>
    <row r="201" spans="1:10" x14ac:dyDescent="0.2">
      <c r="A201" s="210">
        <v>43009</v>
      </c>
      <c r="H201" s="208">
        <f t="shared" si="16"/>
        <v>10857539.236487415</v>
      </c>
    </row>
    <row r="202" spans="1:10" x14ac:dyDescent="0.2">
      <c r="A202" s="210">
        <v>43040</v>
      </c>
      <c r="H202" s="208">
        <f t="shared" si="16"/>
        <v>11020051.962200465</v>
      </c>
    </row>
    <row r="203" spans="1:10" x14ac:dyDescent="0.2">
      <c r="A203" s="210">
        <v>43070</v>
      </c>
      <c r="H203" s="208">
        <f t="shared" si="16"/>
        <v>11182564.687913515</v>
      </c>
      <c r="I203" s="208">
        <f>SUM(H192:H203)</f>
        <v>123464936.35790089</v>
      </c>
      <c r="J203" s="208">
        <f>H203*12</f>
        <v>134190776.25496218</v>
      </c>
    </row>
    <row r="204" spans="1:10" x14ac:dyDescent="0.2">
      <c r="A204" s="210">
        <v>43101</v>
      </c>
      <c r="H204" s="208">
        <f>H203+$I$16</f>
        <v>11171127.984005844</v>
      </c>
      <c r="I204" s="208"/>
      <c r="J204" s="208"/>
    </row>
    <row r="205" spans="1:10" x14ac:dyDescent="0.2">
      <c r="A205" s="210">
        <v>43132</v>
      </c>
      <c r="H205" s="208">
        <f t="shared" ref="H205:H215" si="17">H204+$I$16</f>
        <v>11159691.280098174</v>
      </c>
    </row>
    <row r="206" spans="1:10" x14ac:dyDescent="0.2">
      <c r="A206" s="210">
        <v>43160</v>
      </c>
      <c r="H206" s="208">
        <f t="shared" si="17"/>
        <v>11148254.576190503</v>
      </c>
    </row>
    <row r="207" spans="1:10" x14ac:dyDescent="0.2">
      <c r="A207" s="210">
        <v>43191</v>
      </c>
      <c r="H207" s="208">
        <f t="shared" si="17"/>
        <v>11136817.872282833</v>
      </c>
    </row>
    <row r="208" spans="1:10" x14ac:dyDescent="0.2">
      <c r="A208" s="210">
        <v>43221</v>
      </c>
      <c r="H208" s="208">
        <f t="shared" si="17"/>
        <v>11125381.168375162</v>
      </c>
    </row>
    <row r="209" spans="1:10" x14ac:dyDescent="0.2">
      <c r="A209" s="210">
        <v>43252</v>
      </c>
      <c r="H209" s="208">
        <f t="shared" si="17"/>
        <v>11113944.464467492</v>
      </c>
    </row>
    <row r="210" spans="1:10" x14ac:dyDescent="0.2">
      <c r="A210" s="210">
        <v>43282</v>
      </c>
      <c r="H210" s="208">
        <f t="shared" si="17"/>
        <v>11102507.760559822</v>
      </c>
    </row>
    <row r="211" spans="1:10" x14ac:dyDescent="0.2">
      <c r="A211" s="210">
        <v>43313</v>
      </c>
      <c r="H211" s="208">
        <f t="shared" si="17"/>
        <v>11091071.056652151</v>
      </c>
    </row>
    <row r="212" spans="1:10" x14ac:dyDescent="0.2">
      <c r="A212" s="210">
        <v>43344</v>
      </c>
      <c r="H212" s="208">
        <f t="shared" si="17"/>
        <v>11079634.352744481</v>
      </c>
    </row>
    <row r="213" spans="1:10" x14ac:dyDescent="0.2">
      <c r="A213" s="210">
        <v>43374</v>
      </c>
      <c r="H213" s="208">
        <f t="shared" si="17"/>
        <v>11068197.64883681</v>
      </c>
    </row>
    <row r="214" spans="1:10" x14ac:dyDescent="0.2">
      <c r="A214" s="210">
        <v>43405</v>
      </c>
      <c r="H214" s="208">
        <f t="shared" si="17"/>
        <v>11056760.94492914</v>
      </c>
    </row>
    <row r="215" spans="1:10" x14ac:dyDescent="0.2">
      <c r="A215" s="210">
        <v>43435</v>
      </c>
      <c r="H215" s="208">
        <f t="shared" si="17"/>
        <v>11045324.241021469</v>
      </c>
      <c r="I215" s="208">
        <f>SUM(H204:H215)</f>
        <v>133298713.35016388</v>
      </c>
      <c r="J215" s="208">
        <f>H215*12</f>
        <v>132543890.89225763</v>
      </c>
    </row>
    <row r="216" spans="1:10" x14ac:dyDescent="0.2">
      <c r="A216" s="210">
        <v>43466</v>
      </c>
      <c r="H216" s="208">
        <f>H215+$I$17</f>
        <v>10973935.710179139</v>
      </c>
    </row>
    <row r="217" spans="1:10" x14ac:dyDescent="0.2">
      <c r="A217" s="210">
        <v>43497</v>
      </c>
      <c r="H217" s="208">
        <f t="shared" ref="H217:H227" si="18">H216+$I$17</f>
        <v>10902547.179336809</v>
      </c>
    </row>
    <row r="218" spans="1:10" x14ac:dyDescent="0.2">
      <c r="A218" s="210">
        <v>43525</v>
      </c>
      <c r="H218" s="208">
        <f t="shared" si="18"/>
        <v>10831158.648494478</v>
      </c>
    </row>
    <row r="219" spans="1:10" x14ac:dyDescent="0.2">
      <c r="A219" s="210">
        <v>43556</v>
      </c>
      <c r="H219" s="208">
        <f t="shared" si="18"/>
        <v>10759770.117652148</v>
      </c>
    </row>
    <row r="220" spans="1:10" x14ac:dyDescent="0.2">
      <c r="A220" s="210">
        <v>43586</v>
      </c>
      <c r="H220" s="208">
        <f t="shared" si="18"/>
        <v>10688381.586809818</v>
      </c>
    </row>
    <row r="221" spans="1:10" x14ac:dyDescent="0.2">
      <c r="A221" s="210">
        <v>43617</v>
      </c>
      <c r="H221" s="208">
        <f t="shared" si="18"/>
        <v>10616993.055967487</v>
      </c>
    </row>
    <row r="222" spans="1:10" x14ac:dyDescent="0.2">
      <c r="A222" s="210">
        <v>43647</v>
      </c>
      <c r="H222" s="208">
        <f t="shared" si="18"/>
        <v>10545604.525125157</v>
      </c>
    </row>
    <row r="223" spans="1:10" x14ac:dyDescent="0.2">
      <c r="A223" s="210">
        <v>43678</v>
      </c>
      <c r="H223" s="208">
        <f t="shared" si="18"/>
        <v>10474215.994282827</v>
      </c>
    </row>
    <row r="224" spans="1:10" x14ac:dyDescent="0.2">
      <c r="A224" s="210">
        <v>43709</v>
      </c>
      <c r="H224" s="208">
        <f t="shared" si="18"/>
        <v>10402827.463440496</v>
      </c>
    </row>
    <row r="225" spans="1:10" x14ac:dyDescent="0.2">
      <c r="A225" s="210">
        <v>43739</v>
      </c>
      <c r="H225" s="208">
        <f t="shared" si="18"/>
        <v>10331438.932598166</v>
      </c>
    </row>
    <row r="226" spans="1:10" x14ac:dyDescent="0.2">
      <c r="A226" s="210">
        <v>43770</v>
      </c>
      <c r="H226" s="208">
        <f t="shared" si="18"/>
        <v>10260050.401755836</v>
      </c>
    </row>
    <row r="227" spans="1:10" x14ac:dyDescent="0.2">
      <c r="A227" s="210">
        <v>43800</v>
      </c>
      <c r="H227" s="208">
        <f t="shared" si="18"/>
        <v>10188661.870913506</v>
      </c>
      <c r="I227" s="208">
        <f>SUM(H216:H227)</f>
        <v>126975585.48655587</v>
      </c>
      <c r="J227" s="208">
        <f>H227*12</f>
        <v>122263942.45096207</v>
      </c>
    </row>
    <row r="228" spans="1:10" x14ac:dyDescent="0.2">
      <c r="H228" s="209">
        <f>SUM(H60:H227)</f>
        <v>817098267.47039568</v>
      </c>
    </row>
  </sheetData>
  <mergeCells count="1">
    <mergeCell ref="K3:L3"/>
  </mergeCells>
  <pageMargins left="0.1" right="0.11" top="0.3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E326"/>
  <sheetViews>
    <sheetView topLeftCell="A283" workbookViewId="0"/>
  </sheetViews>
  <sheetFormatPr defaultRowHeight="12.75" x14ac:dyDescent="0.2"/>
  <cols>
    <col min="1" max="1" width="11.85546875" style="40" customWidth="1"/>
    <col min="2" max="2" width="11.7109375" style="1" customWidth="1"/>
    <col min="3" max="3" width="13.42578125" style="1" customWidth="1"/>
  </cols>
  <sheetData>
    <row r="2" spans="1:3" ht="25.5" x14ac:dyDescent="0.2">
      <c r="A2" s="64"/>
      <c r="B2" s="65" t="s">
        <v>4</v>
      </c>
      <c r="C2" s="66" t="s">
        <v>5</v>
      </c>
    </row>
    <row r="3" spans="1:3" x14ac:dyDescent="0.2">
      <c r="A3" s="49">
        <v>33239</v>
      </c>
      <c r="B3" s="1">
        <v>750.4</v>
      </c>
      <c r="C3" s="1">
        <v>0</v>
      </c>
    </row>
    <row r="4" spans="1:3" x14ac:dyDescent="0.2">
      <c r="A4" s="49">
        <f t="shared" ref="A4:A67" si="0">EOMONTH(A3,1)</f>
        <v>33297</v>
      </c>
      <c r="B4" s="1">
        <v>589.1</v>
      </c>
      <c r="C4" s="1">
        <v>0</v>
      </c>
    </row>
    <row r="5" spans="1:3" x14ac:dyDescent="0.2">
      <c r="A5" s="49">
        <f t="shared" si="0"/>
        <v>33328</v>
      </c>
      <c r="B5" s="1">
        <v>532.20000000000005</v>
      </c>
      <c r="C5" s="1">
        <v>0</v>
      </c>
    </row>
    <row r="6" spans="1:3" x14ac:dyDescent="0.2">
      <c r="A6" s="49">
        <f t="shared" si="0"/>
        <v>33358</v>
      </c>
      <c r="B6" s="1">
        <v>297.60000000000002</v>
      </c>
      <c r="C6" s="1">
        <v>0.5</v>
      </c>
    </row>
    <row r="7" spans="1:3" x14ac:dyDescent="0.2">
      <c r="A7" s="49">
        <f t="shared" si="0"/>
        <v>33389</v>
      </c>
      <c r="B7" s="1">
        <v>0</v>
      </c>
      <c r="C7" s="1">
        <v>0</v>
      </c>
    </row>
    <row r="8" spans="1:3" x14ac:dyDescent="0.2">
      <c r="A8" s="49">
        <f t="shared" si="0"/>
        <v>33419</v>
      </c>
      <c r="B8" s="1">
        <v>21.4</v>
      </c>
      <c r="C8" s="1">
        <v>61.8</v>
      </c>
    </row>
    <row r="9" spans="1:3" x14ac:dyDescent="0.2">
      <c r="A9" s="49">
        <f t="shared" si="0"/>
        <v>33450</v>
      </c>
      <c r="B9" s="1">
        <v>5.4</v>
      </c>
      <c r="C9" s="1">
        <v>95.7</v>
      </c>
    </row>
    <row r="10" spans="1:3" x14ac:dyDescent="0.2">
      <c r="A10" s="49">
        <f t="shared" si="0"/>
        <v>33481</v>
      </c>
      <c r="B10" s="1">
        <v>2.7</v>
      </c>
      <c r="C10" s="1">
        <v>85.5</v>
      </c>
    </row>
    <row r="11" spans="1:3" x14ac:dyDescent="0.2">
      <c r="A11" s="49">
        <f t="shared" si="0"/>
        <v>33511</v>
      </c>
      <c r="B11" s="1">
        <v>130.30000000000001</v>
      </c>
      <c r="C11" s="1">
        <v>21.3</v>
      </c>
    </row>
    <row r="12" spans="1:3" x14ac:dyDescent="0.2">
      <c r="A12" s="49">
        <f t="shared" si="0"/>
        <v>33542</v>
      </c>
      <c r="B12" s="1">
        <v>241.8</v>
      </c>
      <c r="C12" s="1">
        <v>0</v>
      </c>
    </row>
    <row r="13" spans="1:3" x14ac:dyDescent="0.2">
      <c r="A13" s="49">
        <f t="shared" si="0"/>
        <v>33572</v>
      </c>
      <c r="B13" s="1">
        <v>467.6</v>
      </c>
      <c r="C13" s="1">
        <v>0</v>
      </c>
    </row>
    <row r="14" spans="1:3" x14ac:dyDescent="0.2">
      <c r="A14" s="49">
        <f t="shared" si="0"/>
        <v>33603</v>
      </c>
      <c r="B14" s="1">
        <v>600.1</v>
      </c>
      <c r="C14" s="1">
        <v>0</v>
      </c>
    </row>
    <row r="15" spans="1:3" x14ac:dyDescent="0.2">
      <c r="A15" s="49">
        <f t="shared" si="0"/>
        <v>33634</v>
      </c>
      <c r="B15" s="1">
        <v>688.8</v>
      </c>
      <c r="C15" s="1">
        <v>0</v>
      </c>
    </row>
    <row r="16" spans="1:3" x14ac:dyDescent="0.2">
      <c r="A16" s="49">
        <f t="shared" si="0"/>
        <v>33663</v>
      </c>
      <c r="B16" s="1">
        <v>625.4</v>
      </c>
      <c r="C16" s="1">
        <v>0</v>
      </c>
    </row>
    <row r="17" spans="1:3" x14ac:dyDescent="0.2">
      <c r="A17" s="49">
        <f t="shared" si="0"/>
        <v>33694</v>
      </c>
      <c r="B17" s="1">
        <v>578.70000000000005</v>
      </c>
      <c r="C17" s="1">
        <v>0</v>
      </c>
    </row>
    <row r="18" spans="1:3" x14ac:dyDescent="0.2">
      <c r="A18" s="49">
        <f t="shared" si="0"/>
        <v>33724</v>
      </c>
      <c r="B18" s="1">
        <v>379.4</v>
      </c>
      <c r="C18" s="1">
        <v>0</v>
      </c>
    </row>
    <row r="19" spans="1:3" x14ac:dyDescent="0.2">
      <c r="A19" s="49">
        <f t="shared" si="0"/>
        <v>33755</v>
      </c>
      <c r="B19" s="1">
        <v>160.9</v>
      </c>
      <c r="C19" s="1">
        <v>4</v>
      </c>
    </row>
    <row r="20" spans="1:3" x14ac:dyDescent="0.2">
      <c r="A20" s="49">
        <f t="shared" si="0"/>
        <v>33785</v>
      </c>
      <c r="B20" s="1">
        <v>69.099999999999994</v>
      </c>
      <c r="C20" s="1">
        <v>15.8</v>
      </c>
    </row>
    <row r="21" spans="1:3" x14ac:dyDescent="0.2">
      <c r="A21" s="49">
        <f t="shared" si="0"/>
        <v>33816</v>
      </c>
      <c r="B21" s="1">
        <v>25.9</v>
      </c>
      <c r="C21" s="1">
        <v>23.4</v>
      </c>
    </row>
    <row r="22" spans="1:3" x14ac:dyDescent="0.2">
      <c r="A22" s="49">
        <f t="shared" si="0"/>
        <v>33847</v>
      </c>
      <c r="B22" s="1">
        <v>40.1</v>
      </c>
      <c r="C22" s="1">
        <v>20.5</v>
      </c>
    </row>
    <row r="23" spans="1:3" x14ac:dyDescent="0.2">
      <c r="A23" s="49">
        <f t="shared" si="0"/>
        <v>33877</v>
      </c>
      <c r="B23" s="1">
        <v>113.3</v>
      </c>
      <c r="C23" s="1">
        <v>13</v>
      </c>
    </row>
    <row r="24" spans="1:3" x14ac:dyDescent="0.2">
      <c r="A24" s="49">
        <f t="shared" si="0"/>
        <v>33908</v>
      </c>
      <c r="B24" s="1">
        <v>339.1</v>
      </c>
      <c r="C24" s="1">
        <v>0</v>
      </c>
    </row>
    <row r="25" spans="1:3" x14ac:dyDescent="0.2">
      <c r="A25" s="49">
        <f t="shared" si="0"/>
        <v>33938</v>
      </c>
      <c r="B25" s="1">
        <v>455.2</v>
      </c>
      <c r="C25" s="1">
        <v>0</v>
      </c>
    </row>
    <row r="26" spans="1:3" x14ac:dyDescent="0.2">
      <c r="A26" s="49">
        <f t="shared" si="0"/>
        <v>33969</v>
      </c>
      <c r="B26" s="1">
        <v>627.70000000000005</v>
      </c>
      <c r="C26" s="1">
        <v>0</v>
      </c>
    </row>
    <row r="27" spans="1:3" x14ac:dyDescent="0.2">
      <c r="A27" s="49">
        <f t="shared" si="0"/>
        <v>34000</v>
      </c>
      <c r="B27" s="1">
        <v>687.2</v>
      </c>
      <c r="C27" s="1">
        <v>0</v>
      </c>
    </row>
    <row r="28" spans="1:3" x14ac:dyDescent="0.2">
      <c r="A28" s="49">
        <f t="shared" si="0"/>
        <v>34028</v>
      </c>
      <c r="B28" s="1">
        <v>738.1</v>
      </c>
      <c r="C28" s="1">
        <v>0</v>
      </c>
    </row>
    <row r="29" spans="1:3" x14ac:dyDescent="0.2">
      <c r="A29" s="49">
        <f t="shared" si="0"/>
        <v>34059</v>
      </c>
      <c r="B29" s="1">
        <v>632</v>
      </c>
      <c r="C29" s="1">
        <v>0</v>
      </c>
    </row>
    <row r="30" spans="1:3" x14ac:dyDescent="0.2">
      <c r="A30" s="49">
        <f t="shared" si="0"/>
        <v>34089</v>
      </c>
      <c r="B30" s="1">
        <v>343.4</v>
      </c>
      <c r="C30" s="1">
        <v>0</v>
      </c>
    </row>
    <row r="31" spans="1:3" x14ac:dyDescent="0.2">
      <c r="A31" s="49">
        <f t="shared" si="0"/>
        <v>34120</v>
      </c>
      <c r="B31" s="1">
        <v>176.6</v>
      </c>
      <c r="C31" s="1">
        <v>1.5</v>
      </c>
    </row>
    <row r="32" spans="1:3" x14ac:dyDescent="0.2">
      <c r="A32" s="49">
        <f t="shared" si="0"/>
        <v>34150</v>
      </c>
      <c r="B32" s="1">
        <v>47.3</v>
      </c>
      <c r="C32" s="1">
        <v>26.2</v>
      </c>
    </row>
    <row r="33" spans="1:5" x14ac:dyDescent="0.2">
      <c r="A33" s="49">
        <f t="shared" si="0"/>
        <v>34181</v>
      </c>
      <c r="B33" s="1">
        <v>2.9</v>
      </c>
      <c r="C33" s="1">
        <v>97.1</v>
      </c>
    </row>
    <row r="34" spans="1:5" x14ac:dyDescent="0.2">
      <c r="A34" s="49">
        <f t="shared" si="0"/>
        <v>34212</v>
      </c>
      <c r="B34" s="1">
        <v>7.5</v>
      </c>
      <c r="C34" s="1">
        <v>93.8</v>
      </c>
    </row>
    <row r="35" spans="1:5" x14ac:dyDescent="0.2">
      <c r="A35" s="49">
        <f t="shared" si="0"/>
        <v>34242</v>
      </c>
      <c r="B35" s="1">
        <v>156.4</v>
      </c>
      <c r="C35" s="1">
        <v>4</v>
      </c>
    </row>
    <row r="36" spans="1:5" x14ac:dyDescent="0.2">
      <c r="A36" s="49">
        <f t="shared" si="0"/>
        <v>34273</v>
      </c>
      <c r="B36" s="1">
        <v>335.9</v>
      </c>
      <c r="C36" s="1">
        <v>1</v>
      </c>
    </row>
    <row r="37" spans="1:5" x14ac:dyDescent="0.2">
      <c r="A37" s="49">
        <f t="shared" si="0"/>
        <v>34303</v>
      </c>
      <c r="B37" s="1">
        <v>463.5</v>
      </c>
      <c r="C37" s="1">
        <v>0</v>
      </c>
    </row>
    <row r="38" spans="1:5" x14ac:dyDescent="0.2">
      <c r="A38" s="49">
        <f t="shared" si="0"/>
        <v>34334</v>
      </c>
      <c r="B38" s="1">
        <v>649.6</v>
      </c>
      <c r="C38" s="1">
        <v>0</v>
      </c>
      <c r="D38">
        <f>SUM(B27:B38)</f>
        <v>4240.4000000000005</v>
      </c>
      <c r="E38">
        <f>SUM(C27:C38)</f>
        <v>223.6</v>
      </c>
    </row>
    <row r="39" spans="1:5" x14ac:dyDescent="0.2">
      <c r="A39" s="49">
        <f t="shared" si="0"/>
        <v>34365</v>
      </c>
      <c r="B39" s="1">
        <v>968.6</v>
      </c>
      <c r="C39" s="1">
        <v>0</v>
      </c>
    </row>
    <row r="40" spans="1:5" x14ac:dyDescent="0.2">
      <c r="A40" s="49">
        <f t="shared" si="0"/>
        <v>34393</v>
      </c>
      <c r="B40" s="1">
        <v>774.2</v>
      </c>
      <c r="C40" s="1">
        <v>0</v>
      </c>
    </row>
    <row r="41" spans="1:5" x14ac:dyDescent="0.2">
      <c r="A41" s="49">
        <f t="shared" si="0"/>
        <v>34424</v>
      </c>
      <c r="B41" s="1">
        <v>619.9</v>
      </c>
      <c r="C41" s="1">
        <v>0</v>
      </c>
    </row>
    <row r="42" spans="1:5" x14ac:dyDescent="0.2">
      <c r="A42" s="49">
        <f t="shared" si="0"/>
        <v>34454</v>
      </c>
      <c r="B42" s="1">
        <v>343.8</v>
      </c>
      <c r="C42" s="1">
        <v>0</v>
      </c>
    </row>
    <row r="43" spans="1:5" x14ac:dyDescent="0.2">
      <c r="A43" s="49">
        <f t="shared" si="0"/>
        <v>34485</v>
      </c>
      <c r="B43" s="1">
        <v>226.7</v>
      </c>
      <c r="C43" s="1">
        <v>6.9</v>
      </c>
    </row>
    <row r="44" spans="1:5" x14ac:dyDescent="0.2">
      <c r="A44" s="49">
        <f t="shared" si="0"/>
        <v>34515</v>
      </c>
      <c r="B44" s="1">
        <v>38.4</v>
      </c>
      <c r="C44" s="1">
        <v>61.6</v>
      </c>
    </row>
    <row r="45" spans="1:5" x14ac:dyDescent="0.2">
      <c r="A45" s="49">
        <f t="shared" si="0"/>
        <v>34546</v>
      </c>
      <c r="B45" s="1">
        <v>6.3</v>
      </c>
      <c r="C45" s="1">
        <v>77.7</v>
      </c>
    </row>
    <row r="46" spans="1:5" x14ac:dyDescent="0.2">
      <c r="A46" s="49">
        <f t="shared" si="0"/>
        <v>34577</v>
      </c>
      <c r="B46" s="1">
        <v>39.200000000000003</v>
      </c>
      <c r="C46" s="1">
        <v>27.3</v>
      </c>
    </row>
    <row r="47" spans="1:5" x14ac:dyDescent="0.2">
      <c r="A47" s="49">
        <f t="shared" si="0"/>
        <v>34607</v>
      </c>
      <c r="B47" s="1">
        <v>105.4</v>
      </c>
      <c r="C47" s="1">
        <v>7.5</v>
      </c>
    </row>
    <row r="48" spans="1:5" x14ac:dyDescent="0.2">
      <c r="A48" s="49">
        <f t="shared" si="0"/>
        <v>34638</v>
      </c>
      <c r="B48" s="1">
        <v>263.7</v>
      </c>
      <c r="C48" s="1">
        <v>0</v>
      </c>
    </row>
    <row r="49" spans="1:5" x14ac:dyDescent="0.2">
      <c r="A49" s="49">
        <f t="shared" si="0"/>
        <v>34668</v>
      </c>
      <c r="B49" s="1">
        <v>405.3</v>
      </c>
      <c r="C49" s="1">
        <v>0</v>
      </c>
    </row>
    <row r="50" spans="1:5" x14ac:dyDescent="0.2">
      <c r="A50" s="49">
        <f t="shared" si="0"/>
        <v>34699</v>
      </c>
      <c r="B50" s="1">
        <v>591.1</v>
      </c>
      <c r="C50" s="1">
        <v>0</v>
      </c>
      <c r="D50">
        <f>SUM(B39:B50)</f>
        <v>4382.6000000000004</v>
      </c>
      <c r="E50">
        <f>SUM(C39:C50)</f>
        <v>181</v>
      </c>
    </row>
    <row r="51" spans="1:5" x14ac:dyDescent="0.2">
      <c r="A51" s="49">
        <f t="shared" si="0"/>
        <v>34730</v>
      </c>
      <c r="B51" s="1">
        <v>667.5</v>
      </c>
      <c r="C51" s="1">
        <v>0</v>
      </c>
    </row>
    <row r="52" spans="1:5" x14ac:dyDescent="0.2">
      <c r="A52" s="49">
        <f t="shared" si="0"/>
        <v>34758</v>
      </c>
      <c r="B52" s="1">
        <v>735.3</v>
      </c>
      <c r="C52" s="1">
        <v>0</v>
      </c>
    </row>
    <row r="53" spans="1:5" x14ac:dyDescent="0.2">
      <c r="A53" s="49">
        <f t="shared" si="0"/>
        <v>34789</v>
      </c>
      <c r="B53" s="1">
        <v>523.70000000000005</v>
      </c>
      <c r="C53" s="1">
        <v>0</v>
      </c>
    </row>
    <row r="54" spans="1:5" x14ac:dyDescent="0.2">
      <c r="A54" s="49">
        <f t="shared" si="0"/>
        <v>34819</v>
      </c>
      <c r="B54" s="1">
        <v>434.4</v>
      </c>
      <c r="C54" s="1">
        <v>0</v>
      </c>
    </row>
    <row r="55" spans="1:5" x14ac:dyDescent="0.2">
      <c r="A55" s="49">
        <f t="shared" si="0"/>
        <v>34850</v>
      </c>
      <c r="B55" s="1">
        <v>171.9</v>
      </c>
      <c r="C55" s="1">
        <v>1.7</v>
      </c>
    </row>
    <row r="56" spans="1:5" x14ac:dyDescent="0.2">
      <c r="A56" s="49">
        <f t="shared" si="0"/>
        <v>34880</v>
      </c>
      <c r="B56" s="1">
        <v>25.9</v>
      </c>
      <c r="C56" s="1">
        <v>70.8</v>
      </c>
    </row>
    <row r="57" spans="1:5" x14ac:dyDescent="0.2">
      <c r="A57" s="49">
        <f t="shared" si="0"/>
        <v>34911</v>
      </c>
      <c r="B57" s="1">
        <v>17.3</v>
      </c>
      <c r="C57" s="1">
        <v>105.9</v>
      </c>
    </row>
    <row r="58" spans="1:5" x14ac:dyDescent="0.2">
      <c r="A58" s="49">
        <f t="shared" si="0"/>
        <v>34942</v>
      </c>
      <c r="B58" s="1">
        <v>4.3</v>
      </c>
      <c r="C58" s="1">
        <v>101.9</v>
      </c>
    </row>
    <row r="59" spans="1:5" x14ac:dyDescent="0.2">
      <c r="A59" s="49">
        <f t="shared" si="0"/>
        <v>34972</v>
      </c>
      <c r="B59" s="1">
        <v>143.6</v>
      </c>
      <c r="C59" s="1">
        <v>10.8</v>
      </c>
    </row>
    <row r="60" spans="1:5" x14ac:dyDescent="0.2">
      <c r="A60" s="49">
        <f t="shared" si="0"/>
        <v>35003</v>
      </c>
      <c r="B60" s="1">
        <v>245.5</v>
      </c>
      <c r="C60" s="1">
        <v>0</v>
      </c>
    </row>
    <row r="61" spans="1:5" x14ac:dyDescent="0.2">
      <c r="A61" s="49">
        <f t="shared" si="0"/>
        <v>35033</v>
      </c>
      <c r="B61" s="1">
        <v>539.20000000000005</v>
      </c>
      <c r="C61" s="1">
        <v>0</v>
      </c>
    </row>
    <row r="62" spans="1:5" x14ac:dyDescent="0.2">
      <c r="A62" s="49">
        <f t="shared" si="0"/>
        <v>35064</v>
      </c>
      <c r="B62" s="1">
        <v>741.3</v>
      </c>
      <c r="C62" s="1">
        <v>0</v>
      </c>
      <c r="D62">
        <f>SUM(B51:B62)</f>
        <v>4249.9000000000005</v>
      </c>
      <c r="E62">
        <f>SUM(C51:C62)</f>
        <v>291.10000000000002</v>
      </c>
    </row>
    <row r="63" spans="1:5" x14ac:dyDescent="0.2">
      <c r="A63" s="49">
        <f t="shared" si="0"/>
        <v>35095</v>
      </c>
      <c r="B63" s="1">
        <v>789.4</v>
      </c>
      <c r="C63" s="1">
        <v>0</v>
      </c>
    </row>
    <row r="64" spans="1:5" x14ac:dyDescent="0.2">
      <c r="A64" s="49">
        <f t="shared" si="0"/>
        <v>35124</v>
      </c>
      <c r="B64" s="1">
        <v>712.6</v>
      </c>
      <c r="C64" s="1">
        <v>0</v>
      </c>
    </row>
    <row r="65" spans="1:5" x14ac:dyDescent="0.2">
      <c r="A65" s="49">
        <f t="shared" si="0"/>
        <v>35155</v>
      </c>
      <c r="B65" s="1">
        <v>670.4</v>
      </c>
      <c r="C65" s="1">
        <v>0</v>
      </c>
    </row>
    <row r="66" spans="1:5" x14ac:dyDescent="0.2">
      <c r="A66" s="49">
        <f t="shared" si="0"/>
        <v>35185</v>
      </c>
      <c r="B66" s="1">
        <v>421.9</v>
      </c>
      <c r="C66" s="1">
        <v>0</v>
      </c>
    </row>
    <row r="67" spans="1:5" x14ac:dyDescent="0.2">
      <c r="A67" s="49">
        <f t="shared" si="0"/>
        <v>35216</v>
      </c>
      <c r="B67" s="1">
        <v>216.1</v>
      </c>
      <c r="C67" s="1">
        <v>10</v>
      </c>
    </row>
    <row r="68" spans="1:5" x14ac:dyDescent="0.2">
      <c r="A68" s="49">
        <f t="shared" ref="A68:A131" si="1">EOMONTH(A67,1)</f>
        <v>35246</v>
      </c>
      <c r="B68" s="1">
        <v>29.4</v>
      </c>
      <c r="C68" s="1">
        <v>38.6</v>
      </c>
    </row>
    <row r="69" spans="1:5" x14ac:dyDescent="0.2">
      <c r="A69" s="49">
        <f t="shared" si="1"/>
        <v>35277</v>
      </c>
      <c r="B69" s="1">
        <v>18.899999999999999</v>
      </c>
      <c r="C69" s="1">
        <v>41.9</v>
      </c>
    </row>
    <row r="70" spans="1:5" x14ac:dyDescent="0.2">
      <c r="A70" s="49">
        <f t="shared" si="1"/>
        <v>35308</v>
      </c>
      <c r="B70" s="1">
        <v>6.2</v>
      </c>
      <c r="C70" s="1">
        <v>55.2</v>
      </c>
    </row>
    <row r="71" spans="1:5" x14ac:dyDescent="0.2">
      <c r="A71" s="49">
        <f t="shared" si="1"/>
        <v>35338</v>
      </c>
      <c r="B71" s="1">
        <v>102.2</v>
      </c>
      <c r="C71" s="1">
        <v>12.6</v>
      </c>
    </row>
    <row r="72" spans="1:5" x14ac:dyDescent="0.2">
      <c r="A72" s="49">
        <f t="shared" si="1"/>
        <v>35369</v>
      </c>
      <c r="B72" s="1">
        <v>301.39999999999998</v>
      </c>
      <c r="C72" s="1">
        <v>0</v>
      </c>
    </row>
    <row r="73" spans="1:5" x14ac:dyDescent="0.2">
      <c r="A73" s="49">
        <f t="shared" si="1"/>
        <v>35399</v>
      </c>
      <c r="B73" s="1">
        <v>548.1</v>
      </c>
      <c r="C73" s="1">
        <v>0</v>
      </c>
    </row>
    <row r="74" spans="1:5" x14ac:dyDescent="0.2">
      <c r="A74" s="49">
        <f t="shared" si="1"/>
        <v>35430</v>
      </c>
      <c r="B74" s="1">
        <v>596.5</v>
      </c>
      <c r="C74" s="1">
        <v>0</v>
      </c>
      <c r="D74">
        <f>SUM(B63:B74)</f>
        <v>4413.1000000000004</v>
      </c>
      <c r="E74">
        <f>SUM(C63:C74)</f>
        <v>158.29999999999998</v>
      </c>
    </row>
    <row r="75" spans="1:5" x14ac:dyDescent="0.2">
      <c r="A75" s="49">
        <f t="shared" si="1"/>
        <v>35461</v>
      </c>
      <c r="B75" s="1">
        <v>777.9</v>
      </c>
      <c r="C75" s="1">
        <v>0</v>
      </c>
    </row>
    <row r="76" spans="1:5" x14ac:dyDescent="0.2">
      <c r="A76" s="49">
        <f t="shared" si="1"/>
        <v>35489</v>
      </c>
      <c r="B76" s="1">
        <v>615</v>
      </c>
      <c r="C76" s="1">
        <v>0</v>
      </c>
    </row>
    <row r="77" spans="1:5" x14ac:dyDescent="0.2">
      <c r="A77" s="49">
        <f t="shared" si="1"/>
        <v>35520</v>
      </c>
      <c r="B77" s="1">
        <v>619.1</v>
      </c>
      <c r="C77" s="1">
        <v>0</v>
      </c>
    </row>
    <row r="78" spans="1:5" x14ac:dyDescent="0.2">
      <c r="A78" s="49">
        <f t="shared" si="1"/>
        <v>35550</v>
      </c>
      <c r="B78" s="1">
        <v>391.9</v>
      </c>
      <c r="C78" s="1">
        <v>0</v>
      </c>
    </row>
    <row r="79" spans="1:5" x14ac:dyDescent="0.2">
      <c r="A79" s="49">
        <f t="shared" si="1"/>
        <v>35581</v>
      </c>
      <c r="B79" s="1">
        <v>289</v>
      </c>
      <c r="C79" s="1">
        <v>0</v>
      </c>
    </row>
    <row r="80" spans="1:5" x14ac:dyDescent="0.2">
      <c r="A80" s="49">
        <f t="shared" si="1"/>
        <v>35611</v>
      </c>
      <c r="B80" s="1">
        <v>30.4</v>
      </c>
      <c r="C80" s="1">
        <v>50.4</v>
      </c>
    </row>
    <row r="81" spans="1:5" x14ac:dyDescent="0.2">
      <c r="A81" s="49">
        <f t="shared" si="1"/>
        <v>35642</v>
      </c>
      <c r="B81" s="1">
        <v>22.1</v>
      </c>
      <c r="C81" s="1">
        <v>59.8</v>
      </c>
    </row>
    <row r="82" spans="1:5" x14ac:dyDescent="0.2">
      <c r="A82" s="49">
        <f t="shared" si="1"/>
        <v>35673</v>
      </c>
      <c r="B82" s="1">
        <v>49.4</v>
      </c>
      <c r="C82" s="1">
        <v>21.9</v>
      </c>
    </row>
    <row r="83" spans="1:5" x14ac:dyDescent="0.2">
      <c r="A83" s="49">
        <f t="shared" si="1"/>
        <v>35703</v>
      </c>
      <c r="B83" s="1">
        <v>115.2</v>
      </c>
      <c r="C83" s="1">
        <v>5.4</v>
      </c>
    </row>
    <row r="84" spans="1:5" x14ac:dyDescent="0.2">
      <c r="A84" s="49">
        <f t="shared" si="1"/>
        <v>35734</v>
      </c>
      <c r="B84" s="1">
        <v>288.89999999999998</v>
      </c>
      <c r="C84" s="1">
        <v>1.6</v>
      </c>
    </row>
    <row r="85" spans="1:5" x14ac:dyDescent="0.2">
      <c r="A85" s="49">
        <f t="shared" si="1"/>
        <v>35764</v>
      </c>
      <c r="B85" s="1">
        <v>471.4</v>
      </c>
      <c r="C85" s="1">
        <v>0</v>
      </c>
    </row>
    <row r="86" spans="1:5" x14ac:dyDescent="0.2">
      <c r="A86" s="49">
        <f t="shared" si="1"/>
        <v>35795</v>
      </c>
      <c r="B86" s="1">
        <v>630.70000000000005</v>
      </c>
      <c r="C86" s="1">
        <v>0</v>
      </c>
      <c r="D86">
        <f>SUM(B75:B86)</f>
        <v>4301</v>
      </c>
      <c r="E86">
        <f>SUM(C75:C86)</f>
        <v>139.1</v>
      </c>
    </row>
    <row r="87" spans="1:5" x14ac:dyDescent="0.2">
      <c r="A87" s="49">
        <f t="shared" si="1"/>
        <v>35826</v>
      </c>
      <c r="B87" s="1">
        <v>652.79999999999995</v>
      </c>
      <c r="C87" s="1">
        <v>0</v>
      </c>
    </row>
    <row r="88" spans="1:5" x14ac:dyDescent="0.2">
      <c r="A88" s="49">
        <f t="shared" si="1"/>
        <v>35854</v>
      </c>
      <c r="B88" s="1">
        <v>547.1</v>
      </c>
      <c r="C88" s="1">
        <v>0</v>
      </c>
    </row>
    <row r="89" spans="1:5" x14ac:dyDescent="0.2">
      <c r="A89" s="49">
        <f t="shared" si="1"/>
        <v>35885</v>
      </c>
      <c r="B89" s="1">
        <v>505.1</v>
      </c>
      <c r="C89" s="1">
        <v>0</v>
      </c>
    </row>
    <row r="90" spans="1:5" x14ac:dyDescent="0.2">
      <c r="A90" s="49">
        <f t="shared" si="1"/>
        <v>35915</v>
      </c>
      <c r="B90" s="1">
        <v>312</v>
      </c>
      <c r="C90" s="1">
        <v>0</v>
      </c>
    </row>
    <row r="91" spans="1:5" x14ac:dyDescent="0.2">
      <c r="A91" s="49">
        <f t="shared" si="1"/>
        <v>35946</v>
      </c>
      <c r="B91" s="1">
        <v>77.099999999999994</v>
      </c>
      <c r="C91" s="1">
        <v>16.8</v>
      </c>
    </row>
    <row r="92" spans="1:5" x14ac:dyDescent="0.2">
      <c r="A92" s="49">
        <f t="shared" si="1"/>
        <v>35976</v>
      </c>
      <c r="B92" s="1">
        <v>66.7</v>
      </c>
      <c r="C92" s="1">
        <v>63.7</v>
      </c>
    </row>
    <row r="93" spans="1:5" x14ac:dyDescent="0.2">
      <c r="A93" s="49">
        <f t="shared" si="1"/>
        <v>36007</v>
      </c>
      <c r="B93" s="1">
        <v>6.9</v>
      </c>
      <c r="C93" s="1">
        <v>64.8</v>
      </c>
    </row>
    <row r="94" spans="1:5" x14ac:dyDescent="0.2">
      <c r="A94" s="49">
        <f t="shared" si="1"/>
        <v>36038</v>
      </c>
      <c r="B94" s="1">
        <v>12.1</v>
      </c>
      <c r="C94" s="1">
        <v>83.1</v>
      </c>
    </row>
    <row r="95" spans="1:5" x14ac:dyDescent="0.2">
      <c r="A95" s="49">
        <f t="shared" si="1"/>
        <v>36068</v>
      </c>
      <c r="B95" s="1">
        <v>63</v>
      </c>
      <c r="C95" s="1">
        <v>26</v>
      </c>
    </row>
    <row r="96" spans="1:5" x14ac:dyDescent="0.2">
      <c r="A96" s="49">
        <f t="shared" si="1"/>
        <v>36099</v>
      </c>
      <c r="B96" s="1">
        <v>257.60000000000002</v>
      </c>
      <c r="C96" s="1">
        <v>0</v>
      </c>
    </row>
    <row r="97" spans="1:5" x14ac:dyDescent="0.2">
      <c r="A97" s="49">
        <f t="shared" si="1"/>
        <v>36129</v>
      </c>
      <c r="B97" s="1">
        <v>440.1</v>
      </c>
      <c r="C97" s="1">
        <v>0</v>
      </c>
    </row>
    <row r="98" spans="1:5" x14ac:dyDescent="0.2">
      <c r="A98" s="49">
        <f t="shared" si="1"/>
        <v>36160</v>
      </c>
      <c r="B98" s="1">
        <v>572.1</v>
      </c>
      <c r="C98" s="1">
        <v>0</v>
      </c>
      <c r="D98">
        <f>SUM(B87:B98)</f>
        <v>3512.5999999999995</v>
      </c>
      <c r="E98">
        <f>SUM(C87:C98)</f>
        <v>254.4</v>
      </c>
    </row>
    <row r="99" spans="1:5" x14ac:dyDescent="0.2">
      <c r="A99" s="49">
        <f t="shared" si="1"/>
        <v>36191</v>
      </c>
      <c r="B99" s="1">
        <v>789.6</v>
      </c>
      <c r="C99" s="1">
        <v>0</v>
      </c>
    </row>
    <row r="100" spans="1:5" x14ac:dyDescent="0.2">
      <c r="A100" s="49">
        <f t="shared" si="1"/>
        <v>36219</v>
      </c>
      <c r="B100" s="1">
        <v>578.4</v>
      </c>
      <c r="C100" s="1">
        <v>0</v>
      </c>
    </row>
    <row r="101" spans="1:5" x14ac:dyDescent="0.2">
      <c r="A101" s="49">
        <f t="shared" si="1"/>
        <v>36250</v>
      </c>
      <c r="B101" s="1">
        <v>592.5</v>
      </c>
      <c r="C101" s="1">
        <v>0</v>
      </c>
    </row>
    <row r="102" spans="1:5" x14ac:dyDescent="0.2">
      <c r="A102" s="49">
        <f t="shared" si="1"/>
        <v>36280</v>
      </c>
      <c r="B102" s="1">
        <v>332.6</v>
      </c>
      <c r="C102" s="1">
        <v>0</v>
      </c>
    </row>
    <row r="103" spans="1:5" x14ac:dyDescent="0.2">
      <c r="A103" s="49">
        <f t="shared" si="1"/>
        <v>36311</v>
      </c>
      <c r="B103" s="1">
        <v>126.7</v>
      </c>
      <c r="C103" s="1">
        <v>10.5</v>
      </c>
    </row>
    <row r="104" spans="1:5" x14ac:dyDescent="0.2">
      <c r="A104" s="49">
        <f t="shared" si="1"/>
        <v>36341</v>
      </c>
      <c r="B104" s="1">
        <v>44.4</v>
      </c>
      <c r="C104" s="1">
        <v>76.5</v>
      </c>
    </row>
    <row r="105" spans="1:5" x14ac:dyDescent="0.2">
      <c r="A105" s="49">
        <f t="shared" si="1"/>
        <v>36372</v>
      </c>
      <c r="B105" s="1">
        <v>3.2</v>
      </c>
      <c r="C105" s="1">
        <v>138.9</v>
      </c>
    </row>
    <row r="106" spans="1:5" x14ac:dyDescent="0.2">
      <c r="A106" s="49">
        <f t="shared" si="1"/>
        <v>36403</v>
      </c>
      <c r="B106" s="1">
        <v>28.8</v>
      </c>
      <c r="C106" s="1">
        <v>30.9</v>
      </c>
    </row>
    <row r="107" spans="1:5" x14ac:dyDescent="0.2">
      <c r="A107" s="49">
        <f t="shared" si="1"/>
        <v>36433</v>
      </c>
      <c r="B107" s="1">
        <v>88.9</v>
      </c>
      <c r="C107" s="1">
        <v>27.7</v>
      </c>
    </row>
    <row r="108" spans="1:5" x14ac:dyDescent="0.2">
      <c r="A108" s="49">
        <f t="shared" si="1"/>
        <v>36464</v>
      </c>
      <c r="B108" s="1">
        <v>319</v>
      </c>
      <c r="C108" s="1">
        <v>0</v>
      </c>
    </row>
    <row r="109" spans="1:5" x14ac:dyDescent="0.2">
      <c r="A109" s="49">
        <f t="shared" si="1"/>
        <v>36494</v>
      </c>
      <c r="B109" s="1">
        <v>405.1</v>
      </c>
      <c r="C109" s="1">
        <v>0</v>
      </c>
    </row>
    <row r="110" spans="1:5" x14ac:dyDescent="0.2">
      <c r="A110" s="49">
        <f t="shared" si="1"/>
        <v>36525</v>
      </c>
      <c r="B110" s="1">
        <v>623.70000000000005</v>
      </c>
      <c r="C110" s="1">
        <v>0</v>
      </c>
      <c r="D110">
        <f>SUM(B99:B110)</f>
        <v>3932.8999999999996</v>
      </c>
      <c r="E110">
        <f>SUM(C99:C110)</f>
        <v>284.5</v>
      </c>
    </row>
    <row r="111" spans="1:5" x14ac:dyDescent="0.2">
      <c r="A111" s="49">
        <f t="shared" si="1"/>
        <v>36556</v>
      </c>
      <c r="B111" s="1">
        <v>773</v>
      </c>
      <c r="C111" s="1">
        <v>0</v>
      </c>
    </row>
    <row r="112" spans="1:5" x14ac:dyDescent="0.2">
      <c r="A112" s="49">
        <f t="shared" si="1"/>
        <v>36585</v>
      </c>
      <c r="B112" s="1">
        <v>643.79999999999995</v>
      </c>
      <c r="C112" s="1">
        <v>0</v>
      </c>
    </row>
    <row r="113" spans="1:5" x14ac:dyDescent="0.2">
      <c r="A113" s="49">
        <f t="shared" si="1"/>
        <v>36616</v>
      </c>
      <c r="B113" s="1">
        <v>446.9</v>
      </c>
      <c r="C113" s="1">
        <v>0</v>
      </c>
    </row>
    <row r="114" spans="1:5" x14ac:dyDescent="0.2">
      <c r="A114" s="49">
        <f t="shared" si="1"/>
        <v>36646</v>
      </c>
      <c r="B114" s="1">
        <v>358.3</v>
      </c>
      <c r="C114" s="1">
        <v>0</v>
      </c>
    </row>
    <row r="115" spans="1:5" x14ac:dyDescent="0.2">
      <c r="A115" s="49">
        <f t="shared" si="1"/>
        <v>36677</v>
      </c>
      <c r="B115" s="1">
        <v>152.4</v>
      </c>
      <c r="C115" s="1">
        <v>18.7</v>
      </c>
    </row>
    <row r="116" spans="1:5" x14ac:dyDescent="0.2">
      <c r="A116" s="49">
        <f t="shared" si="1"/>
        <v>36707</v>
      </c>
      <c r="B116" s="1">
        <v>41.1</v>
      </c>
      <c r="C116" s="1">
        <v>35.4</v>
      </c>
    </row>
    <row r="117" spans="1:5" x14ac:dyDescent="0.2">
      <c r="A117" s="49">
        <f t="shared" si="1"/>
        <v>36738</v>
      </c>
      <c r="B117" s="1">
        <v>18.600000000000001</v>
      </c>
      <c r="C117" s="1">
        <v>44.8</v>
      </c>
    </row>
    <row r="118" spans="1:5" x14ac:dyDescent="0.2">
      <c r="A118" s="49">
        <f t="shared" si="1"/>
        <v>36769</v>
      </c>
      <c r="B118" s="1">
        <v>29.7</v>
      </c>
      <c r="C118" s="1">
        <v>46.3</v>
      </c>
    </row>
    <row r="119" spans="1:5" x14ac:dyDescent="0.2">
      <c r="A119" s="49">
        <f t="shared" si="1"/>
        <v>36799</v>
      </c>
      <c r="B119" s="1">
        <v>134</v>
      </c>
      <c r="C119" s="1">
        <v>23.8</v>
      </c>
    </row>
    <row r="120" spans="1:5" x14ac:dyDescent="0.2">
      <c r="A120" s="49">
        <f t="shared" si="1"/>
        <v>36830</v>
      </c>
      <c r="B120" s="1">
        <v>251.6</v>
      </c>
      <c r="C120" s="1">
        <v>0</v>
      </c>
    </row>
    <row r="121" spans="1:5" x14ac:dyDescent="0.2">
      <c r="A121" s="49">
        <f t="shared" si="1"/>
        <v>36860</v>
      </c>
      <c r="B121" s="1">
        <v>470.9</v>
      </c>
      <c r="C121" s="1">
        <v>0</v>
      </c>
    </row>
    <row r="122" spans="1:5" x14ac:dyDescent="0.2">
      <c r="A122" s="49">
        <f t="shared" si="1"/>
        <v>36891</v>
      </c>
      <c r="B122" s="1">
        <v>826.5</v>
      </c>
      <c r="C122" s="1">
        <v>0</v>
      </c>
      <c r="D122">
        <f>SUM(B111:B122)</f>
        <v>4146.7999999999993</v>
      </c>
      <c r="E122">
        <f>SUM(C111:C122)</f>
        <v>169</v>
      </c>
    </row>
    <row r="123" spans="1:5" x14ac:dyDescent="0.2">
      <c r="A123" s="49">
        <f t="shared" si="1"/>
        <v>36922</v>
      </c>
      <c r="B123" s="1">
        <v>715</v>
      </c>
      <c r="C123" s="1">
        <v>0</v>
      </c>
    </row>
    <row r="124" spans="1:5" x14ac:dyDescent="0.2">
      <c r="A124" s="49">
        <f t="shared" si="1"/>
        <v>36950</v>
      </c>
      <c r="B124" s="1">
        <v>620.20000000000005</v>
      </c>
      <c r="C124" s="1">
        <v>0</v>
      </c>
    </row>
    <row r="125" spans="1:5" x14ac:dyDescent="0.2">
      <c r="A125" s="49">
        <f t="shared" si="1"/>
        <v>36981</v>
      </c>
      <c r="B125" s="1">
        <v>618.70000000000005</v>
      </c>
      <c r="C125" s="1">
        <v>0</v>
      </c>
    </row>
    <row r="126" spans="1:5" x14ac:dyDescent="0.2">
      <c r="A126" s="49">
        <f t="shared" si="1"/>
        <v>37011</v>
      </c>
      <c r="B126" s="1">
        <v>324.60000000000002</v>
      </c>
      <c r="C126" s="1">
        <v>0</v>
      </c>
    </row>
    <row r="127" spans="1:5" x14ac:dyDescent="0.2">
      <c r="A127" s="49">
        <f t="shared" si="1"/>
        <v>37042</v>
      </c>
      <c r="B127" s="1">
        <v>140.30000000000001</v>
      </c>
      <c r="C127" s="1">
        <v>7.7</v>
      </c>
    </row>
    <row r="128" spans="1:5" x14ac:dyDescent="0.2">
      <c r="A128" s="49">
        <f t="shared" si="1"/>
        <v>37072</v>
      </c>
      <c r="B128" s="1">
        <v>47</v>
      </c>
      <c r="C128" s="1">
        <v>62.4</v>
      </c>
    </row>
    <row r="129" spans="1:5" x14ac:dyDescent="0.2">
      <c r="A129" s="49">
        <f t="shared" si="1"/>
        <v>37103</v>
      </c>
      <c r="B129" s="1">
        <v>22.3</v>
      </c>
      <c r="C129" s="1">
        <v>65.7</v>
      </c>
    </row>
    <row r="130" spans="1:5" x14ac:dyDescent="0.2">
      <c r="A130" s="49">
        <f t="shared" si="1"/>
        <v>37134</v>
      </c>
      <c r="B130" s="1">
        <v>2.2999999999999998</v>
      </c>
      <c r="C130" s="1">
        <v>94.2</v>
      </c>
    </row>
    <row r="131" spans="1:5" x14ac:dyDescent="0.2">
      <c r="A131" s="49">
        <f t="shared" si="1"/>
        <v>37164</v>
      </c>
      <c r="B131" s="1">
        <v>118.8</v>
      </c>
      <c r="C131" s="1">
        <v>19.2</v>
      </c>
    </row>
    <row r="132" spans="1:5" x14ac:dyDescent="0.2">
      <c r="A132" s="49">
        <f t="shared" ref="A132:A195" si="2">EOMONTH(A131,1)</f>
        <v>37195</v>
      </c>
      <c r="B132" s="1">
        <v>276.7</v>
      </c>
      <c r="C132" s="1">
        <v>0</v>
      </c>
    </row>
    <row r="133" spans="1:5" x14ac:dyDescent="0.2">
      <c r="A133" s="49">
        <f t="shared" si="2"/>
        <v>37225</v>
      </c>
      <c r="B133" s="1">
        <v>370.8</v>
      </c>
      <c r="C133" s="1">
        <v>0</v>
      </c>
    </row>
    <row r="134" spans="1:5" x14ac:dyDescent="0.2">
      <c r="A134" s="49">
        <f t="shared" si="2"/>
        <v>37256</v>
      </c>
      <c r="B134" s="1">
        <v>563.29999999999995</v>
      </c>
      <c r="C134" s="1">
        <v>0</v>
      </c>
      <c r="D134">
        <f>SUM(B123:B134)</f>
        <v>3820.0000000000009</v>
      </c>
      <c r="E134">
        <f>SUM(C123:C134)</f>
        <v>249.2</v>
      </c>
    </row>
    <row r="135" spans="1:5" x14ac:dyDescent="0.2">
      <c r="A135" s="49">
        <f t="shared" si="2"/>
        <v>37287</v>
      </c>
      <c r="B135" s="1">
        <v>625.70000000000005</v>
      </c>
      <c r="C135" s="1">
        <v>0</v>
      </c>
    </row>
    <row r="136" spans="1:5" x14ac:dyDescent="0.2">
      <c r="A136" s="49">
        <f t="shared" si="2"/>
        <v>37315</v>
      </c>
      <c r="B136" s="1">
        <v>592</v>
      </c>
      <c r="C136" s="1">
        <v>0</v>
      </c>
    </row>
    <row r="137" spans="1:5" x14ac:dyDescent="0.2">
      <c r="A137" s="49">
        <f t="shared" si="2"/>
        <v>37346</v>
      </c>
      <c r="B137" s="1">
        <v>581.20000000000005</v>
      </c>
      <c r="C137" s="1">
        <v>0</v>
      </c>
    </row>
    <row r="138" spans="1:5" x14ac:dyDescent="0.2">
      <c r="A138" s="49">
        <f t="shared" si="2"/>
        <v>37376</v>
      </c>
      <c r="B138" s="1">
        <v>356.2</v>
      </c>
      <c r="C138" s="1">
        <v>6.6</v>
      </c>
    </row>
    <row r="139" spans="1:5" x14ac:dyDescent="0.2">
      <c r="A139" s="49">
        <f t="shared" si="2"/>
        <v>37407</v>
      </c>
      <c r="B139" s="1">
        <v>266.8</v>
      </c>
      <c r="C139" s="1">
        <v>5.3</v>
      </c>
    </row>
    <row r="140" spans="1:5" x14ac:dyDescent="0.2">
      <c r="A140" s="49">
        <f t="shared" si="2"/>
        <v>37437</v>
      </c>
      <c r="B140" s="1">
        <v>53.1</v>
      </c>
      <c r="C140" s="1">
        <v>54.5</v>
      </c>
    </row>
    <row r="141" spans="1:5" x14ac:dyDescent="0.2">
      <c r="A141" s="49">
        <f t="shared" si="2"/>
        <v>37468</v>
      </c>
      <c r="B141" s="1">
        <v>4.7</v>
      </c>
      <c r="C141" s="1">
        <v>129</v>
      </c>
    </row>
    <row r="142" spans="1:5" x14ac:dyDescent="0.2">
      <c r="A142" s="49">
        <f t="shared" si="2"/>
        <v>37499</v>
      </c>
      <c r="B142" s="1">
        <v>11</v>
      </c>
      <c r="C142" s="1">
        <v>72.3</v>
      </c>
    </row>
    <row r="143" spans="1:5" x14ac:dyDescent="0.2">
      <c r="A143" s="49">
        <f t="shared" si="2"/>
        <v>37529</v>
      </c>
      <c r="B143" s="1">
        <v>50.2</v>
      </c>
      <c r="C143" s="1">
        <v>47</v>
      </c>
    </row>
    <row r="144" spans="1:5" x14ac:dyDescent="0.2">
      <c r="A144" s="49">
        <f t="shared" si="2"/>
        <v>37560</v>
      </c>
      <c r="B144" s="1">
        <v>345.6</v>
      </c>
      <c r="C144" s="1">
        <v>6.3</v>
      </c>
    </row>
    <row r="145" spans="1:5" x14ac:dyDescent="0.2">
      <c r="A145" s="49">
        <f t="shared" si="2"/>
        <v>37590</v>
      </c>
      <c r="B145" s="1">
        <v>486.4</v>
      </c>
      <c r="C145" s="1">
        <v>0</v>
      </c>
    </row>
    <row r="146" spans="1:5" x14ac:dyDescent="0.2">
      <c r="A146" s="49">
        <f t="shared" si="2"/>
        <v>37621</v>
      </c>
      <c r="B146" s="1">
        <v>675.6</v>
      </c>
      <c r="C146" s="1">
        <v>0</v>
      </c>
      <c r="D146">
        <f>SUM(B135:B146)</f>
        <v>4048.4999999999995</v>
      </c>
      <c r="E146">
        <f>SUM(C135:C146)</f>
        <v>321</v>
      </c>
    </row>
    <row r="147" spans="1:5" x14ac:dyDescent="0.2">
      <c r="A147" s="49">
        <f t="shared" si="2"/>
        <v>37652</v>
      </c>
      <c r="B147" s="1">
        <v>868.4</v>
      </c>
      <c r="C147" s="1">
        <v>0</v>
      </c>
    </row>
    <row r="148" spans="1:5" x14ac:dyDescent="0.2">
      <c r="A148" s="49">
        <f t="shared" si="2"/>
        <v>37680</v>
      </c>
      <c r="B148" s="1">
        <v>755.9</v>
      </c>
      <c r="C148" s="1">
        <v>0</v>
      </c>
    </row>
    <row r="149" spans="1:5" x14ac:dyDescent="0.2">
      <c r="A149" s="49">
        <f t="shared" si="2"/>
        <v>37711</v>
      </c>
      <c r="B149" s="1">
        <v>638.70000000000005</v>
      </c>
      <c r="C149" s="1">
        <v>0</v>
      </c>
    </row>
    <row r="150" spans="1:5" x14ac:dyDescent="0.2">
      <c r="A150" s="49">
        <f t="shared" si="2"/>
        <v>37741</v>
      </c>
      <c r="B150" s="1">
        <v>397.4</v>
      </c>
      <c r="C150" s="1">
        <v>0.7</v>
      </c>
    </row>
    <row r="151" spans="1:5" x14ac:dyDescent="0.2">
      <c r="A151" s="49">
        <f t="shared" si="2"/>
        <v>37772</v>
      </c>
      <c r="B151" s="1">
        <v>217</v>
      </c>
      <c r="C151" s="1">
        <v>0</v>
      </c>
    </row>
    <row r="152" spans="1:5" x14ac:dyDescent="0.2">
      <c r="A152" s="49">
        <f t="shared" si="2"/>
        <v>37802</v>
      </c>
      <c r="B152" s="1">
        <v>65.3</v>
      </c>
      <c r="C152" s="1">
        <v>25.5</v>
      </c>
    </row>
    <row r="153" spans="1:5" x14ac:dyDescent="0.2">
      <c r="A153" s="49">
        <f t="shared" si="2"/>
        <v>37833</v>
      </c>
      <c r="B153" s="1">
        <v>12.5</v>
      </c>
      <c r="C153" s="1">
        <v>50.1</v>
      </c>
    </row>
    <row r="154" spans="1:5" x14ac:dyDescent="0.2">
      <c r="A154" s="49">
        <f t="shared" si="2"/>
        <v>37864</v>
      </c>
      <c r="B154" s="1">
        <v>18.899999999999999</v>
      </c>
      <c r="C154" s="1">
        <v>72.400000000000006</v>
      </c>
    </row>
    <row r="155" spans="1:5" x14ac:dyDescent="0.2">
      <c r="A155" s="49">
        <f t="shared" si="2"/>
        <v>37894</v>
      </c>
      <c r="B155" s="1">
        <v>104.1</v>
      </c>
      <c r="C155" s="1">
        <v>6</v>
      </c>
    </row>
    <row r="156" spans="1:5" x14ac:dyDescent="0.2">
      <c r="A156" s="49">
        <f t="shared" si="2"/>
        <v>37925</v>
      </c>
      <c r="B156" s="1">
        <v>331.9</v>
      </c>
      <c r="C156" s="1">
        <v>0</v>
      </c>
    </row>
    <row r="157" spans="1:5" x14ac:dyDescent="0.2">
      <c r="A157" s="49">
        <f t="shared" si="2"/>
        <v>37955</v>
      </c>
      <c r="B157" s="1">
        <v>434.4</v>
      </c>
      <c r="C157" s="1">
        <v>0</v>
      </c>
    </row>
    <row r="158" spans="1:5" x14ac:dyDescent="0.2">
      <c r="A158" s="49">
        <f t="shared" si="2"/>
        <v>37986</v>
      </c>
      <c r="B158" s="1">
        <v>610</v>
      </c>
      <c r="C158" s="1">
        <v>0</v>
      </c>
      <c r="D158">
        <f>SUM(B147:B158)</f>
        <v>4454.5</v>
      </c>
      <c r="E158">
        <f>SUM(C147:C158)</f>
        <v>154.69999999999999</v>
      </c>
    </row>
    <row r="159" spans="1:5" x14ac:dyDescent="0.2">
      <c r="A159" s="49">
        <f t="shared" si="2"/>
        <v>38017</v>
      </c>
      <c r="B159" s="1">
        <v>879.2</v>
      </c>
      <c r="C159" s="1">
        <v>0</v>
      </c>
    </row>
    <row r="160" spans="1:5" x14ac:dyDescent="0.2">
      <c r="A160" s="49">
        <f t="shared" si="2"/>
        <v>38046</v>
      </c>
      <c r="B160" s="1">
        <v>699.2</v>
      </c>
      <c r="C160" s="1">
        <v>0</v>
      </c>
    </row>
    <row r="161" spans="1:5" x14ac:dyDescent="0.2">
      <c r="A161" s="49">
        <f t="shared" si="2"/>
        <v>38077</v>
      </c>
      <c r="B161" s="1">
        <v>540.9</v>
      </c>
      <c r="C161" s="1">
        <v>0</v>
      </c>
    </row>
    <row r="162" spans="1:5" x14ac:dyDescent="0.2">
      <c r="A162" s="49">
        <f t="shared" si="2"/>
        <v>38107</v>
      </c>
      <c r="B162" s="1">
        <v>354.1</v>
      </c>
      <c r="C162" s="1">
        <v>0</v>
      </c>
    </row>
    <row r="163" spans="1:5" x14ac:dyDescent="0.2">
      <c r="A163" s="49">
        <f t="shared" si="2"/>
        <v>38138</v>
      </c>
      <c r="B163" s="1">
        <v>196.2</v>
      </c>
      <c r="C163" s="1">
        <v>6.7</v>
      </c>
    </row>
    <row r="164" spans="1:5" x14ac:dyDescent="0.2">
      <c r="A164" s="49">
        <f t="shared" si="2"/>
        <v>38168</v>
      </c>
      <c r="B164" s="1">
        <v>92.5</v>
      </c>
      <c r="C164" s="1">
        <v>16.3</v>
      </c>
    </row>
    <row r="165" spans="1:5" x14ac:dyDescent="0.2">
      <c r="A165" s="49">
        <f t="shared" si="2"/>
        <v>38199</v>
      </c>
      <c r="B165" s="1">
        <v>21.3</v>
      </c>
      <c r="C165" s="1">
        <v>49.3</v>
      </c>
    </row>
    <row r="166" spans="1:5" x14ac:dyDescent="0.2">
      <c r="A166" s="49">
        <f t="shared" si="2"/>
        <v>38230</v>
      </c>
      <c r="B166" s="1">
        <v>55</v>
      </c>
      <c r="C166" s="1">
        <v>30.6</v>
      </c>
    </row>
    <row r="167" spans="1:5" x14ac:dyDescent="0.2">
      <c r="A167" s="49">
        <f t="shared" si="2"/>
        <v>38260</v>
      </c>
      <c r="B167" s="1">
        <v>71.3</v>
      </c>
      <c r="C167" s="1">
        <v>13.7</v>
      </c>
    </row>
    <row r="168" spans="1:5" x14ac:dyDescent="0.2">
      <c r="A168" s="49">
        <f t="shared" si="2"/>
        <v>38291</v>
      </c>
      <c r="B168" s="1">
        <v>287.5</v>
      </c>
      <c r="C168" s="1">
        <v>0</v>
      </c>
    </row>
    <row r="169" spans="1:5" x14ac:dyDescent="0.2">
      <c r="A169" s="49">
        <f t="shared" si="2"/>
        <v>38321</v>
      </c>
      <c r="B169" s="1">
        <v>432.9</v>
      </c>
      <c r="C169" s="1">
        <v>0</v>
      </c>
    </row>
    <row r="170" spans="1:5" x14ac:dyDescent="0.2">
      <c r="A170" s="49">
        <f t="shared" si="2"/>
        <v>38352</v>
      </c>
      <c r="B170" s="1">
        <v>700.1</v>
      </c>
      <c r="C170" s="1">
        <v>0</v>
      </c>
      <c r="D170">
        <f>SUM(B159:B170)</f>
        <v>4330.2000000000007</v>
      </c>
      <c r="E170">
        <f>SUM(C159:C170)</f>
        <v>116.60000000000001</v>
      </c>
    </row>
    <row r="171" spans="1:5" x14ac:dyDescent="0.2">
      <c r="A171" s="49">
        <f t="shared" si="2"/>
        <v>38383</v>
      </c>
      <c r="B171" s="1">
        <v>814.7</v>
      </c>
      <c r="C171" s="1">
        <v>0</v>
      </c>
    </row>
    <row r="172" spans="1:5" x14ac:dyDescent="0.2">
      <c r="A172" s="49">
        <f t="shared" si="2"/>
        <v>38411</v>
      </c>
      <c r="B172" s="1">
        <v>683.5</v>
      </c>
      <c r="C172" s="1">
        <v>0</v>
      </c>
    </row>
    <row r="173" spans="1:5" x14ac:dyDescent="0.2">
      <c r="A173" s="49">
        <f t="shared" si="2"/>
        <v>38442</v>
      </c>
      <c r="B173" s="1">
        <v>680.5</v>
      </c>
      <c r="C173" s="1">
        <v>0</v>
      </c>
    </row>
    <row r="174" spans="1:5" x14ac:dyDescent="0.2">
      <c r="A174" s="49">
        <f t="shared" si="2"/>
        <v>38472</v>
      </c>
      <c r="B174" s="1">
        <v>354.6</v>
      </c>
      <c r="C174" s="1">
        <v>0</v>
      </c>
    </row>
    <row r="175" spans="1:5" x14ac:dyDescent="0.2">
      <c r="A175" s="49">
        <f t="shared" si="2"/>
        <v>38503</v>
      </c>
      <c r="B175" s="1">
        <v>244.9</v>
      </c>
      <c r="C175" s="1">
        <v>0</v>
      </c>
    </row>
    <row r="176" spans="1:5" x14ac:dyDescent="0.2">
      <c r="A176" s="49">
        <f t="shared" si="2"/>
        <v>38533</v>
      </c>
      <c r="B176" s="1">
        <v>27.3</v>
      </c>
      <c r="C176" s="1">
        <v>104.8</v>
      </c>
    </row>
    <row r="177" spans="1:5" x14ac:dyDescent="0.2">
      <c r="A177" s="49">
        <f t="shared" si="2"/>
        <v>38564</v>
      </c>
      <c r="B177" s="1">
        <v>6.8</v>
      </c>
      <c r="C177" s="1">
        <v>105.4</v>
      </c>
    </row>
    <row r="178" spans="1:5" x14ac:dyDescent="0.2">
      <c r="A178" s="49">
        <f t="shared" si="2"/>
        <v>38595</v>
      </c>
      <c r="B178" s="1">
        <v>11.9</v>
      </c>
      <c r="C178" s="1">
        <v>67.900000000000006</v>
      </c>
    </row>
    <row r="179" spans="1:5" x14ac:dyDescent="0.2">
      <c r="A179" s="49">
        <f t="shared" si="2"/>
        <v>38625</v>
      </c>
      <c r="B179" s="1">
        <v>63.4</v>
      </c>
      <c r="C179" s="1">
        <v>13.7</v>
      </c>
    </row>
    <row r="180" spans="1:5" x14ac:dyDescent="0.2">
      <c r="A180" s="49">
        <f t="shared" si="2"/>
        <v>38656</v>
      </c>
      <c r="B180" s="1">
        <v>259.89999999999998</v>
      </c>
      <c r="C180" s="1">
        <v>2.6</v>
      </c>
    </row>
    <row r="181" spans="1:5" x14ac:dyDescent="0.2">
      <c r="A181" s="49">
        <f t="shared" si="2"/>
        <v>38686</v>
      </c>
      <c r="B181" s="1">
        <v>433.1</v>
      </c>
      <c r="C181" s="1">
        <v>0</v>
      </c>
    </row>
    <row r="182" spans="1:5" x14ac:dyDescent="0.2">
      <c r="A182" s="49">
        <f t="shared" si="2"/>
        <v>38717</v>
      </c>
      <c r="B182" s="1">
        <v>721.6</v>
      </c>
      <c r="C182" s="1">
        <v>0</v>
      </c>
      <c r="D182">
        <f>SUM(B171:B182)</f>
        <v>4302.2000000000007</v>
      </c>
      <c r="E182">
        <f>SUM(C171:C182)</f>
        <v>294.40000000000003</v>
      </c>
    </row>
    <row r="183" spans="1:5" x14ac:dyDescent="0.2">
      <c r="A183" s="49">
        <f t="shared" si="2"/>
        <v>38748</v>
      </c>
      <c r="B183" s="1">
        <v>590.6</v>
      </c>
      <c r="C183" s="1">
        <v>0</v>
      </c>
    </row>
    <row r="184" spans="1:5" x14ac:dyDescent="0.2">
      <c r="A184" s="49">
        <f t="shared" si="2"/>
        <v>38776</v>
      </c>
      <c r="B184" s="1">
        <v>651.20000000000005</v>
      </c>
      <c r="C184" s="1">
        <v>0</v>
      </c>
    </row>
    <row r="185" spans="1:5" x14ac:dyDescent="0.2">
      <c r="A185" s="49">
        <f t="shared" si="2"/>
        <v>38807</v>
      </c>
      <c r="B185" s="1">
        <v>562.4</v>
      </c>
      <c r="C185" s="1">
        <v>0</v>
      </c>
    </row>
    <row r="186" spans="1:5" x14ac:dyDescent="0.2">
      <c r="A186" s="49">
        <f t="shared" si="2"/>
        <v>38837</v>
      </c>
      <c r="B186" s="1">
        <v>322.5</v>
      </c>
      <c r="C186" s="1">
        <v>0</v>
      </c>
    </row>
    <row r="187" spans="1:5" x14ac:dyDescent="0.2">
      <c r="A187" s="49">
        <f t="shared" si="2"/>
        <v>38868</v>
      </c>
      <c r="B187" s="1">
        <v>177.8</v>
      </c>
      <c r="C187" s="1">
        <v>17.7</v>
      </c>
    </row>
    <row r="188" spans="1:5" x14ac:dyDescent="0.2">
      <c r="A188" s="49">
        <f t="shared" si="2"/>
        <v>38898</v>
      </c>
      <c r="B188" s="1">
        <v>44.1</v>
      </c>
      <c r="C188" s="1">
        <v>32.200000000000003</v>
      </c>
    </row>
    <row r="189" spans="1:5" x14ac:dyDescent="0.2">
      <c r="A189" s="49">
        <f t="shared" si="2"/>
        <v>38929</v>
      </c>
      <c r="B189" s="1">
        <v>6.5</v>
      </c>
      <c r="C189" s="1">
        <v>117.2</v>
      </c>
    </row>
    <row r="190" spans="1:5" x14ac:dyDescent="0.2">
      <c r="A190" s="49">
        <f t="shared" si="2"/>
        <v>38960</v>
      </c>
      <c r="B190" s="1">
        <v>27.5</v>
      </c>
      <c r="C190" s="1">
        <v>45.5</v>
      </c>
    </row>
    <row r="191" spans="1:5" x14ac:dyDescent="0.2">
      <c r="A191" s="49">
        <f t="shared" si="2"/>
        <v>38990</v>
      </c>
      <c r="B191" s="1">
        <v>130.30000000000001</v>
      </c>
      <c r="C191" s="1">
        <v>2.2999999999999998</v>
      </c>
    </row>
    <row r="192" spans="1:5" x14ac:dyDescent="0.2">
      <c r="A192" s="49">
        <f t="shared" si="2"/>
        <v>39021</v>
      </c>
      <c r="B192" s="1">
        <v>335.1</v>
      </c>
      <c r="C192" s="1">
        <v>0</v>
      </c>
    </row>
    <row r="193" spans="1:5" x14ac:dyDescent="0.2">
      <c r="A193" s="49">
        <f t="shared" si="2"/>
        <v>39051</v>
      </c>
      <c r="B193" s="1">
        <v>415.9</v>
      </c>
      <c r="C193" s="1">
        <v>0</v>
      </c>
    </row>
    <row r="194" spans="1:5" x14ac:dyDescent="0.2">
      <c r="A194" s="49">
        <f t="shared" si="2"/>
        <v>39082</v>
      </c>
      <c r="B194" s="1">
        <v>545.20000000000005</v>
      </c>
      <c r="C194" s="1">
        <v>0</v>
      </c>
      <c r="D194">
        <f>SUM(B183:B194)</f>
        <v>3809.1000000000004</v>
      </c>
      <c r="E194">
        <f>SUM(C183:C194)</f>
        <v>214.90000000000003</v>
      </c>
    </row>
    <row r="195" spans="1:5" x14ac:dyDescent="0.2">
      <c r="A195" s="49">
        <f t="shared" si="2"/>
        <v>39113</v>
      </c>
      <c r="B195" s="1">
        <v>698.3</v>
      </c>
      <c r="C195" s="1">
        <v>0</v>
      </c>
    </row>
    <row r="196" spans="1:5" x14ac:dyDescent="0.2">
      <c r="A196" s="49">
        <f t="shared" ref="A196:A259" si="3">EOMONTH(A195,1)</f>
        <v>39141</v>
      </c>
      <c r="B196" s="1">
        <v>785.1</v>
      </c>
      <c r="C196" s="1">
        <v>0</v>
      </c>
    </row>
    <row r="197" spans="1:5" x14ac:dyDescent="0.2">
      <c r="A197" s="49">
        <f t="shared" si="3"/>
        <v>39172</v>
      </c>
      <c r="B197" s="1">
        <v>582</v>
      </c>
      <c r="C197" s="1">
        <v>0</v>
      </c>
    </row>
    <row r="198" spans="1:5" x14ac:dyDescent="0.2">
      <c r="A198" s="49">
        <f t="shared" si="3"/>
        <v>39202</v>
      </c>
      <c r="B198" s="1">
        <v>403</v>
      </c>
      <c r="C198" s="1">
        <v>0</v>
      </c>
    </row>
    <row r="199" spans="1:5" x14ac:dyDescent="0.2">
      <c r="A199" s="49">
        <f t="shared" si="3"/>
        <v>39233</v>
      </c>
      <c r="B199" s="1">
        <v>166.4</v>
      </c>
      <c r="C199" s="1">
        <v>11.2</v>
      </c>
    </row>
    <row r="200" spans="1:5" x14ac:dyDescent="0.2">
      <c r="A200" s="49">
        <f t="shared" si="3"/>
        <v>39263</v>
      </c>
      <c r="B200" s="1">
        <v>35.5</v>
      </c>
      <c r="C200" s="1">
        <v>51.2</v>
      </c>
    </row>
    <row r="201" spans="1:5" x14ac:dyDescent="0.2">
      <c r="A201" s="49">
        <f t="shared" si="3"/>
        <v>39294</v>
      </c>
      <c r="B201" s="1">
        <v>28</v>
      </c>
      <c r="C201" s="1">
        <v>53.8</v>
      </c>
    </row>
    <row r="202" spans="1:5" x14ac:dyDescent="0.2">
      <c r="A202" s="49">
        <f t="shared" si="3"/>
        <v>39325</v>
      </c>
      <c r="B202" s="1">
        <v>19.7</v>
      </c>
      <c r="C202" s="1">
        <v>65.099999999999994</v>
      </c>
    </row>
    <row r="203" spans="1:5" x14ac:dyDescent="0.2">
      <c r="A203" s="49">
        <f t="shared" si="3"/>
        <v>39355</v>
      </c>
      <c r="B203" s="1">
        <v>74.7</v>
      </c>
      <c r="C203" s="1">
        <v>28</v>
      </c>
    </row>
    <row r="204" spans="1:5" x14ac:dyDescent="0.2">
      <c r="A204" s="49">
        <f t="shared" si="3"/>
        <v>39386</v>
      </c>
      <c r="B204" s="1">
        <v>184.7</v>
      </c>
      <c r="C204" s="1">
        <v>10.9</v>
      </c>
    </row>
    <row r="205" spans="1:5" x14ac:dyDescent="0.2">
      <c r="A205" s="49">
        <f t="shared" si="3"/>
        <v>39416</v>
      </c>
      <c r="B205" s="1">
        <v>511.8</v>
      </c>
      <c r="C205" s="1">
        <v>0</v>
      </c>
    </row>
    <row r="206" spans="1:5" x14ac:dyDescent="0.2">
      <c r="A206" s="49">
        <f t="shared" si="3"/>
        <v>39447</v>
      </c>
      <c r="B206" s="1">
        <v>686.6</v>
      </c>
      <c r="C206" s="1">
        <v>0</v>
      </c>
      <c r="D206">
        <f>SUM(B195:B206)</f>
        <v>4175.8</v>
      </c>
      <c r="E206">
        <f>SUM(C195:C206)</f>
        <v>220.20000000000002</v>
      </c>
    </row>
    <row r="207" spans="1:5" x14ac:dyDescent="0.2">
      <c r="A207" s="49">
        <f t="shared" si="3"/>
        <v>39478</v>
      </c>
      <c r="B207" s="1">
        <v>676.8</v>
      </c>
      <c r="C207" s="1">
        <v>0</v>
      </c>
    </row>
    <row r="208" spans="1:5" x14ac:dyDescent="0.2">
      <c r="A208" s="49">
        <f t="shared" si="3"/>
        <v>39507</v>
      </c>
      <c r="B208" s="1">
        <v>651.20000000000005</v>
      </c>
      <c r="C208" s="1">
        <v>0</v>
      </c>
    </row>
    <row r="209" spans="1:5" x14ac:dyDescent="0.2">
      <c r="A209" s="49">
        <f t="shared" si="3"/>
        <v>39538</v>
      </c>
      <c r="B209" s="1">
        <v>686.1</v>
      </c>
      <c r="C209" s="1">
        <v>0</v>
      </c>
    </row>
    <row r="210" spans="1:5" x14ac:dyDescent="0.2">
      <c r="A210" s="49">
        <f t="shared" si="3"/>
        <v>39568</v>
      </c>
      <c r="B210" s="1">
        <v>297.89999999999998</v>
      </c>
      <c r="C210" s="1">
        <v>0</v>
      </c>
    </row>
    <row r="211" spans="1:5" x14ac:dyDescent="0.2">
      <c r="A211" s="49">
        <f t="shared" si="3"/>
        <v>39599</v>
      </c>
      <c r="B211" s="1">
        <v>243.1</v>
      </c>
      <c r="C211" s="1">
        <v>0.7</v>
      </c>
    </row>
    <row r="212" spans="1:5" x14ac:dyDescent="0.2">
      <c r="A212" s="49">
        <f t="shared" si="3"/>
        <v>39629</v>
      </c>
      <c r="B212" s="1">
        <v>40.6</v>
      </c>
      <c r="C212" s="1">
        <v>53</v>
      </c>
    </row>
    <row r="213" spans="1:5" x14ac:dyDescent="0.2">
      <c r="A213" s="49">
        <f t="shared" si="3"/>
        <v>39660</v>
      </c>
      <c r="B213" s="1">
        <v>7.6</v>
      </c>
      <c r="C213" s="1">
        <v>75.8</v>
      </c>
    </row>
    <row r="214" spans="1:5" x14ac:dyDescent="0.2">
      <c r="A214" s="49">
        <f t="shared" si="3"/>
        <v>39691</v>
      </c>
      <c r="B214" s="1">
        <v>36.200000000000003</v>
      </c>
      <c r="C214" s="1">
        <v>29.5</v>
      </c>
    </row>
    <row r="215" spans="1:5" x14ac:dyDescent="0.2">
      <c r="A215" s="49">
        <f t="shared" si="3"/>
        <v>39721</v>
      </c>
      <c r="B215" s="1">
        <v>93.2</v>
      </c>
      <c r="C215" s="1">
        <v>12</v>
      </c>
    </row>
    <row r="216" spans="1:5" x14ac:dyDescent="0.2">
      <c r="A216" s="49">
        <f t="shared" si="3"/>
        <v>39752</v>
      </c>
      <c r="B216" s="1">
        <v>325.7</v>
      </c>
      <c r="C216" s="1">
        <v>0</v>
      </c>
    </row>
    <row r="217" spans="1:5" x14ac:dyDescent="0.2">
      <c r="A217" s="49">
        <f t="shared" si="3"/>
        <v>39782</v>
      </c>
      <c r="B217" s="1">
        <v>499.7</v>
      </c>
      <c r="C217" s="1">
        <v>0</v>
      </c>
    </row>
    <row r="218" spans="1:5" x14ac:dyDescent="0.2">
      <c r="A218" s="49">
        <f t="shared" si="3"/>
        <v>39813</v>
      </c>
      <c r="B218" s="1">
        <v>694</v>
      </c>
      <c r="C218" s="1">
        <v>0</v>
      </c>
      <c r="D218">
        <f>SUM(B207:B218)</f>
        <v>4252.0999999999985</v>
      </c>
      <c r="E218">
        <f>SUM(C207:C218)</f>
        <v>171</v>
      </c>
    </row>
    <row r="219" spans="1:5" x14ac:dyDescent="0.2">
      <c r="A219" s="49">
        <f t="shared" si="3"/>
        <v>39844</v>
      </c>
      <c r="B219" s="21">
        <v>891.8</v>
      </c>
      <c r="C219" s="21">
        <v>0</v>
      </c>
    </row>
    <row r="220" spans="1:5" x14ac:dyDescent="0.2">
      <c r="A220" s="49">
        <f t="shared" si="3"/>
        <v>39872</v>
      </c>
      <c r="B220" s="21">
        <v>649.6</v>
      </c>
      <c r="C220" s="21">
        <v>0</v>
      </c>
    </row>
    <row r="221" spans="1:5" x14ac:dyDescent="0.2">
      <c r="A221" s="49">
        <f t="shared" si="3"/>
        <v>39903</v>
      </c>
      <c r="B221" s="21">
        <v>562.6</v>
      </c>
      <c r="C221" s="21">
        <v>0</v>
      </c>
    </row>
    <row r="222" spans="1:5" x14ac:dyDescent="0.2">
      <c r="A222" s="49">
        <f t="shared" si="3"/>
        <v>39933</v>
      </c>
      <c r="B222" s="21">
        <v>341.5</v>
      </c>
      <c r="C222" s="21">
        <v>3.2</v>
      </c>
    </row>
    <row r="223" spans="1:5" x14ac:dyDescent="0.2">
      <c r="A223" s="49">
        <f t="shared" si="3"/>
        <v>39964</v>
      </c>
      <c r="B223" s="21">
        <v>192.8</v>
      </c>
      <c r="C223" s="21">
        <v>2.2999999999999998</v>
      </c>
    </row>
    <row r="224" spans="1:5" x14ac:dyDescent="0.2">
      <c r="A224" s="49">
        <f t="shared" si="3"/>
        <v>39994</v>
      </c>
      <c r="B224" s="21">
        <v>75.7</v>
      </c>
      <c r="C224" s="21">
        <v>26.2</v>
      </c>
    </row>
    <row r="225" spans="1:5" x14ac:dyDescent="0.2">
      <c r="A225" s="49">
        <f t="shared" si="3"/>
        <v>40025</v>
      </c>
      <c r="B225" s="21">
        <v>37.6</v>
      </c>
      <c r="C225" s="21">
        <v>14.5</v>
      </c>
    </row>
    <row r="226" spans="1:5" x14ac:dyDescent="0.2">
      <c r="A226" s="49">
        <f t="shared" si="3"/>
        <v>40056</v>
      </c>
      <c r="B226" s="21">
        <v>34.4</v>
      </c>
      <c r="C226" s="21">
        <v>57.3</v>
      </c>
    </row>
    <row r="227" spans="1:5" x14ac:dyDescent="0.2">
      <c r="A227" s="49">
        <f t="shared" si="3"/>
        <v>40086</v>
      </c>
      <c r="B227" s="21">
        <v>88.8</v>
      </c>
      <c r="C227" s="21">
        <v>5.5</v>
      </c>
    </row>
    <row r="228" spans="1:5" x14ac:dyDescent="0.2">
      <c r="A228" s="49">
        <f t="shared" si="3"/>
        <v>40117</v>
      </c>
      <c r="B228" s="21">
        <v>329.1</v>
      </c>
      <c r="C228" s="21">
        <v>0</v>
      </c>
    </row>
    <row r="229" spans="1:5" x14ac:dyDescent="0.2">
      <c r="A229" s="49">
        <f t="shared" si="3"/>
        <v>40147</v>
      </c>
      <c r="B229" s="21">
        <v>396.5</v>
      </c>
      <c r="C229" s="21">
        <v>0</v>
      </c>
    </row>
    <row r="230" spans="1:5" x14ac:dyDescent="0.2">
      <c r="A230" s="49">
        <f t="shared" si="3"/>
        <v>40178</v>
      </c>
      <c r="B230" s="21">
        <v>669.5</v>
      </c>
      <c r="C230" s="21">
        <v>0</v>
      </c>
      <c r="D230">
        <f>SUM(B219:B230)</f>
        <v>4269.8999999999996</v>
      </c>
      <c r="E230">
        <f>SUM(C219:C230)</f>
        <v>109</v>
      </c>
    </row>
    <row r="231" spans="1:5" x14ac:dyDescent="0.2">
      <c r="A231" s="49">
        <f t="shared" si="3"/>
        <v>40209</v>
      </c>
      <c r="B231" s="21">
        <v>727.1</v>
      </c>
      <c r="C231" s="21">
        <v>0</v>
      </c>
    </row>
    <row r="232" spans="1:5" x14ac:dyDescent="0.2">
      <c r="A232" s="49">
        <f t="shared" si="3"/>
        <v>40237</v>
      </c>
      <c r="B232" s="21">
        <v>644.70000000000005</v>
      </c>
      <c r="C232" s="21">
        <v>0</v>
      </c>
    </row>
    <row r="233" spans="1:5" x14ac:dyDescent="0.2">
      <c r="A233" s="49">
        <f t="shared" si="3"/>
        <v>40268</v>
      </c>
      <c r="B233" s="21">
        <v>470.9</v>
      </c>
      <c r="C233" s="21">
        <v>0</v>
      </c>
    </row>
    <row r="234" spans="1:5" x14ac:dyDescent="0.2">
      <c r="A234" s="49">
        <f t="shared" si="3"/>
        <v>40298</v>
      </c>
      <c r="B234" s="21">
        <v>255.7</v>
      </c>
      <c r="C234" s="21">
        <v>0</v>
      </c>
    </row>
    <row r="235" spans="1:5" x14ac:dyDescent="0.2">
      <c r="A235" s="49">
        <f t="shared" si="3"/>
        <v>40329</v>
      </c>
      <c r="B235" s="21">
        <v>144.69999999999999</v>
      </c>
      <c r="C235" s="21">
        <v>21</v>
      </c>
    </row>
    <row r="236" spans="1:5" x14ac:dyDescent="0.2">
      <c r="A236" s="49">
        <f t="shared" si="3"/>
        <v>40359</v>
      </c>
      <c r="B236" s="21">
        <v>37.700000000000003</v>
      </c>
      <c r="C236" s="21">
        <v>26.8</v>
      </c>
    </row>
    <row r="237" spans="1:5" x14ac:dyDescent="0.2">
      <c r="A237" s="49">
        <f t="shared" si="3"/>
        <v>40390</v>
      </c>
      <c r="B237" s="21">
        <v>6.7</v>
      </c>
      <c r="C237" s="21">
        <v>100.6</v>
      </c>
    </row>
    <row r="238" spans="1:5" x14ac:dyDescent="0.2">
      <c r="A238" s="49">
        <f t="shared" si="3"/>
        <v>40421</v>
      </c>
      <c r="B238" s="21">
        <v>9.6999999999999993</v>
      </c>
      <c r="C238" s="21">
        <v>79.2</v>
      </c>
    </row>
    <row r="239" spans="1:5" x14ac:dyDescent="0.2">
      <c r="A239" s="49">
        <f t="shared" si="3"/>
        <v>40451</v>
      </c>
      <c r="B239" s="21">
        <v>122.7</v>
      </c>
      <c r="C239" s="21">
        <v>16.7</v>
      </c>
    </row>
    <row r="240" spans="1:5" x14ac:dyDescent="0.2">
      <c r="A240" s="49">
        <f t="shared" si="3"/>
        <v>40482</v>
      </c>
      <c r="B240" s="21">
        <v>279.60000000000002</v>
      </c>
      <c r="C240" s="21">
        <v>0</v>
      </c>
    </row>
    <row r="241" spans="1:5" x14ac:dyDescent="0.2">
      <c r="A241" s="49">
        <f t="shared" si="3"/>
        <v>40512</v>
      </c>
      <c r="B241" s="21">
        <v>337.9</v>
      </c>
      <c r="C241" s="21">
        <v>0</v>
      </c>
    </row>
    <row r="242" spans="1:5" x14ac:dyDescent="0.2">
      <c r="A242" s="49">
        <f t="shared" si="3"/>
        <v>40543</v>
      </c>
      <c r="B242" s="21">
        <v>719.4</v>
      </c>
      <c r="C242" s="21">
        <v>0</v>
      </c>
      <c r="D242">
        <f>SUM(B231:B242)</f>
        <v>3756.7999999999993</v>
      </c>
      <c r="E242">
        <f>SUM(C231:C242)</f>
        <v>244.29999999999995</v>
      </c>
    </row>
    <row r="243" spans="1:5" x14ac:dyDescent="0.2">
      <c r="A243" s="49">
        <f t="shared" si="3"/>
        <v>40574</v>
      </c>
      <c r="B243" s="21">
        <v>770</v>
      </c>
      <c r="C243" s="21">
        <v>0</v>
      </c>
    </row>
    <row r="244" spans="1:5" x14ac:dyDescent="0.2">
      <c r="A244" s="49">
        <f t="shared" si="3"/>
        <v>40602</v>
      </c>
      <c r="B244" s="21">
        <v>640.79999999999995</v>
      </c>
      <c r="C244" s="21">
        <v>0</v>
      </c>
    </row>
    <row r="245" spans="1:5" x14ac:dyDescent="0.2">
      <c r="A245" s="49">
        <f t="shared" si="3"/>
        <v>40633</v>
      </c>
      <c r="B245" s="21">
        <v>605.29999999999995</v>
      </c>
      <c r="C245" s="21">
        <v>0</v>
      </c>
    </row>
    <row r="246" spans="1:5" x14ac:dyDescent="0.2">
      <c r="A246" s="49">
        <f t="shared" si="3"/>
        <v>40663</v>
      </c>
      <c r="B246" s="21">
        <v>298.7</v>
      </c>
      <c r="C246" s="21">
        <v>0</v>
      </c>
    </row>
    <row r="247" spans="1:5" x14ac:dyDescent="0.2">
      <c r="A247" s="49">
        <f t="shared" si="3"/>
        <v>40694</v>
      </c>
      <c r="B247" s="21">
        <v>148.69999999999999</v>
      </c>
      <c r="C247" s="21">
        <v>13.2</v>
      </c>
    </row>
    <row r="248" spans="1:5" x14ac:dyDescent="0.2">
      <c r="A248" s="49">
        <f t="shared" si="3"/>
        <v>40724</v>
      </c>
      <c r="B248" s="21">
        <v>48.5</v>
      </c>
      <c r="C248" s="21">
        <v>21.6</v>
      </c>
    </row>
    <row r="249" spans="1:5" x14ac:dyDescent="0.2">
      <c r="A249" s="49">
        <f t="shared" si="3"/>
        <v>40755</v>
      </c>
      <c r="B249" s="21">
        <v>0.8</v>
      </c>
      <c r="C249" s="21">
        <v>128.19999999999999</v>
      </c>
    </row>
    <row r="250" spans="1:5" x14ac:dyDescent="0.2">
      <c r="A250" s="49">
        <f t="shared" si="3"/>
        <v>40786</v>
      </c>
      <c r="B250" s="21">
        <v>6.9</v>
      </c>
      <c r="C250" s="21">
        <v>54.3</v>
      </c>
    </row>
    <row r="251" spans="1:5" x14ac:dyDescent="0.2">
      <c r="A251" s="49">
        <f t="shared" si="3"/>
        <v>40816</v>
      </c>
      <c r="B251" s="21">
        <v>88.9</v>
      </c>
      <c r="C251" s="21">
        <v>17.2</v>
      </c>
    </row>
    <row r="252" spans="1:5" x14ac:dyDescent="0.2">
      <c r="A252" s="49">
        <f t="shared" si="3"/>
        <v>40847</v>
      </c>
      <c r="B252" s="21">
        <v>279.89999999999998</v>
      </c>
      <c r="C252" s="21">
        <v>0</v>
      </c>
    </row>
    <row r="253" spans="1:5" x14ac:dyDescent="0.2">
      <c r="A253" s="49">
        <f t="shared" si="3"/>
        <v>40877</v>
      </c>
      <c r="B253" s="21">
        <v>382.4</v>
      </c>
      <c r="C253" s="21">
        <v>0</v>
      </c>
    </row>
    <row r="254" spans="1:5" x14ac:dyDescent="0.2">
      <c r="A254" s="49">
        <f t="shared" si="3"/>
        <v>40908</v>
      </c>
      <c r="B254" s="21">
        <v>574.79999999999995</v>
      </c>
      <c r="C254" s="21">
        <v>0</v>
      </c>
      <c r="D254">
        <f>SUM(B243:B254)</f>
        <v>3845.7</v>
      </c>
      <c r="E254">
        <f>SUM(C243:C254)</f>
        <v>234.5</v>
      </c>
    </row>
    <row r="255" spans="1:5" x14ac:dyDescent="0.2">
      <c r="A255" s="49">
        <f t="shared" si="3"/>
        <v>40939</v>
      </c>
      <c r="B255" s="21">
        <v>657.3</v>
      </c>
      <c r="C255" s="21">
        <v>0</v>
      </c>
    </row>
    <row r="256" spans="1:5" x14ac:dyDescent="0.2">
      <c r="A256" s="49">
        <f t="shared" si="3"/>
        <v>40968</v>
      </c>
      <c r="B256" s="21">
        <v>573</v>
      </c>
      <c r="C256" s="21">
        <v>0</v>
      </c>
    </row>
    <row r="257" spans="1:5" x14ac:dyDescent="0.2">
      <c r="A257" s="49">
        <f t="shared" si="3"/>
        <v>40999</v>
      </c>
      <c r="B257" s="21">
        <v>370.1</v>
      </c>
      <c r="C257" s="21">
        <v>0</v>
      </c>
    </row>
    <row r="258" spans="1:5" x14ac:dyDescent="0.2">
      <c r="A258" s="49">
        <f t="shared" si="3"/>
        <v>41029</v>
      </c>
      <c r="B258" s="21">
        <v>365.3</v>
      </c>
      <c r="C258" s="21">
        <v>0</v>
      </c>
    </row>
    <row r="259" spans="1:5" x14ac:dyDescent="0.2">
      <c r="A259" s="49">
        <f t="shared" si="3"/>
        <v>41060</v>
      </c>
      <c r="B259" s="21">
        <v>103.8</v>
      </c>
      <c r="C259" s="21">
        <v>18.2</v>
      </c>
    </row>
    <row r="260" spans="1:5" x14ac:dyDescent="0.2">
      <c r="A260" s="49">
        <f t="shared" ref="A260:A323" si="4">EOMONTH(A259,1)</f>
        <v>41090</v>
      </c>
      <c r="B260" s="21">
        <v>42.1</v>
      </c>
      <c r="C260" s="21">
        <v>61.2</v>
      </c>
    </row>
    <row r="261" spans="1:5" x14ac:dyDescent="0.2">
      <c r="A261" s="49">
        <f t="shared" si="4"/>
        <v>41121</v>
      </c>
      <c r="B261" s="21">
        <v>0</v>
      </c>
      <c r="C261" s="21">
        <v>116.4</v>
      </c>
    </row>
    <row r="262" spans="1:5" x14ac:dyDescent="0.2">
      <c r="A262" s="49">
        <f t="shared" si="4"/>
        <v>41152</v>
      </c>
      <c r="B262" s="21">
        <v>19.399999999999999</v>
      </c>
      <c r="C262" s="21">
        <v>58.1</v>
      </c>
    </row>
    <row r="263" spans="1:5" x14ac:dyDescent="0.2">
      <c r="A263" s="49">
        <f t="shared" si="4"/>
        <v>41182</v>
      </c>
      <c r="B263" s="21">
        <v>125.4</v>
      </c>
      <c r="C263" s="21">
        <v>16.399999999999999</v>
      </c>
    </row>
    <row r="264" spans="1:5" x14ac:dyDescent="0.2">
      <c r="A264" s="49">
        <f t="shared" si="4"/>
        <v>41213</v>
      </c>
      <c r="B264" s="21">
        <v>279.2</v>
      </c>
      <c r="C264" s="21">
        <v>0</v>
      </c>
    </row>
    <row r="265" spans="1:5" x14ac:dyDescent="0.2">
      <c r="A265" s="49">
        <f t="shared" si="4"/>
        <v>41243</v>
      </c>
      <c r="B265" s="21">
        <v>483.6</v>
      </c>
      <c r="C265" s="21">
        <v>0</v>
      </c>
    </row>
    <row r="266" spans="1:5" x14ac:dyDescent="0.2">
      <c r="A266" s="49">
        <f t="shared" si="4"/>
        <v>41274</v>
      </c>
      <c r="B266" s="21">
        <v>565.5</v>
      </c>
      <c r="C266" s="21">
        <v>0</v>
      </c>
      <c r="D266">
        <f>SUM(B255:B266)</f>
        <v>3584.7</v>
      </c>
      <c r="E266">
        <f>SUM(C255:C266)</f>
        <v>270.3</v>
      </c>
    </row>
    <row r="267" spans="1:5" x14ac:dyDescent="0.2">
      <c r="A267" s="49">
        <f t="shared" si="4"/>
        <v>41305</v>
      </c>
      <c r="B267" s="21">
        <v>681.3</v>
      </c>
      <c r="C267" s="21">
        <v>0</v>
      </c>
    </row>
    <row r="268" spans="1:5" x14ac:dyDescent="0.2">
      <c r="A268" s="49">
        <f t="shared" si="4"/>
        <v>41333</v>
      </c>
      <c r="B268" s="21">
        <v>697.9000000000002</v>
      </c>
      <c r="C268" s="21">
        <v>0</v>
      </c>
    </row>
    <row r="269" spans="1:5" x14ac:dyDescent="0.2">
      <c r="A269" s="49">
        <f t="shared" si="4"/>
        <v>41364</v>
      </c>
      <c r="B269" s="21">
        <v>612</v>
      </c>
      <c r="C269" s="21">
        <v>0</v>
      </c>
    </row>
    <row r="270" spans="1:5" x14ac:dyDescent="0.2">
      <c r="A270" s="49">
        <f t="shared" si="4"/>
        <v>41394</v>
      </c>
      <c r="B270" s="21">
        <v>368.7</v>
      </c>
      <c r="C270" s="21">
        <v>0</v>
      </c>
    </row>
    <row r="271" spans="1:5" x14ac:dyDescent="0.2">
      <c r="A271" s="49">
        <f t="shared" si="4"/>
        <v>41425</v>
      </c>
      <c r="B271" s="21">
        <v>152.10000000000002</v>
      </c>
      <c r="C271" s="21">
        <v>19.600000000000001</v>
      </c>
    </row>
    <row r="272" spans="1:5" x14ac:dyDescent="0.2">
      <c r="A272" s="49">
        <f t="shared" si="4"/>
        <v>41455</v>
      </c>
      <c r="B272" s="21">
        <v>46.4</v>
      </c>
      <c r="C272" s="21">
        <v>31.3</v>
      </c>
    </row>
    <row r="273" spans="1:5" x14ac:dyDescent="0.2">
      <c r="A273" s="49">
        <f t="shared" si="4"/>
        <v>41486</v>
      </c>
      <c r="B273" s="21">
        <v>15.100000000000001</v>
      </c>
      <c r="C273" s="21">
        <v>85.9</v>
      </c>
    </row>
    <row r="274" spans="1:5" x14ac:dyDescent="0.2">
      <c r="A274" s="49">
        <f t="shared" si="4"/>
        <v>41517</v>
      </c>
      <c r="B274" s="21">
        <v>32.700000000000003</v>
      </c>
      <c r="C274" s="21">
        <v>42.1</v>
      </c>
    </row>
    <row r="275" spans="1:5" x14ac:dyDescent="0.2">
      <c r="A275" s="49">
        <f t="shared" si="4"/>
        <v>41547</v>
      </c>
      <c r="B275" s="21">
        <v>128.10000000000002</v>
      </c>
      <c r="C275" s="21">
        <v>20.5</v>
      </c>
    </row>
    <row r="276" spans="1:5" x14ac:dyDescent="0.2">
      <c r="A276" s="49">
        <f t="shared" si="4"/>
        <v>41578</v>
      </c>
      <c r="B276" s="21">
        <v>255.50000000000003</v>
      </c>
      <c r="C276" s="21">
        <v>0</v>
      </c>
    </row>
    <row r="277" spans="1:5" x14ac:dyDescent="0.2">
      <c r="A277" s="49">
        <f t="shared" si="4"/>
        <v>41608</v>
      </c>
      <c r="B277" s="21">
        <v>517.69999999999993</v>
      </c>
      <c r="C277" s="21">
        <v>0</v>
      </c>
    </row>
    <row r="278" spans="1:5" x14ac:dyDescent="0.2">
      <c r="A278" s="49">
        <f t="shared" si="4"/>
        <v>41639</v>
      </c>
      <c r="B278" s="21">
        <v>727.3</v>
      </c>
      <c r="C278" s="21">
        <v>0</v>
      </c>
      <c r="D278">
        <f>SUM(B267:B278)</f>
        <v>4234.7999999999993</v>
      </c>
      <c r="E278">
        <f>SUM(C267:C278)</f>
        <v>199.4</v>
      </c>
    </row>
    <row r="279" spans="1:5" x14ac:dyDescent="0.2">
      <c r="A279" s="49">
        <f t="shared" si="4"/>
        <v>41670</v>
      </c>
      <c r="B279" s="21">
        <v>827.9000000000002</v>
      </c>
      <c r="C279" s="21">
        <v>0</v>
      </c>
    </row>
    <row r="280" spans="1:5" x14ac:dyDescent="0.2">
      <c r="A280" s="49">
        <f t="shared" si="4"/>
        <v>41698</v>
      </c>
      <c r="B280" s="21">
        <v>775.2</v>
      </c>
      <c r="C280" s="21">
        <v>0</v>
      </c>
    </row>
    <row r="281" spans="1:5" x14ac:dyDescent="0.2">
      <c r="A281" s="49">
        <f t="shared" si="4"/>
        <v>41729</v>
      </c>
      <c r="B281" s="21">
        <v>756.99999999999989</v>
      </c>
      <c r="C281" s="21">
        <v>0</v>
      </c>
    </row>
    <row r="282" spans="1:5" x14ac:dyDescent="0.2">
      <c r="A282" s="49">
        <f t="shared" si="4"/>
        <v>41759</v>
      </c>
      <c r="B282" s="21">
        <v>375.90000000000003</v>
      </c>
      <c r="C282" s="21">
        <v>0</v>
      </c>
    </row>
    <row r="283" spans="1:5" x14ac:dyDescent="0.2">
      <c r="A283" s="49">
        <f t="shared" si="4"/>
        <v>41790</v>
      </c>
      <c r="B283" s="21">
        <v>135.70000000000002</v>
      </c>
      <c r="C283" s="21">
        <v>5.7</v>
      </c>
    </row>
    <row r="284" spans="1:5" x14ac:dyDescent="0.2">
      <c r="A284" s="49">
        <f t="shared" si="4"/>
        <v>41820</v>
      </c>
      <c r="B284" s="21">
        <v>37.300000000000004</v>
      </c>
      <c r="C284" s="21">
        <v>44.3</v>
      </c>
    </row>
    <row r="285" spans="1:5" x14ac:dyDescent="0.2">
      <c r="A285" s="49">
        <f t="shared" si="4"/>
        <v>41851</v>
      </c>
      <c r="B285" s="21">
        <v>36.800000000000004</v>
      </c>
      <c r="C285" s="21">
        <v>31.500000000000004</v>
      </c>
    </row>
    <row r="286" spans="1:5" x14ac:dyDescent="0.2">
      <c r="A286" s="49">
        <f t="shared" si="4"/>
        <v>41882</v>
      </c>
      <c r="B286" s="21">
        <v>31.099999999999998</v>
      </c>
      <c r="C286" s="21">
        <v>24.500000000000004</v>
      </c>
    </row>
    <row r="287" spans="1:5" x14ac:dyDescent="0.2">
      <c r="A287" s="49">
        <f t="shared" si="4"/>
        <v>41912</v>
      </c>
      <c r="B287" s="21">
        <v>114.00000000000003</v>
      </c>
      <c r="C287" s="21">
        <v>11.4</v>
      </c>
    </row>
    <row r="288" spans="1:5" x14ac:dyDescent="0.2">
      <c r="A288" s="49">
        <f t="shared" si="4"/>
        <v>41943</v>
      </c>
      <c r="B288" s="21">
        <v>244.6</v>
      </c>
      <c r="C288" s="21">
        <v>0</v>
      </c>
    </row>
    <row r="289" spans="1:5" x14ac:dyDescent="0.2">
      <c r="A289" s="49">
        <f t="shared" si="4"/>
        <v>41973</v>
      </c>
      <c r="B289" s="21">
        <v>521.9</v>
      </c>
      <c r="C289" s="21">
        <v>0</v>
      </c>
    </row>
    <row r="290" spans="1:5" x14ac:dyDescent="0.2">
      <c r="A290" s="49">
        <f t="shared" si="4"/>
        <v>42004</v>
      </c>
      <c r="B290" s="21">
        <v>597.6</v>
      </c>
      <c r="C290" s="21">
        <v>0</v>
      </c>
      <c r="D290">
        <f>SUM(B279:B290)</f>
        <v>4455.0000000000009</v>
      </c>
      <c r="E290">
        <f>SUM(C279:C290)</f>
        <v>117.4</v>
      </c>
    </row>
    <row r="291" spans="1:5" x14ac:dyDescent="0.2">
      <c r="A291" s="49">
        <f t="shared" si="4"/>
        <v>42035</v>
      </c>
      <c r="B291" s="21">
        <v>800.80000000000018</v>
      </c>
      <c r="C291" s="21">
        <v>0</v>
      </c>
    </row>
    <row r="292" spans="1:5" x14ac:dyDescent="0.2">
      <c r="A292" s="49">
        <f t="shared" si="4"/>
        <v>42063</v>
      </c>
      <c r="B292" s="21">
        <v>917.5</v>
      </c>
      <c r="C292" s="21">
        <v>0</v>
      </c>
    </row>
    <row r="293" spans="1:5" x14ac:dyDescent="0.2">
      <c r="A293" s="49">
        <f t="shared" si="4"/>
        <v>42094</v>
      </c>
      <c r="B293" s="21">
        <v>538</v>
      </c>
      <c r="C293" s="21">
        <v>0</v>
      </c>
    </row>
    <row r="294" spans="1:5" x14ac:dyDescent="0.2">
      <c r="A294" s="49">
        <f t="shared" si="4"/>
        <v>42124</v>
      </c>
      <c r="B294" s="21">
        <v>359.00000000000011</v>
      </c>
      <c r="C294" s="21">
        <v>0</v>
      </c>
    </row>
    <row r="295" spans="1:5" x14ac:dyDescent="0.2">
      <c r="A295" s="49">
        <f t="shared" si="4"/>
        <v>42155</v>
      </c>
      <c r="B295" s="21">
        <v>116.20000000000002</v>
      </c>
      <c r="C295" s="21">
        <v>29.8</v>
      </c>
    </row>
    <row r="296" spans="1:5" x14ac:dyDescent="0.2">
      <c r="A296" s="49">
        <f t="shared" si="4"/>
        <v>42185</v>
      </c>
      <c r="B296" s="21">
        <v>54.699999999999996</v>
      </c>
      <c r="C296" s="21">
        <v>15</v>
      </c>
    </row>
    <row r="297" spans="1:5" x14ac:dyDescent="0.2">
      <c r="A297" s="49">
        <f t="shared" si="4"/>
        <v>42216</v>
      </c>
      <c r="B297" s="21">
        <v>19.3</v>
      </c>
      <c r="C297" s="21">
        <v>57.70000000000001</v>
      </c>
    </row>
    <row r="298" spans="1:5" x14ac:dyDescent="0.2">
      <c r="A298" s="49">
        <f t="shared" si="4"/>
        <v>42247</v>
      </c>
      <c r="B298" s="21">
        <v>29.500000000000004</v>
      </c>
      <c r="C298" s="21">
        <v>47.899999999999991</v>
      </c>
    </row>
    <row r="299" spans="1:5" x14ac:dyDescent="0.2">
      <c r="A299" s="49">
        <f t="shared" si="4"/>
        <v>42277</v>
      </c>
      <c r="B299" s="21">
        <v>58.20000000000001</v>
      </c>
      <c r="C299" s="21">
        <v>45.300000000000004</v>
      </c>
    </row>
    <row r="300" spans="1:5" x14ac:dyDescent="0.2">
      <c r="A300" s="49">
        <f t="shared" si="4"/>
        <v>42308</v>
      </c>
      <c r="B300" s="21">
        <v>290.09999999999991</v>
      </c>
      <c r="C300" s="21">
        <v>0</v>
      </c>
    </row>
    <row r="301" spans="1:5" x14ac:dyDescent="0.2">
      <c r="A301" s="49">
        <f t="shared" si="4"/>
        <v>42338</v>
      </c>
      <c r="B301" s="21">
        <v>391.1</v>
      </c>
      <c r="C301" s="21">
        <v>0</v>
      </c>
    </row>
    <row r="302" spans="1:5" x14ac:dyDescent="0.2">
      <c r="A302" s="49">
        <f t="shared" si="4"/>
        <v>42369</v>
      </c>
      <c r="B302" s="21">
        <v>452.99999999999994</v>
      </c>
      <c r="C302" s="21">
        <v>0</v>
      </c>
      <c r="D302">
        <f>SUM(B291:B302)</f>
        <v>4027.3999999999996</v>
      </c>
      <c r="E302">
        <f>SUM(C291:C302)</f>
        <v>195.7</v>
      </c>
    </row>
    <row r="303" spans="1:5" x14ac:dyDescent="0.2">
      <c r="A303" s="49">
        <f t="shared" si="4"/>
        <v>42400</v>
      </c>
      <c r="B303" s="21">
        <v>717.80000000000007</v>
      </c>
      <c r="C303" s="21">
        <v>0</v>
      </c>
    </row>
    <row r="304" spans="1:5" x14ac:dyDescent="0.2">
      <c r="A304" s="49">
        <f t="shared" si="4"/>
        <v>42429</v>
      </c>
      <c r="B304" s="21">
        <v>627.40000000000009</v>
      </c>
      <c r="C304" s="21">
        <v>0</v>
      </c>
    </row>
    <row r="305" spans="1:5" x14ac:dyDescent="0.2">
      <c r="A305" s="49">
        <f t="shared" si="4"/>
        <v>42460</v>
      </c>
      <c r="B305" s="21">
        <v>492.6</v>
      </c>
      <c r="C305" s="21">
        <v>0</v>
      </c>
    </row>
    <row r="306" spans="1:5" x14ac:dyDescent="0.2">
      <c r="A306" s="49">
        <f t="shared" si="4"/>
        <v>42490</v>
      </c>
      <c r="B306" s="21">
        <v>431.80000000000007</v>
      </c>
      <c r="C306" s="21">
        <v>0</v>
      </c>
    </row>
    <row r="307" spans="1:5" x14ac:dyDescent="0.2">
      <c r="A307" s="49">
        <f t="shared" si="4"/>
        <v>42521</v>
      </c>
      <c r="B307" s="21">
        <v>174.59999999999997</v>
      </c>
      <c r="C307" s="21">
        <v>18.399999999999999</v>
      </c>
    </row>
    <row r="308" spans="1:5" x14ac:dyDescent="0.2">
      <c r="A308" s="49">
        <f t="shared" si="4"/>
        <v>42551</v>
      </c>
      <c r="B308" s="21">
        <v>51.2</v>
      </c>
      <c r="C308" s="21">
        <v>34.300000000000004</v>
      </c>
    </row>
    <row r="309" spans="1:5" x14ac:dyDescent="0.2">
      <c r="A309" s="49">
        <f t="shared" si="4"/>
        <v>42582</v>
      </c>
      <c r="B309" s="21">
        <v>4.8</v>
      </c>
      <c r="C309" s="21">
        <v>101.2</v>
      </c>
    </row>
    <row r="310" spans="1:5" x14ac:dyDescent="0.2">
      <c r="A310" s="49">
        <f t="shared" si="4"/>
        <v>42613</v>
      </c>
      <c r="B310" s="21">
        <v>2.1</v>
      </c>
      <c r="C310" s="21">
        <v>105</v>
      </c>
    </row>
    <row r="311" spans="1:5" x14ac:dyDescent="0.2">
      <c r="A311" s="49">
        <f t="shared" si="4"/>
        <v>42643</v>
      </c>
      <c r="B311" s="21">
        <v>68.600000000000009</v>
      </c>
      <c r="C311" s="21">
        <v>26.6</v>
      </c>
    </row>
    <row r="312" spans="1:5" x14ac:dyDescent="0.2">
      <c r="A312" s="49">
        <f t="shared" si="4"/>
        <v>42674</v>
      </c>
      <c r="B312" s="21">
        <v>242.10000000000002</v>
      </c>
      <c r="C312" s="21">
        <v>1.9</v>
      </c>
    </row>
    <row r="313" spans="1:5" x14ac:dyDescent="0.2">
      <c r="A313" s="49">
        <f t="shared" si="4"/>
        <v>42704</v>
      </c>
      <c r="B313" s="21">
        <v>388.20000000000005</v>
      </c>
      <c r="C313" s="21">
        <v>0</v>
      </c>
    </row>
    <row r="314" spans="1:5" x14ac:dyDescent="0.2">
      <c r="A314" s="49">
        <f t="shared" si="4"/>
        <v>42735</v>
      </c>
      <c r="B314" s="21">
        <v>647.79999999999984</v>
      </c>
      <c r="C314" s="21">
        <v>0</v>
      </c>
      <c r="D314">
        <f>SUM(B303:B314)</f>
        <v>3848.9999999999995</v>
      </c>
      <c r="E314">
        <f>SUM(C303:C314)</f>
        <v>287.39999999999998</v>
      </c>
    </row>
    <row r="315" spans="1:5" x14ac:dyDescent="0.2">
      <c r="A315" s="49">
        <f t="shared" si="4"/>
        <v>42766</v>
      </c>
      <c r="B315" s="21">
        <v>635.1</v>
      </c>
      <c r="C315" s="21">
        <v>0</v>
      </c>
    </row>
    <row r="316" spans="1:5" x14ac:dyDescent="0.2">
      <c r="A316" s="49">
        <f t="shared" si="4"/>
        <v>42794</v>
      </c>
      <c r="B316" s="21">
        <v>537.9</v>
      </c>
      <c r="C316" s="21">
        <v>0</v>
      </c>
    </row>
    <row r="317" spans="1:5" x14ac:dyDescent="0.2">
      <c r="A317" s="49">
        <f t="shared" si="4"/>
        <v>42825</v>
      </c>
      <c r="B317" s="21">
        <v>597.6</v>
      </c>
      <c r="C317" s="21">
        <v>0</v>
      </c>
    </row>
    <row r="318" spans="1:5" x14ac:dyDescent="0.2">
      <c r="A318" s="49">
        <f t="shared" si="4"/>
        <v>42855</v>
      </c>
      <c r="B318" s="21">
        <v>281.59999999999991</v>
      </c>
      <c r="C318" s="21">
        <v>0</v>
      </c>
    </row>
    <row r="319" spans="1:5" x14ac:dyDescent="0.2">
      <c r="A319" s="49">
        <f t="shared" si="4"/>
        <v>42886</v>
      </c>
      <c r="B319" s="21">
        <v>214.39999999999995</v>
      </c>
      <c r="C319" s="21">
        <v>2.7</v>
      </c>
    </row>
    <row r="320" spans="1:5" x14ac:dyDescent="0.2">
      <c r="A320" s="49">
        <f t="shared" si="4"/>
        <v>42916</v>
      </c>
      <c r="B320" s="21">
        <v>45.2</v>
      </c>
      <c r="C320" s="21">
        <v>43</v>
      </c>
    </row>
    <row r="321" spans="1:5" x14ac:dyDescent="0.2">
      <c r="A321" s="49">
        <f t="shared" si="4"/>
        <v>42947</v>
      </c>
      <c r="B321" s="21">
        <v>3.2</v>
      </c>
      <c r="C321" s="21">
        <v>58.500000000000007</v>
      </c>
    </row>
    <row r="322" spans="1:5" x14ac:dyDescent="0.2">
      <c r="A322" s="49">
        <f t="shared" si="4"/>
        <v>42978</v>
      </c>
      <c r="B322" s="21">
        <v>34.5</v>
      </c>
      <c r="C322" s="21">
        <v>28.6</v>
      </c>
    </row>
    <row r="323" spans="1:5" x14ac:dyDescent="0.2">
      <c r="A323" s="49">
        <f t="shared" si="4"/>
        <v>43008</v>
      </c>
      <c r="B323" s="21">
        <v>81.100000000000009</v>
      </c>
      <c r="C323" s="21">
        <v>36.299999999999997</v>
      </c>
    </row>
    <row r="324" spans="1:5" x14ac:dyDescent="0.2">
      <c r="A324" s="49">
        <f t="shared" ref="A324:A326" si="5">EOMONTH(A323,1)</f>
        <v>43039</v>
      </c>
      <c r="B324" s="21">
        <v>208.89999999999998</v>
      </c>
      <c r="C324" s="21">
        <v>3.2</v>
      </c>
    </row>
    <row r="325" spans="1:5" x14ac:dyDescent="0.2">
      <c r="A325" s="49">
        <f t="shared" si="5"/>
        <v>43069</v>
      </c>
      <c r="B325" s="21">
        <v>480.00000000000006</v>
      </c>
      <c r="C325" s="21">
        <v>0</v>
      </c>
    </row>
    <row r="326" spans="1:5" x14ac:dyDescent="0.2">
      <c r="A326" s="49">
        <f t="shared" si="5"/>
        <v>43100</v>
      </c>
      <c r="B326" s="21">
        <v>755.7</v>
      </c>
      <c r="C326" s="21">
        <v>0</v>
      </c>
      <c r="D326">
        <f>SUM(B315:B326)</f>
        <v>3875.2</v>
      </c>
      <c r="E326">
        <f>SUM(C315:C326)</f>
        <v>172.3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44"/>
  <sheetViews>
    <sheetView topLeftCell="C1" workbookViewId="0"/>
  </sheetViews>
  <sheetFormatPr defaultRowHeight="12.75" x14ac:dyDescent="0.2"/>
  <cols>
    <col min="1" max="4" width="9.140625" style="116"/>
    <col min="5" max="5" width="9.28515625" style="122" customWidth="1"/>
    <col min="6" max="6" width="9.5703125" style="122" customWidth="1"/>
    <col min="7" max="20" width="9.140625" style="116"/>
    <col min="21" max="21" width="10.28515625" style="116" bestFit="1" customWidth="1"/>
    <col min="22" max="26" width="9.140625" style="116"/>
    <col min="27" max="27" width="11" bestFit="1" customWidth="1"/>
    <col min="28" max="256" width="9.140625" style="116"/>
    <col min="257" max="257" width="9.28515625" style="116" customWidth="1"/>
    <col min="258" max="258" width="9.5703125" style="116" customWidth="1"/>
    <col min="259" max="272" width="9.140625" style="116"/>
    <col min="273" max="273" width="9.85546875" style="116" bestFit="1" customWidth="1"/>
    <col min="274" max="274" width="11" style="116" bestFit="1" customWidth="1"/>
    <col min="275" max="512" width="9.140625" style="116"/>
    <col min="513" max="513" width="9.28515625" style="116" customWidth="1"/>
    <col min="514" max="514" width="9.5703125" style="116" customWidth="1"/>
    <col min="515" max="528" width="9.140625" style="116"/>
    <col min="529" max="529" width="9.85546875" style="116" bestFit="1" customWidth="1"/>
    <col min="530" max="530" width="11" style="116" bestFit="1" customWidth="1"/>
    <col min="531" max="768" width="9.140625" style="116"/>
    <col min="769" max="769" width="9.28515625" style="116" customWidth="1"/>
    <col min="770" max="770" width="9.5703125" style="116" customWidth="1"/>
    <col min="771" max="784" width="9.140625" style="116"/>
    <col min="785" max="785" width="9.85546875" style="116" bestFit="1" customWidth="1"/>
    <col min="786" max="786" width="11" style="116" bestFit="1" customWidth="1"/>
    <col min="787" max="1024" width="9.140625" style="116"/>
    <col min="1025" max="1025" width="9.28515625" style="116" customWidth="1"/>
    <col min="1026" max="1026" width="9.5703125" style="116" customWidth="1"/>
    <col min="1027" max="1040" width="9.140625" style="116"/>
    <col min="1041" max="1041" width="9.85546875" style="116" bestFit="1" customWidth="1"/>
    <col min="1042" max="1042" width="11" style="116" bestFit="1" customWidth="1"/>
    <col min="1043" max="1280" width="9.140625" style="116"/>
    <col min="1281" max="1281" width="9.28515625" style="116" customWidth="1"/>
    <col min="1282" max="1282" width="9.5703125" style="116" customWidth="1"/>
    <col min="1283" max="1296" width="9.140625" style="116"/>
    <col min="1297" max="1297" width="9.85546875" style="116" bestFit="1" customWidth="1"/>
    <col min="1298" max="1298" width="11" style="116" bestFit="1" customWidth="1"/>
    <col min="1299" max="1536" width="9.140625" style="116"/>
    <col min="1537" max="1537" width="9.28515625" style="116" customWidth="1"/>
    <col min="1538" max="1538" width="9.5703125" style="116" customWidth="1"/>
    <col min="1539" max="1552" width="9.140625" style="116"/>
    <col min="1553" max="1553" width="9.85546875" style="116" bestFit="1" customWidth="1"/>
    <col min="1554" max="1554" width="11" style="116" bestFit="1" customWidth="1"/>
    <col min="1555" max="1792" width="9.140625" style="116"/>
    <col min="1793" max="1793" width="9.28515625" style="116" customWidth="1"/>
    <col min="1794" max="1794" width="9.5703125" style="116" customWidth="1"/>
    <col min="1795" max="1808" width="9.140625" style="116"/>
    <col min="1809" max="1809" width="9.85546875" style="116" bestFit="1" customWidth="1"/>
    <col min="1810" max="1810" width="11" style="116" bestFit="1" customWidth="1"/>
    <col min="1811" max="2048" width="9.140625" style="116"/>
    <col min="2049" max="2049" width="9.28515625" style="116" customWidth="1"/>
    <col min="2050" max="2050" width="9.5703125" style="116" customWidth="1"/>
    <col min="2051" max="2064" width="9.140625" style="116"/>
    <col min="2065" max="2065" width="9.85546875" style="116" bestFit="1" customWidth="1"/>
    <col min="2066" max="2066" width="11" style="116" bestFit="1" customWidth="1"/>
    <col min="2067" max="2304" width="9.140625" style="116"/>
    <col min="2305" max="2305" width="9.28515625" style="116" customWidth="1"/>
    <col min="2306" max="2306" width="9.5703125" style="116" customWidth="1"/>
    <col min="2307" max="2320" width="9.140625" style="116"/>
    <col min="2321" max="2321" width="9.85546875" style="116" bestFit="1" customWidth="1"/>
    <col min="2322" max="2322" width="11" style="116" bestFit="1" customWidth="1"/>
    <col min="2323" max="2560" width="9.140625" style="116"/>
    <col min="2561" max="2561" width="9.28515625" style="116" customWidth="1"/>
    <col min="2562" max="2562" width="9.5703125" style="116" customWidth="1"/>
    <col min="2563" max="2576" width="9.140625" style="116"/>
    <col min="2577" max="2577" width="9.85546875" style="116" bestFit="1" customWidth="1"/>
    <col min="2578" max="2578" width="11" style="116" bestFit="1" customWidth="1"/>
    <col min="2579" max="2816" width="9.140625" style="116"/>
    <col min="2817" max="2817" width="9.28515625" style="116" customWidth="1"/>
    <col min="2818" max="2818" width="9.5703125" style="116" customWidth="1"/>
    <col min="2819" max="2832" width="9.140625" style="116"/>
    <col min="2833" max="2833" width="9.85546875" style="116" bestFit="1" customWidth="1"/>
    <col min="2834" max="2834" width="11" style="116" bestFit="1" customWidth="1"/>
    <col min="2835" max="3072" width="9.140625" style="116"/>
    <col min="3073" max="3073" width="9.28515625" style="116" customWidth="1"/>
    <col min="3074" max="3074" width="9.5703125" style="116" customWidth="1"/>
    <col min="3075" max="3088" width="9.140625" style="116"/>
    <col min="3089" max="3089" width="9.85546875" style="116" bestFit="1" customWidth="1"/>
    <col min="3090" max="3090" width="11" style="116" bestFit="1" customWidth="1"/>
    <col min="3091" max="3328" width="9.140625" style="116"/>
    <col min="3329" max="3329" width="9.28515625" style="116" customWidth="1"/>
    <col min="3330" max="3330" width="9.5703125" style="116" customWidth="1"/>
    <col min="3331" max="3344" width="9.140625" style="116"/>
    <col min="3345" max="3345" width="9.85546875" style="116" bestFit="1" customWidth="1"/>
    <col min="3346" max="3346" width="11" style="116" bestFit="1" customWidth="1"/>
    <col min="3347" max="3584" width="9.140625" style="116"/>
    <col min="3585" max="3585" width="9.28515625" style="116" customWidth="1"/>
    <col min="3586" max="3586" width="9.5703125" style="116" customWidth="1"/>
    <col min="3587" max="3600" width="9.140625" style="116"/>
    <col min="3601" max="3601" width="9.85546875" style="116" bestFit="1" customWidth="1"/>
    <col min="3602" max="3602" width="11" style="116" bestFit="1" customWidth="1"/>
    <col min="3603" max="3840" width="9.140625" style="116"/>
    <col min="3841" max="3841" width="9.28515625" style="116" customWidth="1"/>
    <col min="3842" max="3842" width="9.5703125" style="116" customWidth="1"/>
    <col min="3843" max="3856" width="9.140625" style="116"/>
    <col min="3857" max="3857" width="9.85546875" style="116" bestFit="1" customWidth="1"/>
    <col min="3858" max="3858" width="11" style="116" bestFit="1" customWidth="1"/>
    <col min="3859" max="4096" width="9.140625" style="116"/>
    <col min="4097" max="4097" width="9.28515625" style="116" customWidth="1"/>
    <col min="4098" max="4098" width="9.5703125" style="116" customWidth="1"/>
    <col min="4099" max="4112" width="9.140625" style="116"/>
    <col min="4113" max="4113" width="9.85546875" style="116" bestFit="1" customWidth="1"/>
    <col min="4114" max="4114" width="11" style="116" bestFit="1" customWidth="1"/>
    <col min="4115" max="4352" width="9.140625" style="116"/>
    <col min="4353" max="4353" width="9.28515625" style="116" customWidth="1"/>
    <col min="4354" max="4354" width="9.5703125" style="116" customWidth="1"/>
    <col min="4355" max="4368" width="9.140625" style="116"/>
    <col min="4369" max="4369" width="9.85546875" style="116" bestFit="1" customWidth="1"/>
    <col min="4370" max="4370" width="11" style="116" bestFit="1" customWidth="1"/>
    <col min="4371" max="4608" width="9.140625" style="116"/>
    <col min="4609" max="4609" width="9.28515625" style="116" customWidth="1"/>
    <col min="4610" max="4610" width="9.5703125" style="116" customWidth="1"/>
    <col min="4611" max="4624" width="9.140625" style="116"/>
    <col min="4625" max="4625" width="9.85546875" style="116" bestFit="1" customWidth="1"/>
    <col min="4626" max="4626" width="11" style="116" bestFit="1" customWidth="1"/>
    <col min="4627" max="4864" width="9.140625" style="116"/>
    <col min="4865" max="4865" width="9.28515625" style="116" customWidth="1"/>
    <col min="4866" max="4866" width="9.5703125" style="116" customWidth="1"/>
    <col min="4867" max="4880" width="9.140625" style="116"/>
    <col min="4881" max="4881" width="9.85546875" style="116" bestFit="1" customWidth="1"/>
    <col min="4882" max="4882" width="11" style="116" bestFit="1" customWidth="1"/>
    <col min="4883" max="5120" width="9.140625" style="116"/>
    <col min="5121" max="5121" width="9.28515625" style="116" customWidth="1"/>
    <col min="5122" max="5122" width="9.5703125" style="116" customWidth="1"/>
    <col min="5123" max="5136" width="9.140625" style="116"/>
    <col min="5137" max="5137" width="9.85546875" style="116" bestFit="1" customWidth="1"/>
    <col min="5138" max="5138" width="11" style="116" bestFit="1" customWidth="1"/>
    <col min="5139" max="5376" width="9.140625" style="116"/>
    <col min="5377" max="5377" width="9.28515625" style="116" customWidth="1"/>
    <col min="5378" max="5378" width="9.5703125" style="116" customWidth="1"/>
    <col min="5379" max="5392" width="9.140625" style="116"/>
    <col min="5393" max="5393" width="9.85546875" style="116" bestFit="1" customWidth="1"/>
    <col min="5394" max="5394" width="11" style="116" bestFit="1" customWidth="1"/>
    <col min="5395" max="5632" width="9.140625" style="116"/>
    <col min="5633" max="5633" width="9.28515625" style="116" customWidth="1"/>
    <col min="5634" max="5634" width="9.5703125" style="116" customWidth="1"/>
    <col min="5635" max="5648" width="9.140625" style="116"/>
    <col min="5649" max="5649" width="9.85546875" style="116" bestFit="1" customWidth="1"/>
    <col min="5650" max="5650" width="11" style="116" bestFit="1" customWidth="1"/>
    <col min="5651" max="5888" width="9.140625" style="116"/>
    <col min="5889" max="5889" width="9.28515625" style="116" customWidth="1"/>
    <col min="5890" max="5890" width="9.5703125" style="116" customWidth="1"/>
    <col min="5891" max="5904" width="9.140625" style="116"/>
    <col min="5905" max="5905" width="9.85546875" style="116" bestFit="1" customWidth="1"/>
    <col min="5906" max="5906" width="11" style="116" bestFit="1" customWidth="1"/>
    <col min="5907" max="6144" width="9.140625" style="116"/>
    <col min="6145" max="6145" width="9.28515625" style="116" customWidth="1"/>
    <col min="6146" max="6146" width="9.5703125" style="116" customWidth="1"/>
    <col min="6147" max="6160" width="9.140625" style="116"/>
    <col min="6161" max="6161" width="9.85546875" style="116" bestFit="1" customWidth="1"/>
    <col min="6162" max="6162" width="11" style="116" bestFit="1" customWidth="1"/>
    <col min="6163" max="6400" width="9.140625" style="116"/>
    <col min="6401" max="6401" width="9.28515625" style="116" customWidth="1"/>
    <col min="6402" max="6402" width="9.5703125" style="116" customWidth="1"/>
    <col min="6403" max="6416" width="9.140625" style="116"/>
    <col min="6417" max="6417" width="9.85546875" style="116" bestFit="1" customWidth="1"/>
    <col min="6418" max="6418" width="11" style="116" bestFit="1" customWidth="1"/>
    <col min="6419" max="6656" width="9.140625" style="116"/>
    <col min="6657" max="6657" width="9.28515625" style="116" customWidth="1"/>
    <col min="6658" max="6658" width="9.5703125" style="116" customWidth="1"/>
    <col min="6659" max="6672" width="9.140625" style="116"/>
    <col min="6673" max="6673" width="9.85546875" style="116" bestFit="1" customWidth="1"/>
    <col min="6674" max="6674" width="11" style="116" bestFit="1" customWidth="1"/>
    <col min="6675" max="6912" width="9.140625" style="116"/>
    <col min="6913" max="6913" width="9.28515625" style="116" customWidth="1"/>
    <col min="6914" max="6914" width="9.5703125" style="116" customWidth="1"/>
    <col min="6915" max="6928" width="9.140625" style="116"/>
    <col min="6929" max="6929" width="9.85546875" style="116" bestFit="1" customWidth="1"/>
    <col min="6930" max="6930" width="11" style="116" bestFit="1" customWidth="1"/>
    <col min="6931" max="7168" width="9.140625" style="116"/>
    <col min="7169" max="7169" width="9.28515625" style="116" customWidth="1"/>
    <col min="7170" max="7170" width="9.5703125" style="116" customWidth="1"/>
    <col min="7171" max="7184" width="9.140625" style="116"/>
    <col min="7185" max="7185" width="9.85546875" style="116" bestFit="1" customWidth="1"/>
    <col min="7186" max="7186" width="11" style="116" bestFit="1" customWidth="1"/>
    <col min="7187" max="7424" width="9.140625" style="116"/>
    <col min="7425" max="7425" width="9.28515625" style="116" customWidth="1"/>
    <col min="7426" max="7426" width="9.5703125" style="116" customWidth="1"/>
    <col min="7427" max="7440" width="9.140625" style="116"/>
    <col min="7441" max="7441" width="9.85546875" style="116" bestFit="1" customWidth="1"/>
    <col min="7442" max="7442" width="11" style="116" bestFit="1" customWidth="1"/>
    <col min="7443" max="7680" width="9.140625" style="116"/>
    <col min="7681" max="7681" width="9.28515625" style="116" customWidth="1"/>
    <col min="7682" max="7682" width="9.5703125" style="116" customWidth="1"/>
    <col min="7683" max="7696" width="9.140625" style="116"/>
    <col min="7697" max="7697" width="9.85546875" style="116" bestFit="1" customWidth="1"/>
    <col min="7698" max="7698" width="11" style="116" bestFit="1" customWidth="1"/>
    <col min="7699" max="7936" width="9.140625" style="116"/>
    <col min="7937" max="7937" width="9.28515625" style="116" customWidth="1"/>
    <col min="7938" max="7938" width="9.5703125" style="116" customWidth="1"/>
    <col min="7939" max="7952" width="9.140625" style="116"/>
    <col min="7953" max="7953" width="9.85546875" style="116" bestFit="1" customWidth="1"/>
    <col min="7954" max="7954" width="11" style="116" bestFit="1" customWidth="1"/>
    <col min="7955" max="8192" width="9.140625" style="116"/>
    <col min="8193" max="8193" width="9.28515625" style="116" customWidth="1"/>
    <col min="8194" max="8194" width="9.5703125" style="116" customWidth="1"/>
    <col min="8195" max="8208" width="9.140625" style="116"/>
    <col min="8209" max="8209" width="9.85546875" style="116" bestFit="1" customWidth="1"/>
    <col min="8210" max="8210" width="11" style="116" bestFit="1" customWidth="1"/>
    <col min="8211" max="8448" width="9.140625" style="116"/>
    <col min="8449" max="8449" width="9.28515625" style="116" customWidth="1"/>
    <col min="8450" max="8450" width="9.5703125" style="116" customWidth="1"/>
    <col min="8451" max="8464" width="9.140625" style="116"/>
    <col min="8465" max="8465" width="9.85546875" style="116" bestFit="1" customWidth="1"/>
    <col min="8466" max="8466" width="11" style="116" bestFit="1" customWidth="1"/>
    <col min="8467" max="8704" width="9.140625" style="116"/>
    <col min="8705" max="8705" width="9.28515625" style="116" customWidth="1"/>
    <col min="8706" max="8706" width="9.5703125" style="116" customWidth="1"/>
    <col min="8707" max="8720" width="9.140625" style="116"/>
    <col min="8721" max="8721" width="9.85546875" style="116" bestFit="1" customWidth="1"/>
    <col min="8722" max="8722" width="11" style="116" bestFit="1" customWidth="1"/>
    <col min="8723" max="8960" width="9.140625" style="116"/>
    <col min="8961" max="8961" width="9.28515625" style="116" customWidth="1"/>
    <col min="8962" max="8962" width="9.5703125" style="116" customWidth="1"/>
    <col min="8963" max="8976" width="9.140625" style="116"/>
    <col min="8977" max="8977" width="9.85546875" style="116" bestFit="1" customWidth="1"/>
    <col min="8978" max="8978" width="11" style="116" bestFit="1" customWidth="1"/>
    <col min="8979" max="9216" width="9.140625" style="116"/>
    <col min="9217" max="9217" width="9.28515625" style="116" customWidth="1"/>
    <col min="9218" max="9218" width="9.5703125" style="116" customWidth="1"/>
    <col min="9219" max="9232" width="9.140625" style="116"/>
    <col min="9233" max="9233" width="9.85546875" style="116" bestFit="1" customWidth="1"/>
    <col min="9234" max="9234" width="11" style="116" bestFit="1" customWidth="1"/>
    <col min="9235" max="9472" width="9.140625" style="116"/>
    <col min="9473" max="9473" width="9.28515625" style="116" customWidth="1"/>
    <col min="9474" max="9474" width="9.5703125" style="116" customWidth="1"/>
    <col min="9475" max="9488" width="9.140625" style="116"/>
    <col min="9489" max="9489" width="9.85546875" style="116" bestFit="1" customWidth="1"/>
    <col min="9490" max="9490" width="11" style="116" bestFit="1" customWidth="1"/>
    <col min="9491" max="9728" width="9.140625" style="116"/>
    <col min="9729" max="9729" width="9.28515625" style="116" customWidth="1"/>
    <col min="9730" max="9730" width="9.5703125" style="116" customWidth="1"/>
    <col min="9731" max="9744" width="9.140625" style="116"/>
    <col min="9745" max="9745" width="9.85546875" style="116" bestFit="1" customWidth="1"/>
    <col min="9746" max="9746" width="11" style="116" bestFit="1" customWidth="1"/>
    <col min="9747" max="9984" width="9.140625" style="116"/>
    <col min="9985" max="9985" width="9.28515625" style="116" customWidth="1"/>
    <col min="9986" max="9986" width="9.5703125" style="116" customWidth="1"/>
    <col min="9987" max="10000" width="9.140625" style="116"/>
    <col min="10001" max="10001" width="9.85546875" style="116" bestFit="1" customWidth="1"/>
    <col min="10002" max="10002" width="11" style="116" bestFit="1" customWidth="1"/>
    <col min="10003" max="10240" width="9.140625" style="116"/>
    <col min="10241" max="10241" width="9.28515625" style="116" customWidth="1"/>
    <col min="10242" max="10242" width="9.5703125" style="116" customWidth="1"/>
    <col min="10243" max="10256" width="9.140625" style="116"/>
    <col min="10257" max="10257" width="9.85546875" style="116" bestFit="1" customWidth="1"/>
    <col min="10258" max="10258" width="11" style="116" bestFit="1" customWidth="1"/>
    <col min="10259" max="10496" width="9.140625" style="116"/>
    <col min="10497" max="10497" width="9.28515625" style="116" customWidth="1"/>
    <col min="10498" max="10498" width="9.5703125" style="116" customWidth="1"/>
    <col min="10499" max="10512" width="9.140625" style="116"/>
    <col min="10513" max="10513" width="9.85546875" style="116" bestFit="1" customWidth="1"/>
    <col min="10514" max="10514" width="11" style="116" bestFit="1" customWidth="1"/>
    <col min="10515" max="10752" width="9.140625" style="116"/>
    <col min="10753" max="10753" width="9.28515625" style="116" customWidth="1"/>
    <col min="10754" max="10754" width="9.5703125" style="116" customWidth="1"/>
    <col min="10755" max="10768" width="9.140625" style="116"/>
    <col min="10769" max="10769" width="9.85546875" style="116" bestFit="1" customWidth="1"/>
    <col min="10770" max="10770" width="11" style="116" bestFit="1" customWidth="1"/>
    <col min="10771" max="11008" width="9.140625" style="116"/>
    <col min="11009" max="11009" width="9.28515625" style="116" customWidth="1"/>
    <col min="11010" max="11010" width="9.5703125" style="116" customWidth="1"/>
    <col min="11011" max="11024" width="9.140625" style="116"/>
    <col min="11025" max="11025" width="9.85546875" style="116" bestFit="1" customWidth="1"/>
    <col min="11026" max="11026" width="11" style="116" bestFit="1" customWidth="1"/>
    <col min="11027" max="11264" width="9.140625" style="116"/>
    <col min="11265" max="11265" width="9.28515625" style="116" customWidth="1"/>
    <col min="11266" max="11266" width="9.5703125" style="116" customWidth="1"/>
    <col min="11267" max="11280" width="9.140625" style="116"/>
    <col min="11281" max="11281" width="9.85546875" style="116" bestFit="1" customWidth="1"/>
    <col min="11282" max="11282" width="11" style="116" bestFit="1" customWidth="1"/>
    <col min="11283" max="11520" width="9.140625" style="116"/>
    <col min="11521" max="11521" width="9.28515625" style="116" customWidth="1"/>
    <col min="11522" max="11522" width="9.5703125" style="116" customWidth="1"/>
    <col min="11523" max="11536" width="9.140625" style="116"/>
    <col min="11537" max="11537" width="9.85546875" style="116" bestFit="1" customWidth="1"/>
    <col min="11538" max="11538" width="11" style="116" bestFit="1" customWidth="1"/>
    <col min="11539" max="11776" width="9.140625" style="116"/>
    <col min="11777" max="11777" width="9.28515625" style="116" customWidth="1"/>
    <col min="11778" max="11778" width="9.5703125" style="116" customWidth="1"/>
    <col min="11779" max="11792" width="9.140625" style="116"/>
    <col min="11793" max="11793" width="9.85546875" style="116" bestFit="1" customWidth="1"/>
    <col min="11794" max="11794" width="11" style="116" bestFit="1" customWidth="1"/>
    <col min="11795" max="12032" width="9.140625" style="116"/>
    <col min="12033" max="12033" width="9.28515625" style="116" customWidth="1"/>
    <col min="12034" max="12034" width="9.5703125" style="116" customWidth="1"/>
    <col min="12035" max="12048" width="9.140625" style="116"/>
    <col min="12049" max="12049" width="9.85546875" style="116" bestFit="1" customWidth="1"/>
    <col min="12050" max="12050" width="11" style="116" bestFit="1" customWidth="1"/>
    <col min="12051" max="12288" width="9.140625" style="116"/>
    <col min="12289" max="12289" width="9.28515625" style="116" customWidth="1"/>
    <col min="12290" max="12290" width="9.5703125" style="116" customWidth="1"/>
    <col min="12291" max="12304" width="9.140625" style="116"/>
    <col min="12305" max="12305" width="9.85546875" style="116" bestFit="1" customWidth="1"/>
    <col min="12306" max="12306" width="11" style="116" bestFit="1" customWidth="1"/>
    <col min="12307" max="12544" width="9.140625" style="116"/>
    <col min="12545" max="12545" width="9.28515625" style="116" customWidth="1"/>
    <col min="12546" max="12546" width="9.5703125" style="116" customWidth="1"/>
    <col min="12547" max="12560" width="9.140625" style="116"/>
    <col min="12561" max="12561" width="9.85546875" style="116" bestFit="1" customWidth="1"/>
    <col min="12562" max="12562" width="11" style="116" bestFit="1" customWidth="1"/>
    <col min="12563" max="12800" width="9.140625" style="116"/>
    <col min="12801" max="12801" width="9.28515625" style="116" customWidth="1"/>
    <col min="12802" max="12802" width="9.5703125" style="116" customWidth="1"/>
    <col min="12803" max="12816" width="9.140625" style="116"/>
    <col min="12817" max="12817" width="9.85546875" style="116" bestFit="1" customWidth="1"/>
    <col min="12818" max="12818" width="11" style="116" bestFit="1" customWidth="1"/>
    <col min="12819" max="13056" width="9.140625" style="116"/>
    <col min="13057" max="13057" width="9.28515625" style="116" customWidth="1"/>
    <col min="13058" max="13058" width="9.5703125" style="116" customWidth="1"/>
    <col min="13059" max="13072" width="9.140625" style="116"/>
    <col min="13073" max="13073" width="9.85546875" style="116" bestFit="1" customWidth="1"/>
    <col min="13074" max="13074" width="11" style="116" bestFit="1" customWidth="1"/>
    <col min="13075" max="13312" width="9.140625" style="116"/>
    <col min="13313" max="13313" width="9.28515625" style="116" customWidth="1"/>
    <col min="13314" max="13314" width="9.5703125" style="116" customWidth="1"/>
    <col min="13315" max="13328" width="9.140625" style="116"/>
    <col min="13329" max="13329" width="9.85546875" style="116" bestFit="1" customWidth="1"/>
    <col min="13330" max="13330" width="11" style="116" bestFit="1" customWidth="1"/>
    <col min="13331" max="13568" width="9.140625" style="116"/>
    <col min="13569" max="13569" width="9.28515625" style="116" customWidth="1"/>
    <col min="13570" max="13570" width="9.5703125" style="116" customWidth="1"/>
    <col min="13571" max="13584" width="9.140625" style="116"/>
    <col min="13585" max="13585" width="9.85546875" style="116" bestFit="1" customWidth="1"/>
    <col min="13586" max="13586" width="11" style="116" bestFit="1" customWidth="1"/>
    <col min="13587" max="13824" width="9.140625" style="116"/>
    <col min="13825" max="13825" width="9.28515625" style="116" customWidth="1"/>
    <col min="13826" max="13826" width="9.5703125" style="116" customWidth="1"/>
    <col min="13827" max="13840" width="9.140625" style="116"/>
    <col min="13841" max="13841" width="9.85546875" style="116" bestFit="1" customWidth="1"/>
    <col min="13842" max="13842" width="11" style="116" bestFit="1" customWidth="1"/>
    <col min="13843" max="14080" width="9.140625" style="116"/>
    <col min="14081" max="14081" width="9.28515625" style="116" customWidth="1"/>
    <col min="14082" max="14082" width="9.5703125" style="116" customWidth="1"/>
    <col min="14083" max="14096" width="9.140625" style="116"/>
    <col min="14097" max="14097" width="9.85546875" style="116" bestFit="1" customWidth="1"/>
    <col min="14098" max="14098" width="11" style="116" bestFit="1" customWidth="1"/>
    <col min="14099" max="14336" width="9.140625" style="116"/>
    <col min="14337" max="14337" width="9.28515625" style="116" customWidth="1"/>
    <col min="14338" max="14338" width="9.5703125" style="116" customWidth="1"/>
    <col min="14339" max="14352" width="9.140625" style="116"/>
    <col min="14353" max="14353" width="9.85546875" style="116" bestFit="1" customWidth="1"/>
    <col min="14354" max="14354" width="11" style="116" bestFit="1" customWidth="1"/>
    <col min="14355" max="14592" width="9.140625" style="116"/>
    <col min="14593" max="14593" width="9.28515625" style="116" customWidth="1"/>
    <col min="14594" max="14594" width="9.5703125" style="116" customWidth="1"/>
    <col min="14595" max="14608" width="9.140625" style="116"/>
    <col min="14609" max="14609" width="9.85546875" style="116" bestFit="1" customWidth="1"/>
    <col min="14610" max="14610" width="11" style="116" bestFit="1" customWidth="1"/>
    <col min="14611" max="14848" width="9.140625" style="116"/>
    <col min="14849" max="14849" width="9.28515625" style="116" customWidth="1"/>
    <col min="14850" max="14850" width="9.5703125" style="116" customWidth="1"/>
    <col min="14851" max="14864" width="9.140625" style="116"/>
    <col min="14865" max="14865" width="9.85546875" style="116" bestFit="1" customWidth="1"/>
    <col min="14866" max="14866" width="11" style="116" bestFit="1" customWidth="1"/>
    <col min="14867" max="15104" width="9.140625" style="116"/>
    <col min="15105" max="15105" width="9.28515625" style="116" customWidth="1"/>
    <col min="15106" max="15106" width="9.5703125" style="116" customWidth="1"/>
    <col min="15107" max="15120" width="9.140625" style="116"/>
    <col min="15121" max="15121" width="9.85546875" style="116" bestFit="1" customWidth="1"/>
    <col min="15122" max="15122" width="11" style="116" bestFit="1" customWidth="1"/>
    <col min="15123" max="15360" width="9.140625" style="116"/>
    <col min="15361" max="15361" width="9.28515625" style="116" customWidth="1"/>
    <col min="15362" max="15362" width="9.5703125" style="116" customWidth="1"/>
    <col min="15363" max="15376" width="9.140625" style="116"/>
    <col min="15377" max="15377" width="9.85546875" style="116" bestFit="1" customWidth="1"/>
    <col min="15378" max="15378" width="11" style="116" bestFit="1" customWidth="1"/>
    <col min="15379" max="15616" width="9.140625" style="116"/>
    <col min="15617" max="15617" width="9.28515625" style="116" customWidth="1"/>
    <col min="15618" max="15618" width="9.5703125" style="116" customWidth="1"/>
    <col min="15619" max="15632" width="9.140625" style="116"/>
    <col min="15633" max="15633" width="9.85546875" style="116" bestFit="1" customWidth="1"/>
    <col min="15634" max="15634" width="11" style="116" bestFit="1" customWidth="1"/>
    <col min="15635" max="15872" width="9.140625" style="116"/>
    <col min="15873" max="15873" width="9.28515625" style="116" customWidth="1"/>
    <col min="15874" max="15874" width="9.5703125" style="116" customWidth="1"/>
    <col min="15875" max="15888" width="9.140625" style="116"/>
    <col min="15889" max="15889" width="9.85546875" style="116" bestFit="1" customWidth="1"/>
    <col min="15890" max="15890" width="11" style="116" bestFit="1" customWidth="1"/>
    <col min="15891" max="16128" width="9.140625" style="116"/>
    <col min="16129" max="16129" width="9.28515625" style="116" customWidth="1"/>
    <col min="16130" max="16130" width="9.5703125" style="116" customWidth="1"/>
    <col min="16131" max="16144" width="9.140625" style="116"/>
    <col min="16145" max="16145" width="9.85546875" style="116" bestFit="1" customWidth="1"/>
    <col min="16146" max="16146" width="11" style="116" bestFit="1" customWidth="1"/>
    <col min="16147" max="16384" width="9.140625" style="116"/>
  </cols>
  <sheetData>
    <row r="1" spans="1:27" x14ac:dyDescent="0.2">
      <c r="A1" s="120" t="s">
        <v>121</v>
      </c>
      <c r="D1" s="299"/>
      <c r="E1" s="299"/>
      <c r="F1" s="120"/>
      <c r="G1" s="120"/>
      <c r="H1" s="120"/>
      <c r="I1" s="120"/>
    </row>
    <row r="2" spans="1:27" x14ac:dyDescent="0.2">
      <c r="A2" s="121"/>
    </row>
    <row r="3" spans="1:27" x14ac:dyDescent="0.2">
      <c r="A3" s="123" t="s">
        <v>122</v>
      </c>
      <c r="B3" s="123"/>
      <c r="C3" s="123"/>
      <c r="D3" s="123"/>
      <c r="E3" s="124"/>
      <c r="F3" s="124"/>
    </row>
    <row r="4" spans="1:27" x14ac:dyDescent="0.2">
      <c r="A4" s="125"/>
      <c r="B4" s="125"/>
      <c r="C4" s="125"/>
      <c r="D4" s="125"/>
      <c r="E4" s="126"/>
      <c r="F4" s="126"/>
    </row>
    <row r="5" spans="1:27" x14ac:dyDescent="0.2">
      <c r="A5" s="127" t="s">
        <v>123</v>
      </c>
      <c r="B5" s="127">
        <v>1993</v>
      </c>
      <c r="C5" s="127">
        <v>1994</v>
      </c>
      <c r="D5" s="127">
        <v>1995</v>
      </c>
      <c r="E5" s="127">
        <v>1996</v>
      </c>
      <c r="F5" s="127">
        <v>1997</v>
      </c>
      <c r="G5" s="127">
        <v>1998</v>
      </c>
      <c r="H5" s="127">
        <v>1999</v>
      </c>
      <c r="I5" s="127">
        <v>2000</v>
      </c>
      <c r="J5" s="127">
        <f t="shared" ref="J5:P5" si="0">J25</f>
        <v>2001</v>
      </c>
      <c r="K5" s="127">
        <f t="shared" si="0"/>
        <v>2002</v>
      </c>
      <c r="L5" s="127">
        <f t="shared" si="0"/>
        <v>2003</v>
      </c>
      <c r="M5" s="127">
        <f t="shared" si="0"/>
        <v>2004</v>
      </c>
      <c r="N5" s="127">
        <f t="shared" si="0"/>
        <v>2005</v>
      </c>
      <c r="O5" s="127">
        <f t="shared" si="0"/>
        <v>2006</v>
      </c>
      <c r="P5" s="127">
        <f t="shared" si="0"/>
        <v>2007</v>
      </c>
      <c r="Q5" s="127">
        <v>2008</v>
      </c>
      <c r="R5" s="127">
        <v>2009</v>
      </c>
      <c r="S5" s="127">
        <v>2010</v>
      </c>
      <c r="T5" s="127">
        <v>2011</v>
      </c>
      <c r="U5" s="127">
        <f>U25</f>
        <v>2012</v>
      </c>
      <c r="V5" s="127">
        <f t="shared" ref="V5:Z5" si="1">V25</f>
        <v>2013</v>
      </c>
      <c r="W5" s="127">
        <f t="shared" si="1"/>
        <v>2014</v>
      </c>
      <c r="X5" s="127">
        <f t="shared" si="1"/>
        <v>2015</v>
      </c>
      <c r="Y5" s="127">
        <f t="shared" si="1"/>
        <v>2016</v>
      </c>
      <c r="Z5" s="127">
        <f t="shared" si="1"/>
        <v>2017</v>
      </c>
      <c r="AA5" s="240" t="s">
        <v>217</v>
      </c>
    </row>
    <row r="6" spans="1:27" x14ac:dyDescent="0.2">
      <c r="A6" s="125"/>
      <c r="B6" s="125"/>
      <c r="C6" s="125"/>
      <c r="D6" s="125"/>
      <c r="E6" s="124"/>
      <c r="F6" s="124"/>
    </row>
    <row r="7" spans="1:27" x14ac:dyDescent="0.2">
      <c r="A7" s="128"/>
      <c r="B7" s="128"/>
      <c r="C7" s="128"/>
      <c r="D7" s="128"/>
      <c r="E7" s="124"/>
      <c r="F7" s="124"/>
      <c r="G7" s="124"/>
      <c r="H7" s="124"/>
    </row>
    <row r="8" spans="1:27" x14ac:dyDescent="0.2">
      <c r="A8" s="128" t="s">
        <v>124</v>
      </c>
      <c r="B8" s="129">
        <f>'HDD and CDD'!B27</f>
        <v>687.2</v>
      </c>
      <c r="C8" s="129">
        <f>'HDD and CDD'!B39</f>
        <v>968.6</v>
      </c>
      <c r="D8" s="129">
        <f>'HDD and CDD'!B51</f>
        <v>667.5</v>
      </c>
      <c r="E8" s="129">
        <f>'HDD and CDD'!B63</f>
        <v>789.4</v>
      </c>
      <c r="F8" s="129">
        <f>'HDD and CDD'!B75</f>
        <v>777.9</v>
      </c>
      <c r="G8" s="129">
        <f>'HDD and CDD'!B87</f>
        <v>652.79999999999995</v>
      </c>
      <c r="H8" s="129">
        <f>'HDD and CDD'!B99</f>
        <v>789.6</v>
      </c>
      <c r="I8" s="129">
        <f>'HDD and CDD'!B111</f>
        <v>773</v>
      </c>
      <c r="J8" s="129">
        <f>'HDD and CDD'!B123</f>
        <v>715</v>
      </c>
      <c r="K8" s="129">
        <f>'HDD and CDD'!B135</f>
        <v>625.70000000000005</v>
      </c>
      <c r="L8" s="129">
        <f>'HDD and CDD'!B147</f>
        <v>868.4</v>
      </c>
      <c r="M8" s="129">
        <f>'HDD and CDD'!B159</f>
        <v>879.2</v>
      </c>
      <c r="N8" s="129">
        <f>'HDD and CDD'!B171</f>
        <v>814.7</v>
      </c>
      <c r="O8" s="129">
        <f>'HDD and CDD'!B183</f>
        <v>590.6</v>
      </c>
      <c r="P8" s="129">
        <f>'HDD and CDD'!B195</f>
        <v>698.3</v>
      </c>
      <c r="Q8" s="129">
        <f>'HDD and CDD'!B207</f>
        <v>676.8</v>
      </c>
      <c r="R8" s="129">
        <f>'HDD and CDD'!B219</f>
        <v>891.8</v>
      </c>
      <c r="S8" s="129">
        <f>'HDD and CDD'!B231</f>
        <v>727.1</v>
      </c>
      <c r="T8" s="129">
        <f>'HDD and CDD'!B243</f>
        <v>770</v>
      </c>
      <c r="U8" s="129">
        <f>'HDD and CDD'!B255</f>
        <v>657.3</v>
      </c>
      <c r="V8" s="129">
        <f>'HDD and CDD'!B267</f>
        <v>681.3</v>
      </c>
      <c r="W8" s="129">
        <f>'HDD and CDD'!B279</f>
        <v>827.9000000000002</v>
      </c>
      <c r="X8" s="129">
        <f>'HDD and CDD'!B291</f>
        <v>800.80000000000018</v>
      </c>
      <c r="Y8" s="129">
        <f>'HDD and CDD'!B303</f>
        <v>717.80000000000007</v>
      </c>
      <c r="Z8" s="129">
        <f>'HDD and CDD'!B315</f>
        <v>635.1</v>
      </c>
      <c r="AA8" s="241">
        <f>TREND(G8:Z8,$G$5:$Z$5,2019)</f>
        <v>728.58541353383453</v>
      </c>
    </row>
    <row r="9" spans="1:27" x14ac:dyDescent="0.2">
      <c r="A9" s="128" t="s">
        <v>125</v>
      </c>
      <c r="B9" s="129">
        <f>'HDD and CDD'!B28</f>
        <v>738.1</v>
      </c>
      <c r="C9" s="129">
        <f>'HDD and CDD'!B40</f>
        <v>774.2</v>
      </c>
      <c r="D9" s="129">
        <f>'HDD and CDD'!B52</f>
        <v>735.3</v>
      </c>
      <c r="E9" s="129">
        <f>'HDD and CDD'!B64</f>
        <v>712.6</v>
      </c>
      <c r="F9" s="129">
        <f>'HDD and CDD'!B76</f>
        <v>615</v>
      </c>
      <c r="G9" s="129">
        <f>'HDD and CDD'!B88</f>
        <v>547.1</v>
      </c>
      <c r="H9" s="129">
        <f>'HDD and CDD'!B100</f>
        <v>578.4</v>
      </c>
      <c r="I9" s="129">
        <f>'HDD and CDD'!B112</f>
        <v>643.79999999999995</v>
      </c>
      <c r="J9" s="129">
        <f>'HDD and CDD'!B124</f>
        <v>620.20000000000005</v>
      </c>
      <c r="K9" s="129">
        <f>'HDD and CDD'!B136</f>
        <v>592</v>
      </c>
      <c r="L9" s="129">
        <f>'HDD and CDD'!B148</f>
        <v>755.9</v>
      </c>
      <c r="M9" s="129">
        <f>'HDD and CDD'!B160</f>
        <v>699.2</v>
      </c>
      <c r="N9" s="129">
        <f>'HDD and CDD'!B172</f>
        <v>683.5</v>
      </c>
      <c r="O9" s="129">
        <f>'HDD and CDD'!B184</f>
        <v>651.20000000000005</v>
      </c>
      <c r="P9" s="129">
        <f>'HDD and CDD'!B196</f>
        <v>785.1</v>
      </c>
      <c r="Q9" s="129">
        <f>'HDD and CDD'!B208</f>
        <v>651.20000000000005</v>
      </c>
      <c r="R9" s="129">
        <f>'HDD and CDD'!B220</f>
        <v>649.6</v>
      </c>
      <c r="S9" s="129">
        <f>'HDD and CDD'!B232</f>
        <v>644.70000000000005</v>
      </c>
      <c r="T9" s="129">
        <f>'HDD and CDD'!B244</f>
        <v>640.79999999999995</v>
      </c>
      <c r="U9" s="129">
        <f>'HDD and CDD'!B256</f>
        <v>573</v>
      </c>
      <c r="V9" s="129">
        <f>'HDD and CDD'!B268</f>
        <v>697.9000000000002</v>
      </c>
      <c r="W9" s="129">
        <f>'HDD and CDD'!B280</f>
        <v>775.2</v>
      </c>
      <c r="X9" s="129">
        <f>'HDD and CDD'!B292</f>
        <v>917.5</v>
      </c>
      <c r="Y9" s="129">
        <f>'HDD and CDD'!B304</f>
        <v>627.40000000000009</v>
      </c>
      <c r="Z9" s="129">
        <f>'HDD and CDD'!B316</f>
        <v>537.9</v>
      </c>
      <c r="AA9" s="241">
        <f t="shared" ref="AA9:AA19" si="2">TREND(G9:Z9,$G$5:$Z$5,2019)</f>
        <v>711.62060150376055</v>
      </c>
    </row>
    <row r="10" spans="1:27" x14ac:dyDescent="0.2">
      <c r="A10" s="128" t="s">
        <v>126</v>
      </c>
      <c r="B10" s="129">
        <f>'HDD and CDD'!B29</f>
        <v>632</v>
      </c>
      <c r="C10" s="129">
        <f>'HDD and CDD'!B41</f>
        <v>619.9</v>
      </c>
      <c r="D10" s="129">
        <f>'HDD and CDD'!B53</f>
        <v>523.70000000000005</v>
      </c>
      <c r="E10" s="129">
        <f>'HDD and CDD'!B65</f>
        <v>670.4</v>
      </c>
      <c r="F10" s="129">
        <f>'HDD and CDD'!B77</f>
        <v>619.1</v>
      </c>
      <c r="G10" s="129">
        <f>'HDD and CDD'!B89</f>
        <v>505.1</v>
      </c>
      <c r="H10" s="129">
        <f>'HDD and CDD'!B101</f>
        <v>592.5</v>
      </c>
      <c r="I10" s="129">
        <f>'HDD and CDD'!B113</f>
        <v>446.9</v>
      </c>
      <c r="J10" s="129">
        <f>'HDD and CDD'!B125</f>
        <v>618.70000000000005</v>
      </c>
      <c r="K10" s="129">
        <f>'HDD and CDD'!B137</f>
        <v>581.20000000000005</v>
      </c>
      <c r="L10" s="129">
        <f>'HDD and CDD'!B149</f>
        <v>638.70000000000005</v>
      </c>
      <c r="M10" s="129">
        <f>'HDD and CDD'!B161</f>
        <v>540.9</v>
      </c>
      <c r="N10" s="129">
        <f>'HDD and CDD'!B173</f>
        <v>680.5</v>
      </c>
      <c r="O10" s="129">
        <f>'HDD and CDD'!B185</f>
        <v>562.4</v>
      </c>
      <c r="P10" s="129">
        <f>'HDD and CDD'!B197</f>
        <v>582</v>
      </c>
      <c r="Q10" s="129">
        <f>'HDD and CDD'!B209</f>
        <v>686.1</v>
      </c>
      <c r="R10" s="129">
        <f>'HDD and CDD'!B221</f>
        <v>562.6</v>
      </c>
      <c r="S10" s="129">
        <f>'HDD and CDD'!B233</f>
        <v>470.9</v>
      </c>
      <c r="T10" s="129">
        <f>'HDD and CDD'!B245</f>
        <v>605.29999999999995</v>
      </c>
      <c r="U10" s="129">
        <f>'HDD and CDD'!B257</f>
        <v>370.1</v>
      </c>
      <c r="V10" s="129">
        <f>'HDD and CDD'!B269</f>
        <v>612</v>
      </c>
      <c r="W10" s="129">
        <f>'HDD and CDD'!B281</f>
        <v>756.99999999999989</v>
      </c>
      <c r="X10" s="129">
        <f>'HDD and CDD'!B293</f>
        <v>538</v>
      </c>
      <c r="Y10" s="129">
        <f>'HDD and CDD'!B305</f>
        <v>492.6</v>
      </c>
      <c r="Z10" s="129">
        <f>'HDD and CDD'!B317</f>
        <v>597.6</v>
      </c>
      <c r="AA10" s="241">
        <f t="shared" si="2"/>
        <v>577.69691729323313</v>
      </c>
    </row>
    <row r="11" spans="1:27" x14ac:dyDescent="0.2">
      <c r="A11" s="128" t="s">
        <v>127</v>
      </c>
      <c r="B11" s="129">
        <f>'HDD and CDD'!B30</f>
        <v>343.4</v>
      </c>
      <c r="C11" s="129">
        <f>'HDD and CDD'!B42</f>
        <v>343.8</v>
      </c>
      <c r="D11" s="129">
        <f>'HDD and CDD'!B54</f>
        <v>434.4</v>
      </c>
      <c r="E11" s="129">
        <f>'HDD and CDD'!B66</f>
        <v>421.9</v>
      </c>
      <c r="F11" s="129">
        <f>'HDD and CDD'!B78</f>
        <v>391.9</v>
      </c>
      <c r="G11" s="129">
        <f>'HDD and CDD'!B90</f>
        <v>312</v>
      </c>
      <c r="H11" s="129">
        <f>'HDD and CDD'!B102</f>
        <v>332.6</v>
      </c>
      <c r="I11" s="129">
        <f>'HDD and CDD'!B114</f>
        <v>358.3</v>
      </c>
      <c r="J11" s="129">
        <f>'HDD and CDD'!B126</f>
        <v>324.60000000000002</v>
      </c>
      <c r="K11" s="129">
        <f>'HDD and CDD'!B138</f>
        <v>356.2</v>
      </c>
      <c r="L11" s="129">
        <f>'HDD and CDD'!B150</f>
        <v>397.4</v>
      </c>
      <c r="M11" s="129">
        <f>'HDD and CDD'!B162</f>
        <v>354.1</v>
      </c>
      <c r="N11" s="129">
        <f>'HDD and CDD'!B174</f>
        <v>354.6</v>
      </c>
      <c r="O11" s="129">
        <f>'HDD and CDD'!B186</f>
        <v>322.5</v>
      </c>
      <c r="P11" s="129">
        <f>'HDD and CDD'!B198</f>
        <v>403</v>
      </c>
      <c r="Q11" s="129">
        <f>'HDD and CDD'!B210</f>
        <v>297.89999999999998</v>
      </c>
      <c r="R11" s="129">
        <f>'HDD and CDD'!B222</f>
        <v>341.5</v>
      </c>
      <c r="S11" s="129">
        <f>'HDD and CDD'!B234</f>
        <v>255.7</v>
      </c>
      <c r="T11" s="129">
        <f>'HDD and CDD'!B246</f>
        <v>298.7</v>
      </c>
      <c r="U11" s="129">
        <f>'HDD and CDD'!B258</f>
        <v>365.3</v>
      </c>
      <c r="V11" s="129">
        <f>'HDD and CDD'!B270</f>
        <v>368.7</v>
      </c>
      <c r="W11" s="129">
        <f>'HDD and CDD'!B282</f>
        <v>375.90000000000003</v>
      </c>
      <c r="X11" s="129">
        <f>'HDD and CDD'!B294</f>
        <v>359.00000000000011</v>
      </c>
      <c r="Y11" s="129">
        <f>'HDD and CDD'!B306</f>
        <v>431.80000000000007</v>
      </c>
      <c r="Z11" s="129">
        <f>'HDD and CDD'!B318</f>
        <v>281.59999999999991</v>
      </c>
      <c r="AA11" s="241">
        <f t="shared" si="2"/>
        <v>350.66067669172912</v>
      </c>
    </row>
    <row r="12" spans="1:27" x14ac:dyDescent="0.2">
      <c r="A12" s="128" t="s">
        <v>80</v>
      </c>
      <c r="B12" s="129">
        <f>'HDD and CDD'!B31</f>
        <v>176.6</v>
      </c>
      <c r="C12" s="129">
        <f>'HDD and CDD'!B43</f>
        <v>226.7</v>
      </c>
      <c r="D12" s="129">
        <f>'HDD and CDD'!B55</f>
        <v>171.9</v>
      </c>
      <c r="E12" s="129">
        <f>'HDD and CDD'!B67</f>
        <v>216.1</v>
      </c>
      <c r="F12" s="129">
        <f>'HDD and CDD'!B79</f>
        <v>289</v>
      </c>
      <c r="G12" s="129">
        <f>'HDD and CDD'!B91</f>
        <v>77.099999999999994</v>
      </c>
      <c r="H12" s="129">
        <f>'HDD and CDD'!B103</f>
        <v>126.7</v>
      </c>
      <c r="I12" s="129">
        <f>'HDD and CDD'!B115</f>
        <v>152.4</v>
      </c>
      <c r="J12" s="129">
        <f>'HDD and CDD'!B127</f>
        <v>140.30000000000001</v>
      </c>
      <c r="K12" s="129">
        <f>'HDD and CDD'!B139</f>
        <v>266.8</v>
      </c>
      <c r="L12" s="129">
        <f>'HDD and CDD'!B151</f>
        <v>217</v>
      </c>
      <c r="M12" s="129">
        <f>'HDD and CDD'!B163</f>
        <v>196.2</v>
      </c>
      <c r="N12" s="129">
        <f>'HDD and CDD'!B175</f>
        <v>244.9</v>
      </c>
      <c r="O12" s="129">
        <f>'HDD and CDD'!B187</f>
        <v>177.8</v>
      </c>
      <c r="P12" s="129">
        <f>'HDD and CDD'!B199</f>
        <v>166.4</v>
      </c>
      <c r="Q12" s="129">
        <f>'HDD and CDD'!B211</f>
        <v>243.1</v>
      </c>
      <c r="R12" s="129">
        <f>'HDD and CDD'!B223</f>
        <v>192.8</v>
      </c>
      <c r="S12" s="129">
        <f>'HDD and CDD'!B235</f>
        <v>144.69999999999999</v>
      </c>
      <c r="T12" s="129">
        <f>'HDD and CDD'!B247</f>
        <v>148.69999999999999</v>
      </c>
      <c r="U12" s="129">
        <f>'HDD and CDD'!B259</f>
        <v>103.8</v>
      </c>
      <c r="V12" s="129">
        <f>'HDD and CDD'!B271</f>
        <v>152.10000000000002</v>
      </c>
      <c r="W12" s="129">
        <f>'HDD and CDD'!B283</f>
        <v>135.70000000000002</v>
      </c>
      <c r="X12" s="129">
        <f>'HDD and CDD'!B295</f>
        <v>116.20000000000002</v>
      </c>
      <c r="Y12" s="129">
        <f>'HDD and CDD'!B307</f>
        <v>174.59999999999997</v>
      </c>
      <c r="Z12" s="129">
        <f>'HDD and CDD'!B319</f>
        <v>214.39999999999995</v>
      </c>
      <c r="AA12" s="241">
        <f t="shared" si="2"/>
        <v>168.09691729323305</v>
      </c>
    </row>
    <row r="13" spans="1:27" x14ac:dyDescent="0.2">
      <c r="A13" s="128" t="s">
        <v>128</v>
      </c>
      <c r="B13" s="129">
        <f>'HDD and CDD'!B32</f>
        <v>47.3</v>
      </c>
      <c r="C13" s="129">
        <f>'HDD and CDD'!B44</f>
        <v>38.4</v>
      </c>
      <c r="D13" s="129">
        <f>'HDD and CDD'!B56</f>
        <v>25.9</v>
      </c>
      <c r="E13" s="129">
        <f>'HDD and CDD'!B68</f>
        <v>29.4</v>
      </c>
      <c r="F13" s="129">
        <f>'HDD and CDD'!B80</f>
        <v>30.4</v>
      </c>
      <c r="G13" s="129">
        <f>'HDD and CDD'!B92</f>
        <v>66.7</v>
      </c>
      <c r="H13" s="129">
        <f>'HDD and CDD'!B104</f>
        <v>44.4</v>
      </c>
      <c r="I13" s="129">
        <f>'HDD and CDD'!B116</f>
        <v>41.1</v>
      </c>
      <c r="J13" s="129">
        <f>'HDD and CDD'!B128</f>
        <v>47</v>
      </c>
      <c r="K13" s="129">
        <f>'HDD and CDD'!B140</f>
        <v>53.1</v>
      </c>
      <c r="L13" s="129">
        <f>'HDD and CDD'!B152</f>
        <v>65.3</v>
      </c>
      <c r="M13" s="129">
        <f>'HDD and CDD'!B164</f>
        <v>92.5</v>
      </c>
      <c r="N13" s="129">
        <f>'HDD and CDD'!B176</f>
        <v>27.3</v>
      </c>
      <c r="O13" s="129">
        <f>'HDD and CDD'!B188</f>
        <v>44.1</v>
      </c>
      <c r="P13" s="129">
        <f>'HDD and CDD'!B200</f>
        <v>35.5</v>
      </c>
      <c r="Q13" s="129">
        <f>'HDD and CDD'!B212</f>
        <v>40.6</v>
      </c>
      <c r="R13" s="129">
        <f>'HDD and CDD'!B224</f>
        <v>75.7</v>
      </c>
      <c r="S13" s="129">
        <f>'HDD and CDD'!B236</f>
        <v>37.700000000000003</v>
      </c>
      <c r="T13" s="129">
        <f>'HDD and CDD'!B248</f>
        <v>48.5</v>
      </c>
      <c r="U13" s="129">
        <f>'HDD and CDD'!B260</f>
        <v>42.1</v>
      </c>
      <c r="V13" s="129">
        <f>'HDD and CDD'!B272</f>
        <v>46.4</v>
      </c>
      <c r="W13" s="129">
        <f>'HDD and CDD'!B284</f>
        <v>37.300000000000004</v>
      </c>
      <c r="X13" s="129">
        <f>'HDD and CDD'!B296</f>
        <v>54.699999999999996</v>
      </c>
      <c r="Y13" s="129">
        <f>'HDD and CDD'!B308</f>
        <v>51.2</v>
      </c>
      <c r="Z13" s="129">
        <f>'HDD and CDD'!B320</f>
        <v>45.2</v>
      </c>
      <c r="AA13" s="241">
        <f t="shared" si="2"/>
        <v>44.168571428571454</v>
      </c>
    </row>
    <row r="14" spans="1:27" x14ac:dyDescent="0.2">
      <c r="A14" s="128" t="s">
        <v>129</v>
      </c>
      <c r="B14" s="129">
        <f>'HDD and CDD'!B33</f>
        <v>2.9</v>
      </c>
      <c r="C14" s="129">
        <f>'HDD and CDD'!B45</f>
        <v>6.3</v>
      </c>
      <c r="D14" s="129">
        <f>'HDD and CDD'!B57</f>
        <v>17.3</v>
      </c>
      <c r="E14" s="129">
        <f>'HDD and CDD'!B69</f>
        <v>18.899999999999999</v>
      </c>
      <c r="F14" s="129">
        <f>'HDD and CDD'!B81</f>
        <v>22.1</v>
      </c>
      <c r="G14" s="129">
        <f>'HDD and CDD'!B93</f>
        <v>6.9</v>
      </c>
      <c r="H14" s="129">
        <f>'HDD and CDD'!B105</f>
        <v>3.2</v>
      </c>
      <c r="I14" s="129">
        <f>'HDD and CDD'!B117</f>
        <v>18.600000000000001</v>
      </c>
      <c r="J14" s="129">
        <f>'HDD and CDD'!B129</f>
        <v>22.3</v>
      </c>
      <c r="K14" s="129">
        <f>'HDD and CDD'!B141</f>
        <v>4.7</v>
      </c>
      <c r="L14" s="129">
        <f>'HDD and CDD'!B153</f>
        <v>12.5</v>
      </c>
      <c r="M14" s="129">
        <f>'HDD and CDD'!B165</f>
        <v>21.3</v>
      </c>
      <c r="N14" s="129">
        <f>'HDD and CDD'!B177</f>
        <v>6.8</v>
      </c>
      <c r="O14" s="129">
        <f>'HDD and CDD'!B189</f>
        <v>6.5</v>
      </c>
      <c r="P14" s="129">
        <f>'HDD and CDD'!B201</f>
        <v>28</v>
      </c>
      <c r="Q14" s="129">
        <f>'HDD and CDD'!B213</f>
        <v>7.6</v>
      </c>
      <c r="R14" s="129">
        <f>'HDD and CDD'!B225</f>
        <v>37.6</v>
      </c>
      <c r="S14" s="129">
        <f>'HDD and CDD'!B237</f>
        <v>6.7</v>
      </c>
      <c r="T14" s="129">
        <f>'HDD and CDD'!B249</f>
        <v>0.8</v>
      </c>
      <c r="U14" s="129">
        <f>'HDD and CDD'!B261</f>
        <v>0</v>
      </c>
      <c r="V14" s="129">
        <f>'HDD and CDD'!B273</f>
        <v>15.100000000000001</v>
      </c>
      <c r="W14" s="129">
        <f>'HDD and CDD'!B285</f>
        <v>36.800000000000004</v>
      </c>
      <c r="X14" s="129">
        <f>'HDD and CDD'!B297</f>
        <v>19.3</v>
      </c>
      <c r="Y14" s="129">
        <f>'HDD and CDD'!B309</f>
        <v>4.8</v>
      </c>
      <c r="Z14" s="129">
        <f>'HDD and CDD'!B321</f>
        <v>3.2</v>
      </c>
      <c r="AA14" s="241">
        <f t="shared" si="2"/>
        <v>13.884661654135343</v>
      </c>
    </row>
    <row r="15" spans="1:27" x14ac:dyDescent="0.2">
      <c r="A15" s="128" t="s">
        <v>130</v>
      </c>
      <c r="B15" s="129">
        <f>'HDD and CDD'!B34</f>
        <v>7.5</v>
      </c>
      <c r="C15" s="129">
        <f>'HDD and CDD'!B46</f>
        <v>39.200000000000003</v>
      </c>
      <c r="D15" s="129">
        <f>'HDD and CDD'!B58</f>
        <v>4.3</v>
      </c>
      <c r="E15" s="129">
        <f>'HDD and CDD'!B70</f>
        <v>6.2</v>
      </c>
      <c r="F15" s="129">
        <f>'HDD and CDD'!B82</f>
        <v>49.4</v>
      </c>
      <c r="G15" s="129">
        <f>'HDD and CDD'!B94</f>
        <v>12.1</v>
      </c>
      <c r="H15" s="129">
        <f>'HDD and CDD'!B106</f>
        <v>28.8</v>
      </c>
      <c r="I15" s="129">
        <f>'HDD and CDD'!B118</f>
        <v>29.7</v>
      </c>
      <c r="J15" s="129">
        <f>'HDD and CDD'!B130</f>
        <v>2.2999999999999998</v>
      </c>
      <c r="K15" s="129">
        <f>'HDD and CDD'!B142</f>
        <v>11</v>
      </c>
      <c r="L15" s="129">
        <f>'HDD and CDD'!B154</f>
        <v>18.899999999999999</v>
      </c>
      <c r="M15" s="129">
        <f>'HDD and CDD'!B166</f>
        <v>55</v>
      </c>
      <c r="N15" s="129">
        <f>'HDD and CDD'!B178</f>
        <v>11.9</v>
      </c>
      <c r="O15" s="129">
        <f>'HDD and CDD'!B190</f>
        <v>27.5</v>
      </c>
      <c r="P15" s="129">
        <f>'HDD and CDD'!B202</f>
        <v>19.7</v>
      </c>
      <c r="Q15" s="129">
        <f>'HDD and CDD'!B214</f>
        <v>36.200000000000003</v>
      </c>
      <c r="R15" s="129">
        <f>'HDD and CDD'!B226</f>
        <v>34.4</v>
      </c>
      <c r="S15" s="129">
        <f>'HDD and CDD'!B238</f>
        <v>9.6999999999999993</v>
      </c>
      <c r="T15" s="129">
        <f>'HDD and CDD'!B250</f>
        <v>6.9</v>
      </c>
      <c r="U15" s="129">
        <f>'HDD and CDD'!B262</f>
        <v>19.399999999999999</v>
      </c>
      <c r="V15" s="129">
        <f>'HDD and CDD'!B274</f>
        <v>32.700000000000003</v>
      </c>
      <c r="W15" s="129">
        <f>'HDD and CDD'!B286</f>
        <v>31.099999999999998</v>
      </c>
      <c r="X15" s="129">
        <f>'HDD and CDD'!B298</f>
        <v>29.500000000000004</v>
      </c>
      <c r="Y15" s="129">
        <f>'HDD and CDD'!B310</f>
        <v>2.1</v>
      </c>
      <c r="Z15" s="129">
        <f>'HDD and CDD'!B322</f>
        <v>34.5</v>
      </c>
      <c r="AA15" s="241">
        <f t="shared" si="2"/>
        <v>25.054736842105285</v>
      </c>
    </row>
    <row r="16" spans="1:27" x14ac:dyDescent="0.2">
      <c r="A16" s="128" t="s">
        <v>131</v>
      </c>
      <c r="B16" s="129">
        <f>'HDD and CDD'!B35</f>
        <v>156.4</v>
      </c>
      <c r="C16" s="129">
        <f>'HDD and CDD'!B47</f>
        <v>105.4</v>
      </c>
      <c r="D16" s="129">
        <f>'HDD and CDD'!B59</f>
        <v>143.6</v>
      </c>
      <c r="E16" s="129">
        <f>'HDD and CDD'!B71</f>
        <v>102.2</v>
      </c>
      <c r="F16" s="129">
        <f>'HDD and CDD'!B83</f>
        <v>115.2</v>
      </c>
      <c r="G16" s="129">
        <f>'HDD and CDD'!B95</f>
        <v>63</v>
      </c>
      <c r="H16" s="129">
        <f>'HDD and CDD'!B107</f>
        <v>88.9</v>
      </c>
      <c r="I16" s="129">
        <f>'HDD and CDD'!B119</f>
        <v>134</v>
      </c>
      <c r="J16" s="129">
        <f>'HDD and CDD'!B131</f>
        <v>118.8</v>
      </c>
      <c r="K16" s="129">
        <f>'HDD and CDD'!B143</f>
        <v>50.2</v>
      </c>
      <c r="L16" s="129">
        <f>'HDD and CDD'!B155</f>
        <v>104.1</v>
      </c>
      <c r="M16" s="129">
        <f>'HDD and CDD'!B167</f>
        <v>71.3</v>
      </c>
      <c r="N16" s="129">
        <f>'HDD and CDD'!B179</f>
        <v>63.4</v>
      </c>
      <c r="O16" s="129">
        <f>'HDD and CDD'!B191</f>
        <v>130.30000000000001</v>
      </c>
      <c r="P16" s="129">
        <f>'HDD and CDD'!B203</f>
        <v>74.7</v>
      </c>
      <c r="Q16" s="129">
        <f>'HDD and CDD'!B215</f>
        <v>93.2</v>
      </c>
      <c r="R16" s="129">
        <f>'HDD and CDD'!B227</f>
        <v>88.8</v>
      </c>
      <c r="S16" s="129">
        <f>'HDD and CDD'!B239</f>
        <v>122.7</v>
      </c>
      <c r="T16" s="129">
        <f>'HDD and CDD'!B251</f>
        <v>88.9</v>
      </c>
      <c r="U16" s="129">
        <f>'HDD and CDD'!B263</f>
        <v>125.4</v>
      </c>
      <c r="V16" s="129">
        <f>'HDD and CDD'!B275</f>
        <v>128.10000000000002</v>
      </c>
      <c r="W16" s="129">
        <f>'HDD and CDD'!B287</f>
        <v>114.00000000000003</v>
      </c>
      <c r="X16" s="129">
        <f>'HDD and CDD'!B299</f>
        <v>58.20000000000001</v>
      </c>
      <c r="Y16" s="129">
        <f>'HDD and CDD'!B311</f>
        <v>68.600000000000009</v>
      </c>
      <c r="Z16" s="129">
        <f>'HDD and CDD'!B323</f>
        <v>81.100000000000009</v>
      </c>
      <c r="AA16" s="241">
        <f t="shared" si="2"/>
        <v>94.78315789473686</v>
      </c>
    </row>
    <row r="17" spans="1:27" x14ac:dyDescent="0.2">
      <c r="A17" s="128" t="s">
        <v>132</v>
      </c>
      <c r="B17" s="129">
        <f>'HDD and CDD'!B36</f>
        <v>335.9</v>
      </c>
      <c r="C17" s="129">
        <f>'HDD and CDD'!B48</f>
        <v>263.7</v>
      </c>
      <c r="D17" s="129">
        <f>'HDD and CDD'!B60</f>
        <v>245.5</v>
      </c>
      <c r="E17" s="129">
        <f>'HDD and CDD'!B72</f>
        <v>301.39999999999998</v>
      </c>
      <c r="F17" s="129">
        <f>'HDD and CDD'!B84</f>
        <v>288.89999999999998</v>
      </c>
      <c r="G17" s="129">
        <f>'HDD and CDD'!B96</f>
        <v>257.60000000000002</v>
      </c>
      <c r="H17" s="129">
        <f>'HDD and CDD'!B108</f>
        <v>319</v>
      </c>
      <c r="I17" s="129">
        <f>'HDD and CDD'!B120</f>
        <v>251.6</v>
      </c>
      <c r="J17" s="129">
        <f>'HDD and CDD'!B132</f>
        <v>276.7</v>
      </c>
      <c r="K17" s="129">
        <f>'HDD and CDD'!B144</f>
        <v>345.6</v>
      </c>
      <c r="L17" s="129">
        <f>'HDD and CDD'!B156</f>
        <v>331.9</v>
      </c>
      <c r="M17" s="129">
        <f>'HDD and CDD'!B168</f>
        <v>287.5</v>
      </c>
      <c r="N17" s="129">
        <f>'HDD and CDD'!B180</f>
        <v>259.89999999999998</v>
      </c>
      <c r="O17" s="129">
        <f>'HDD and CDD'!B192</f>
        <v>335.1</v>
      </c>
      <c r="P17" s="129">
        <f>'HDD and CDD'!B204</f>
        <v>184.7</v>
      </c>
      <c r="Q17" s="129">
        <f>'HDD and CDD'!B216</f>
        <v>325.7</v>
      </c>
      <c r="R17" s="129">
        <f>'HDD and CDD'!B228</f>
        <v>329.1</v>
      </c>
      <c r="S17" s="129">
        <f>'HDD and CDD'!B240</f>
        <v>279.60000000000002</v>
      </c>
      <c r="T17" s="129">
        <f>'HDD and CDD'!B252</f>
        <v>279.89999999999998</v>
      </c>
      <c r="U17" s="129">
        <f>'HDD and CDD'!B264</f>
        <v>279.2</v>
      </c>
      <c r="V17" s="129">
        <f>'HDD and CDD'!B276</f>
        <v>255.50000000000003</v>
      </c>
      <c r="W17" s="129">
        <f>'HDD and CDD'!B288</f>
        <v>244.6</v>
      </c>
      <c r="X17" s="129">
        <f>'HDD and CDD'!B300</f>
        <v>290.09999999999991</v>
      </c>
      <c r="Y17" s="129">
        <f>'HDD and CDD'!B312</f>
        <v>242.10000000000002</v>
      </c>
      <c r="Z17" s="129">
        <f>'HDD and CDD'!B324</f>
        <v>208.89999999999998</v>
      </c>
      <c r="AA17" s="241">
        <f t="shared" si="2"/>
        <v>250.08022556391006</v>
      </c>
    </row>
    <row r="18" spans="1:27" x14ac:dyDescent="0.2">
      <c r="A18" s="128" t="s">
        <v>133</v>
      </c>
      <c r="B18" s="129">
        <f>'HDD and CDD'!B37</f>
        <v>463.5</v>
      </c>
      <c r="C18" s="129">
        <f>'HDD and CDD'!B49</f>
        <v>405.3</v>
      </c>
      <c r="D18" s="129">
        <f>'HDD and CDD'!B61</f>
        <v>539.20000000000005</v>
      </c>
      <c r="E18" s="129">
        <f>'HDD and CDD'!B73</f>
        <v>548.1</v>
      </c>
      <c r="F18" s="129">
        <f>'HDD and CDD'!B85</f>
        <v>471.4</v>
      </c>
      <c r="G18" s="129">
        <f>'HDD and CDD'!B97</f>
        <v>440.1</v>
      </c>
      <c r="H18" s="129">
        <f>'HDD and CDD'!B109</f>
        <v>405.1</v>
      </c>
      <c r="I18" s="129">
        <f>'HDD and CDD'!B121</f>
        <v>470.9</v>
      </c>
      <c r="J18" s="129">
        <f>'HDD and CDD'!B133</f>
        <v>370.8</v>
      </c>
      <c r="K18" s="129">
        <f>'HDD and CDD'!B145</f>
        <v>486.4</v>
      </c>
      <c r="L18" s="129">
        <f>'HDD and CDD'!B157</f>
        <v>434.4</v>
      </c>
      <c r="M18" s="129">
        <f>'HDD and CDD'!B169</f>
        <v>432.9</v>
      </c>
      <c r="N18" s="129">
        <f>'HDD and CDD'!B181</f>
        <v>433.1</v>
      </c>
      <c r="O18" s="129">
        <f>'HDD and CDD'!B193</f>
        <v>415.9</v>
      </c>
      <c r="P18" s="129">
        <f>'HDD and CDD'!B205</f>
        <v>511.8</v>
      </c>
      <c r="Q18" s="129">
        <f>'HDD and CDD'!B217</f>
        <v>499.7</v>
      </c>
      <c r="R18" s="129">
        <f>'HDD and CDD'!B229</f>
        <v>396.5</v>
      </c>
      <c r="S18" s="129">
        <f>'HDD and CDD'!B241</f>
        <v>337.9</v>
      </c>
      <c r="T18" s="129">
        <f>'HDD and CDD'!B253</f>
        <v>382.4</v>
      </c>
      <c r="U18" s="129">
        <f>'HDD and CDD'!B265</f>
        <v>483.6</v>
      </c>
      <c r="V18" s="129">
        <f>'HDD and CDD'!B277</f>
        <v>517.69999999999993</v>
      </c>
      <c r="W18" s="129">
        <f>'HDD and CDD'!B289</f>
        <v>521.9</v>
      </c>
      <c r="X18" s="129">
        <f>'HDD and CDD'!B301</f>
        <v>391.1</v>
      </c>
      <c r="Y18" s="129">
        <f>'HDD and CDD'!B313</f>
        <v>388.20000000000005</v>
      </c>
      <c r="Z18" s="129">
        <f>'HDD and CDD'!B325</f>
        <v>480.00000000000006</v>
      </c>
      <c r="AA18" s="241">
        <f t="shared" si="2"/>
        <v>449.75090225563918</v>
      </c>
    </row>
    <row r="19" spans="1:27" x14ac:dyDescent="0.2">
      <c r="A19" s="128" t="s">
        <v>134</v>
      </c>
      <c r="B19" s="129">
        <f>'HDD and CDD'!B38</f>
        <v>649.6</v>
      </c>
      <c r="C19" s="129">
        <f>'HDD and CDD'!B50</f>
        <v>591.1</v>
      </c>
      <c r="D19" s="129">
        <f>'HDD and CDD'!B62</f>
        <v>741.3</v>
      </c>
      <c r="E19" s="129">
        <f>'HDD and CDD'!B74</f>
        <v>596.5</v>
      </c>
      <c r="F19" s="129">
        <f>'HDD and CDD'!B86</f>
        <v>630.70000000000005</v>
      </c>
      <c r="G19" s="129">
        <f>'HDD and CDD'!B98</f>
        <v>572.1</v>
      </c>
      <c r="H19" s="129">
        <f>'HDD and CDD'!B110</f>
        <v>623.70000000000005</v>
      </c>
      <c r="I19" s="129">
        <f>'HDD and CDD'!B122</f>
        <v>826.5</v>
      </c>
      <c r="J19" s="129">
        <f>'HDD and CDD'!B134</f>
        <v>563.29999999999995</v>
      </c>
      <c r="K19" s="129">
        <f>'HDD and CDD'!B146</f>
        <v>675.6</v>
      </c>
      <c r="L19" s="129">
        <f>'HDD and CDD'!B158</f>
        <v>610</v>
      </c>
      <c r="M19" s="129">
        <f>'HDD and CDD'!B170</f>
        <v>700.1</v>
      </c>
      <c r="N19" s="129">
        <f>'HDD and CDD'!B182</f>
        <v>721.6</v>
      </c>
      <c r="O19" s="129">
        <f>'HDD and CDD'!B194</f>
        <v>545.20000000000005</v>
      </c>
      <c r="P19" s="129">
        <f>'HDD and CDD'!B206</f>
        <v>686.6</v>
      </c>
      <c r="Q19" s="129">
        <f>'HDD and CDD'!B218</f>
        <v>694</v>
      </c>
      <c r="R19" s="129">
        <f>'HDD and CDD'!B230</f>
        <v>669.5</v>
      </c>
      <c r="S19" s="129">
        <f>'HDD and CDD'!B242</f>
        <v>719.4</v>
      </c>
      <c r="T19" s="129">
        <f>'HDD and CDD'!B254</f>
        <v>574.79999999999995</v>
      </c>
      <c r="U19" s="129">
        <f>'HDD and CDD'!B266</f>
        <v>565.5</v>
      </c>
      <c r="V19" s="129">
        <f>'HDD and CDD'!B278</f>
        <v>727.3</v>
      </c>
      <c r="W19" s="129">
        <f>'HDD and CDD'!B290</f>
        <v>597.6</v>
      </c>
      <c r="X19" s="129">
        <f>'HDD and CDD'!B302</f>
        <v>452.99999999999994</v>
      </c>
      <c r="Y19" s="129">
        <f>'HDD and CDD'!B314</f>
        <v>647.79999999999984</v>
      </c>
      <c r="Z19" s="129">
        <f>'HDD and CDD'!B326</f>
        <v>755.7</v>
      </c>
      <c r="AA19" s="241">
        <f t="shared" si="2"/>
        <v>632.64684210526275</v>
      </c>
    </row>
    <row r="20" spans="1:27" x14ac:dyDescent="0.2">
      <c r="A20" s="128"/>
      <c r="B20" s="128"/>
      <c r="C20" s="128"/>
      <c r="D20" s="128"/>
      <c r="E20" s="128"/>
      <c r="F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7" x14ac:dyDescent="0.2">
      <c r="A21" s="128" t="s">
        <v>12</v>
      </c>
      <c r="B21" s="129">
        <f t="shared" ref="B21:Z21" si="3">SUM(B8:B19)</f>
        <v>4240.4000000000005</v>
      </c>
      <c r="C21" s="129">
        <f t="shared" si="3"/>
        <v>4382.6000000000004</v>
      </c>
      <c r="D21" s="129">
        <f t="shared" si="3"/>
        <v>4249.9000000000005</v>
      </c>
      <c r="E21" s="129">
        <f t="shared" si="3"/>
        <v>4413.1000000000004</v>
      </c>
      <c r="F21" s="129">
        <f t="shared" si="3"/>
        <v>4301</v>
      </c>
      <c r="G21" s="129">
        <f t="shared" si="3"/>
        <v>3512.5999999999995</v>
      </c>
      <c r="H21" s="129">
        <f t="shared" si="3"/>
        <v>3932.8999999999996</v>
      </c>
      <c r="I21" s="129">
        <f t="shared" si="3"/>
        <v>4146.7999999999993</v>
      </c>
      <c r="J21" s="129">
        <f t="shared" si="3"/>
        <v>3820.0000000000009</v>
      </c>
      <c r="K21" s="129">
        <f t="shared" si="3"/>
        <v>4048.4999999999995</v>
      </c>
      <c r="L21" s="129">
        <f t="shared" si="3"/>
        <v>4454.5</v>
      </c>
      <c r="M21" s="129">
        <f t="shared" si="3"/>
        <v>4330.2000000000007</v>
      </c>
      <c r="N21" s="129">
        <f t="shared" si="3"/>
        <v>4302.2000000000007</v>
      </c>
      <c r="O21" s="129">
        <f t="shared" si="3"/>
        <v>3809.1000000000004</v>
      </c>
      <c r="P21" s="129">
        <f t="shared" si="3"/>
        <v>4175.8</v>
      </c>
      <c r="Q21" s="129">
        <f t="shared" si="3"/>
        <v>4252.0999999999985</v>
      </c>
      <c r="R21" s="129">
        <f t="shared" si="3"/>
        <v>4269.8999999999996</v>
      </c>
      <c r="S21" s="129">
        <f t="shared" si="3"/>
        <v>3756.7999999999993</v>
      </c>
      <c r="T21" s="129">
        <f t="shared" si="3"/>
        <v>3845.7</v>
      </c>
      <c r="U21" s="129">
        <f t="shared" si="3"/>
        <v>3584.7</v>
      </c>
      <c r="V21" s="129">
        <f t="shared" si="3"/>
        <v>4234.7999999999993</v>
      </c>
      <c r="W21" s="129">
        <f t="shared" si="3"/>
        <v>4455.0000000000009</v>
      </c>
      <c r="X21" s="129">
        <f t="shared" si="3"/>
        <v>4027.3999999999996</v>
      </c>
      <c r="Y21" s="129">
        <f t="shared" si="3"/>
        <v>3848.9999999999995</v>
      </c>
      <c r="Z21" s="129">
        <f t="shared" si="3"/>
        <v>3875.2</v>
      </c>
    </row>
    <row r="22" spans="1:27" x14ac:dyDescent="0.2">
      <c r="A22" s="123"/>
      <c r="B22" s="123"/>
      <c r="C22" s="123"/>
      <c r="D22" s="123"/>
      <c r="E22" s="124"/>
      <c r="F22" s="124"/>
      <c r="U22" s="130"/>
    </row>
    <row r="23" spans="1:27" x14ac:dyDescent="0.2">
      <c r="A23" s="123" t="s">
        <v>135</v>
      </c>
      <c r="B23" s="123"/>
      <c r="C23" s="123"/>
      <c r="D23" s="123"/>
      <c r="E23" s="124"/>
      <c r="F23" s="124"/>
    </row>
    <row r="24" spans="1:27" x14ac:dyDescent="0.2">
      <c r="A24" s="125"/>
      <c r="B24" s="125"/>
      <c r="C24" s="125"/>
      <c r="D24" s="125"/>
      <c r="E24" s="126"/>
      <c r="F24" s="126"/>
    </row>
    <row r="25" spans="1:27" x14ac:dyDescent="0.2">
      <c r="A25" s="127" t="s">
        <v>123</v>
      </c>
      <c r="B25" s="127">
        <v>1993</v>
      </c>
      <c r="C25" s="127">
        <v>1994</v>
      </c>
      <c r="D25" s="127">
        <v>1995</v>
      </c>
      <c r="E25" s="127">
        <v>1996</v>
      </c>
      <c r="F25" s="127">
        <v>1997</v>
      </c>
      <c r="G25" s="127">
        <v>1998</v>
      </c>
      <c r="H25" s="127">
        <v>1999</v>
      </c>
      <c r="I25" s="127">
        <v>2000</v>
      </c>
      <c r="J25" s="127">
        <v>2001</v>
      </c>
      <c r="K25" s="127">
        <v>2002</v>
      </c>
      <c r="L25" s="127">
        <v>2003</v>
      </c>
      <c r="M25" s="127">
        <v>2004</v>
      </c>
      <c r="N25" s="127">
        <v>2005</v>
      </c>
      <c r="O25" s="127">
        <v>2006</v>
      </c>
      <c r="P25" s="127">
        <v>2007</v>
      </c>
      <c r="Q25" s="127">
        <v>2008</v>
      </c>
      <c r="R25" s="127">
        <v>2009</v>
      </c>
      <c r="S25" s="127">
        <v>2010</v>
      </c>
      <c r="T25" s="127">
        <v>2011</v>
      </c>
      <c r="U25" s="127">
        <v>2012</v>
      </c>
      <c r="V25" s="127">
        <v>2013</v>
      </c>
      <c r="W25" s="127">
        <v>2014</v>
      </c>
      <c r="X25" s="127">
        <v>2015</v>
      </c>
      <c r="Y25" s="127">
        <v>2016</v>
      </c>
      <c r="Z25" s="127">
        <v>2017</v>
      </c>
      <c r="AA25" s="240" t="s">
        <v>217</v>
      </c>
    </row>
    <row r="26" spans="1:27" x14ac:dyDescent="0.2">
      <c r="A26" s="125"/>
      <c r="B26" s="125"/>
      <c r="C26" s="125"/>
      <c r="D26" s="125"/>
      <c r="E26" s="124"/>
      <c r="F26" s="124"/>
      <c r="AA26" s="242"/>
    </row>
    <row r="27" spans="1:27" x14ac:dyDescent="0.2">
      <c r="E27" s="124"/>
      <c r="F27" s="124"/>
      <c r="AA27" s="242"/>
    </row>
    <row r="28" spans="1:27" x14ac:dyDescent="0.2">
      <c r="A28" s="128" t="s">
        <v>124</v>
      </c>
      <c r="B28" s="129">
        <f>'HDD and CDD'!C27</f>
        <v>0</v>
      </c>
      <c r="C28" s="129">
        <f>'HDD and CDD'!C39</f>
        <v>0</v>
      </c>
      <c r="D28" s="129">
        <f>'HDD and CDD'!C51</f>
        <v>0</v>
      </c>
      <c r="E28" s="129">
        <f>'HDD and CDD'!C63</f>
        <v>0</v>
      </c>
      <c r="F28" s="129">
        <f>'HDD and CDD'!C75</f>
        <v>0</v>
      </c>
      <c r="G28" s="129">
        <f>'HDD and CDD'!C87</f>
        <v>0</v>
      </c>
      <c r="H28" s="129">
        <f>'HDD and CDD'!C99</f>
        <v>0</v>
      </c>
      <c r="I28" s="129">
        <f>'HDD and CDD'!C111</f>
        <v>0</v>
      </c>
      <c r="J28" s="129">
        <f>'HDD and CDD'!C123</f>
        <v>0</v>
      </c>
      <c r="K28" s="129">
        <f>'HDD and CDD'!C135</f>
        <v>0</v>
      </c>
      <c r="L28" s="129">
        <f>'HDD and CDD'!C147</f>
        <v>0</v>
      </c>
      <c r="M28" s="129">
        <f>'HDD and CDD'!C159</f>
        <v>0</v>
      </c>
      <c r="N28" s="129">
        <f>'HDD and CDD'!C171</f>
        <v>0</v>
      </c>
      <c r="O28" s="129">
        <f>'HDD and CDD'!C183</f>
        <v>0</v>
      </c>
      <c r="P28" s="129">
        <f>'HDD and CDD'!C195</f>
        <v>0</v>
      </c>
      <c r="Q28" s="129">
        <f>'HDD and CDD'!C207</f>
        <v>0</v>
      </c>
      <c r="R28" s="129">
        <f>'HDD and CDD'!C219</f>
        <v>0</v>
      </c>
      <c r="S28" s="129">
        <f>'HDD and CDD'!C231</f>
        <v>0</v>
      </c>
      <c r="T28" s="129">
        <f>'HDD and CDD'!C243</f>
        <v>0</v>
      </c>
      <c r="U28" s="129">
        <f>'HDD and CDD'!C255</f>
        <v>0</v>
      </c>
      <c r="V28" s="129">
        <f>'HDD and CDD'!C267</f>
        <v>0</v>
      </c>
      <c r="W28" s="129">
        <f>'HDD and CDD'!C279</f>
        <v>0</v>
      </c>
      <c r="X28" s="129">
        <f>'HDD and CDD'!C291</f>
        <v>0</v>
      </c>
      <c r="Y28" s="129">
        <f>'HDD and CDD'!C303</f>
        <v>0</v>
      </c>
      <c r="Z28" s="129">
        <f>'HDD and CDD'!C315</f>
        <v>0</v>
      </c>
      <c r="AA28" s="241">
        <f>TREND(G28:Z28,$G$5:$Z$5,2018)</f>
        <v>0</v>
      </c>
    </row>
    <row r="29" spans="1:27" x14ac:dyDescent="0.2">
      <c r="A29" s="128" t="s">
        <v>125</v>
      </c>
      <c r="B29" s="129">
        <f>'HDD and CDD'!C28</f>
        <v>0</v>
      </c>
      <c r="C29" s="129">
        <f>'HDD and CDD'!C40</f>
        <v>0</v>
      </c>
      <c r="D29" s="129">
        <f>'HDD and CDD'!C52</f>
        <v>0</v>
      </c>
      <c r="E29" s="129">
        <f>'HDD and CDD'!C64</f>
        <v>0</v>
      </c>
      <c r="F29" s="129">
        <f>'HDD and CDD'!C76</f>
        <v>0</v>
      </c>
      <c r="G29" s="129">
        <f>'HDD and CDD'!C88</f>
        <v>0</v>
      </c>
      <c r="H29" s="129">
        <f>'HDD and CDD'!C100</f>
        <v>0</v>
      </c>
      <c r="I29" s="129">
        <f>'HDD and CDD'!C112</f>
        <v>0</v>
      </c>
      <c r="J29" s="129">
        <f>'HDD and CDD'!C124</f>
        <v>0</v>
      </c>
      <c r="K29" s="129">
        <f>'HDD and CDD'!C136</f>
        <v>0</v>
      </c>
      <c r="L29" s="129">
        <f>'HDD and CDD'!C148</f>
        <v>0</v>
      </c>
      <c r="M29" s="129">
        <f>'HDD and CDD'!C160</f>
        <v>0</v>
      </c>
      <c r="N29" s="129">
        <f>'HDD and CDD'!C172</f>
        <v>0</v>
      </c>
      <c r="O29" s="129">
        <f>'HDD and CDD'!C184</f>
        <v>0</v>
      </c>
      <c r="P29" s="129">
        <f>'HDD and CDD'!C196</f>
        <v>0</v>
      </c>
      <c r="Q29" s="129">
        <f>'HDD and CDD'!C208</f>
        <v>0</v>
      </c>
      <c r="R29" s="129">
        <f>'HDD and CDD'!C220</f>
        <v>0</v>
      </c>
      <c r="S29" s="129">
        <f>'HDD and CDD'!C232</f>
        <v>0</v>
      </c>
      <c r="T29" s="129">
        <f>'HDD and CDD'!C244</f>
        <v>0</v>
      </c>
      <c r="U29" s="129">
        <f>'HDD and CDD'!C256</f>
        <v>0</v>
      </c>
      <c r="V29" s="129">
        <f>'HDD and CDD'!C268</f>
        <v>0</v>
      </c>
      <c r="W29" s="129">
        <f>'HDD and CDD'!C280</f>
        <v>0</v>
      </c>
      <c r="X29" s="129">
        <f>'HDD and CDD'!C292</f>
        <v>0</v>
      </c>
      <c r="Y29" s="129">
        <f>'HDD and CDD'!C304</f>
        <v>0</v>
      </c>
      <c r="Z29" s="129">
        <f>'HDD and CDD'!C316</f>
        <v>0</v>
      </c>
      <c r="AA29" s="241">
        <f t="shared" ref="AA29:AA39" si="4">TREND(G29:Z29,$G$5:$Z$5,2018)</f>
        <v>0</v>
      </c>
    </row>
    <row r="30" spans="1:27" x14ac:dyDescent="0.2">
      <c r="A30" s="128" t="s">
        <v>126</v>
      </c>
      <c r="B30" s="129">
        <f>'HDD and CDD'!C29</f>
        <v>0</v>
      </c>
      <c r="C30" s="129">
        <f>'HDD and CDD'!C41</f>
        <v>0</v>
      </c>
      <c r="D30" s="129">
        <f>'HDD and CDD'!C53</f>
        <v>0</v>
      </c>
      <c r="E30" s="129">
        <f>'HDD and CDD'!C65</f>
        <v>0</v>
      </c>
      <c r="F30" s="129">
        <f>'HDD and CDD'!C77</f>
        <v>0</v>
      </c>
      <c r="G30" s="129">
        <f>'HDD and CDD'!C89</f>
        <v>0</v>
      </c>
      <c r="H30" s="129">
        <f>'HDD and CDD'!C101</f>
        <v>0</v>
      </c>
      <c r="I30" s="129">
        <f>'HDD and CDD'!C113</f>
        <v>0</v>
      </c>
      <c r="J30" s="129">
        <f>'HDD and CDD'!C125</f>
        <v>0</v>
      </c>
      <c r="K30" s="129">
        <f>'HDD and CDD'!C137</f>
        <v>0</v>
      </c>
      <c r="L30" s="129">
        <f>'HDD and CDD'!C149</f>
        <v>0</v>
      </c>
      <c r="M30" s="129">
        <f>'HDD and CDD'!C161</f>
        <v>0</v>
      </c>
      <c r="N30" s="129">
        <f>'HDD and CDD'!C173</f>
        <v>0</v>
      </c>
      <c r="O30" s="129">
        <f>'HDD and CDD'!C185</f>
        <v>0</v>
      </c>
      <c r="P30" s="129">
        <f>'HDD and CDD'!C197</f>
        <v>0</v>
      </c>
      <c r="Q30" s="129">
        <f>'HDD and CDD'!C209</f>
        <v>0</v>
      </c>
      <c r="R30" s="129">
        <f>'HDD and CDD'!C221</f>
        <v>0</v>
      </c>
      <c r="S30" s="129">
        <f>'HDD and CDD'!C233</f>
        <v>0</v>
      </c>
      <c r="T30" s="129">
        <f>'HDD and CDD'!C245</f>
        <v>0</v>
      </c>
      <c r="U30" s="129">
        <f>'HDD and CDD'!C257</f>
        <v>0</v>
      </c>
      <c r="V30" s="129">
        <f>'HDD and CDD'!C269</f>
        <v>0</v>
      </c>
      <c r="W30" s="129">
        <f>'HDD and CDD'!C281</f>
        <v>0</v>
      </c>
      <c r="X30" s="129">
        <f>'HDD and CDD'!C293</f>
        <v>0</v>
      </c>
      <c r="Y30" s="129">
        <f>'HDD and CDD'!C305</f>
        <v>0</v>
      </c>
      <c r="Z30" s="129">
        <f>'HDD and CDD'!C317</f>
        <v>0</v>
      </c>
      <c r="AA30" s="241">
        <f t="shared" si="4"/>
        <v>0</v>
      </c>
    </row>
    <row r="31" spans="1:27" x14ac:dyDescent="0.2">
      <c r="A31" s="128" t="s">
        <v>127</v>
      </c>
      <c r="B31" s="129">
        <f>'HDD and CDD'!C30</f>
        <v>0</v>
      </c>
      <c r="C31" s="129">
        <f>'HDD and CDD'!C42</f>
        <v>0</v>
      </c>
      <c r="D31" s="129">
        <f>'HDD and CDD'!C54</f>
        <v>0</v>
      </c>
      <c r="E31" s="129">
        <f>'HDD and CDD'!C66</f>
        <v>0</v>
      </c>
      <c r="F31" s="129">
        <f>'HDD and CDD'!C78</f>
        <v>0</v>
      </c>
      <c r="G31" s="129">
        <f>'HDD and CDD'!C90</f>
        <v>0</v>
      </c>
      <c r="H31" s="129">
        <f>'HDD and CDD'!C102</f>
        <v>0</v>
      </c>
      <c r="I31" s="129">
        <f>'HDD and CDD'!C114</f>
        <v>0</v>
      </c>
      <c r="J31" s="129">
        <f>'HDD and CDD'!C126</f>
        <v>0</v>
      </c>
      <c r="K31" s="129">
        <f>'HDD and CDD'!C138</f>
        <v>6.6</v>
      </c>
      <c r="L31" s="129">
        <f>'HDD and CDD'!C150</f>
        <v>0.7</v>
      </c>
      <c r="M31" s="129">
        <f>'HDD and CDD'!C162</f>
        <v>0</v>
      </c>
      <c r="N31" s="129">
        <f>'HDD and CDD'!C174</f>
        <v>0</v>
      </c>
      <c r="O31" s="129">
        <f>'HDD and CDD'!C186</f>
        <v>0</v>
      </c>
      <c r="P31" s="129">
        <f>'HDD and CDD'!C198</f>
        <v>0</v>
      </c>
      <c r="Q31" s="129">
        <f>'HDD and CDD'!C210</f>
        <v>0</v>
      </c>
      <c r="R31" s="129">
        <f>'HDD and CDD'!C222</f>
        <v>3.2</v>
      </c>
      <c r="S31" s="129">
        <f>'HDD and CDD'!C234</f>
        <v>0</v>
      </c>
      <c r="T31" s="129">
        <f>'HDD and CDD'!C246</f>
        <v>0</v>
      </c>
      <c r="U31" s="129">
        <f>'HDD and CDD'!C258</f>
        <v>0</v>
      </c>
      <c r="V31" s="129">
        <f>'HDD and CDD'!C270</f>
        <v>0</v>
      </c>
      <c r="W31" s="129">
        <f>'HDD and CDD'!C282</f>
        <v>0</v>
      </c>
      <c r="X31" s="129">
        <f>'HDD and CDD'!C294</f>
        <v>0</v>
      </c>
      <c r="Y31" s="129">
        <f>'HDD and CDD'!C306</f>
        <v>0</v>
      </c>
      <c r="Z31" s="129">
        <f>'HDD and CDD'!C318</f>
        <v>0</v>
      </c>
      <c r="AA31" s="241">
        <f t="shared" si="4"/>
        <v>-2.210526315788286E-2</v>
      </c>
    </row>
    <row r="32" spans="1:27" x14ac:dyDescent="0.2">
      <c r="A32" s="128" t="s">
        <v>80</v>
      </c>
      <c r="B32" s="129">
        <f>'HDD and CDD'!C31</f>
        <v>1.5</v>
      </c>
      <c r="C32" s="129">
        <f>'HDD and CDD'!C43</f>
        <v>6.9</v>
      </c>
      <c r="D32" s="129">
        <f>'HDD and CDD'!C55</f>
        <v>1.7</v>
      </c>
      <c r="E32" s="129">
        <f>'HDD and CDD'!C67</f>
        <v>10</v>
      </c>
      <c r="F32" s="129">
        <f>'HDD and CDD'!C79</f>
        <v>0</v>
      </c>
      <c r="G32" s="129">
        <f>'HDD and CDD'!C91</f>
        <v>16.8</v>
      </c>
      <c r="H32" s="129">
        <f>'HDD and CDD'!C103</f>
        <v>10.5</v>
      </c>
      <c r="I32" s="129">
        <f>'HDD and CDD'!C115</f>
        <v>18.7</v>
      </c>
      <c r="J32" s="129">
        <f>'HDD and CDD'!C127</f>
        <v>7.7</v>
      </c>
      <c r="K32" s="129">
        <f>'HDD and CDD'!C139</f>
        <v>5.3</v>
      </c>
      <c r="L32" s="129">
        <f>'HDD and CDD'!C151</f>
        <v>0</v>
      </c>
      <c r="M32" s="129">
        <f>'HDD and CDD'!C163</f>
        <v>6.7</v>
      </c>
      <c r="N32" s="129">
        <f>'HDD and CDD'!C175</f>
        <v>0</v>
      </c>
      <c r="O32" s="129">
        <f>'HDD and CDD'!C187</f>
        <v>17.7</v>
      </c>
      <c r="P32" s="129">
        <f>'HDD and CDD'!C199</f>
        <v>11.2</v>
      </c>
      <c r="Q32" s="129">
        <f>'HDD and CDD'!C211</f>
        <v>0.7</v>
      </c>
      <c r="R32" s="129">
        <f>'HDD and CDD'!C223</f>
        <v>2.2999999999999998</v>
      </c>
      <c r="S32" s="129">
        <f>'HDD and CDD'!C235</f>
        <v>21</v>
      </c>
      <c r="T32" s="129">
        <f>'HDD and CDD'!C247</f>
        <v>13.2</v>
      </c>
      <c r="U32" s="129">
        <f>'HDD and CDD'!C259</f>
        <v>18.2</v>
      </c>
      <c r="V32" s="129">
        <f>'HDD and CDD'!C271</f>
        <v>19.600000000000001</v>
      </c>
      <c r="W32" s="129">
        <f>'HDD and CDD'!C283</f>
        <v>5.7</v>
      </c>
      <c r="X32" s="129">
        <f>'HDD and CDD'!C295</f>
        <v>29.8</v>
      </c>
      <c r="Y32" s="129">
        <f>'HDD and CDD'!C307</f>
        <v>18.399999999999999</v>
      </c>
      <c r="Z32" s="129">
        <f>'HDD and CDD'!C319</f>
        <v>2.7</v>
      </c>
      <c r="AA32" s="241">
        <f t="shared" si="4"/>
        <v>14.639999999999873</v>
      </c>
    </row>
    <row r="33" spans="1:27" x14ac:dyDescent="0.2">
      <c r="A33" s="128" t="s">
        <v>128</v>
      </c>
      <c r="B33" s="129">
        <f>'HDD and CDD'!C32</f>
        <v>26.2</v>
      </c>
      <c r="C33" s="129">
        <f>'HDD and CDD'!C44</f>
        <v>61.6</v>
      </c>
      <c r="D33" s="129">
        <f>'HDD and CDD'!C56</f>
        <v>70.8</v>
      </c>
      <c r="E33" s="129">
        <f>'HDD and CDD'!C68</f>
        <v>38.6</v>
      </c>
      <c r="F33" s="129">
        <f>'HDD and CDD'!C80</f>
        <v>50.4</v>
      </c>
      <c r="G33" s="129">
        <f>'HDD and CDD'!C92</f>
        <v>63.7</v>
      </c>
      <c r="H33" s="129">
        <f>'HDD and CDD'!C104</f>
        <v>76.5</v>
      </c>
      <c r="I33" s="129">
        <f>'HDD and CDD'!C116</f>
        <v>35.4</v>
      </c>
      <c r="J33" s="129">
        <f>'HDD and CDD'!C128</f>
        <v>62.4</v>
      </c>
      <c r="K33" s="129">
        <f>'HDD and CDD'!C140</f>
        <v>54.5</v>
      </c>
      <c r="L33" s="129">
        <f>'HDD and CDD'!C152</f>
        <v>25.5</v>
      </c>
      <c r="M33" s="129">
        <f>'HDD and CDD'!C164</f>
        <v>16.3</v>
      </c>
      <c r="N33" s="129">
        <f>'HDD and CDD'!C176</f>
        <v>104.8</v>
      </c>
      <c r="O33" s="129">
        <f>'HDD and CDD'!C188</f>
        <v>32.200000000000003</v>
      </c>
      <c r="P33" s="129">
        <f>'HDD and CDD'!C200</f>
        <v>51.2</v>
      </c>
      <c r="Q33" s="129">
        <f>'HDD and CDD'!C212</f>
        <v>53</v>
      </c>
      <c r="R33" s="129">
        <f>'HDD and CDD'!C224</f>
        <v>26.2</v>
      </c>
      <c r="S33" s="129">
        <f>'HDD and CDD'!C236</f>
        <v>26.8</v>
      </c>
      <c r="T33" s="129">
        <f>'HDD and CDD'!C248</f>
        <v>21.6</v>
      </c>
      <c r="U33" s="129">
        <f>'HDD and CDD'!C260</f>
        <v>61.2</v>
      </c>
      <c r="V33" s="129">
        <f>'HDD and CDD'!C272</f>
        <v>31.3</v>
      </c>
      <c r="W33" s="129">
        <f>'HDD and CDD'!C284</f>
        <v>44.3</v>
      </c>
      <c r="X33" s="129">
        <f>'HDD and CDD'!C296</f>
        <v>15</v>
      </c>
      <c r="Y33" s="129">
        <f>'HDD and CDD'!C308</f>
        <v>34.300000000000004</v>
      </c>
      <c r="Z33" s="129">
        <f>'HDD and CDD'!C320</f>
        <v>43</v>
      </c>
      <c r="AA33" s="241">
        <f t="shared" si="4"/>
        <v>28.525789473684199</v>
      </c>
    </row>
    <row r="34" spans="1:27" x14ac:dyDescent="0.2">
      <c r="A34" s="128" t="s">
        <v>129</v>
      </c>
      <c r="B34" s="129">
        <f>'HDD and CDD'!C33</f>
        <v>97.1</v>
      </c>
      <c r="C34" s="129">
        <f>'HDD and CDD'!C45</f>
        <v>77.7</v>
      </c>
      <c r="D34" s="129">
        <f>'HDD and CDD'!C57</f>
        <v>105.9</v>
      </c>
      <c r="E34" s="129">
        <f>'HDD and CDD'!C69</f>
        <v>41.9</v>
      </c>
      <c r="F34" s="129">
        <f>'HDD and CDD'!C81</f>
        <v>59.8</v>
      </c>
      <c r="G34" s="129">
        <f>'HDD and CDD'!C93</f>
        <v>64.8</v>
      </c>
      <c r="H34" s="129">
        <f>'HDD and CDD'!C105</f>
        <v>138.9</v>
      </c>
      <c r="I34" s="129">
        <f>'HDD and CDD'!C117</f>
        <v>44.8</v>
      </c>
      <c r="J34" s="129">
        <f>'HDD and CDD'!C129</f>
        <v>65.7</v>
      </c>
      <c r="K34" s="129">
        <f>'HDD and CDD'!C141</f>
        <v>129</v>
      </c>
      <c r="L34" s="129">
        <f>'HDD and CDD'!C153</f>
        <v>50.1</v>
      </c>
      <c r="M34" s="129">
        <f>'HDD and CDD'!C165</f>
        <v>49.3</v>
      </c>
      <c r="N34" s="129">
        <f>'HDD and CDD'!C177</f>
        <v>105.4</v>
      </c>
      <c r="O34" s="129">
        <f>'HDD and CDD'!C189</f>
        <v>117.2</v>
      </c>
      <c r="P34" s="129">
        <f>'HDD and CDD'!C201</f>
        <v>53.8</v>
      </c>
      <c r="Q34" s="129">
        <f>'HDD and CDD'!C213</f>
        <v>75.8</v>
      </c>
      <c r="R34" s="129">
        <f>'HDD and CDD'!C225</f>
        <v>14.5</v>
      </c>
      <c r="S34" s="129">
        <f>'HDD and CDD'!C237</f>
        <v>100.6</v>
      </c>
      <c r="T34" s="129">
        <f>'HDD and CDD'!C249</f>
        <v>128.19999999999999</v>
      </c>
      <c r="U34" s="129">
        <f>'HDD and CDD'!C261</f>
        <v>116.4</v>
      </c>
      <c r="V34" s="129">
        <f>'HDD and CDD'!C273</f>
        <v>85.9</v>
      </c>
      <c r="W34" s="129">
        <f>'HDD and CDD'!C285</f>
        <v>31.500000000000004</v>
      </c>
      <c r="X34" s="129">
        <f>'HDD and CDD'!C297</f>
        <v>57.70000000000001</v>
      </c>
      <c r="Y34" s="129">
        <f>'HDD and CDD'!C309</f>
        <v>101.2</v>
      </c>
      <c r="Z34" s="129">
        <f>'HDD and CDD'!C321</f>
        <v>58.500000000000007</v>
      </c>
      <c r="AA34" s="241">
        <f t="shared" si="4"/>
        <v>74.357894736842013</v>
      </c>
    </row>
    <row r="35" spans="1:27" x14ac:dyDescent="0.2">
      <c r="A35" s="128" t="s">
        <v>130</v>
      </c>
      <c r="B35" s="129">
        <f>'HDD and CDD'!C34</f>
        <v>93.8</v>
      </c>
      <c r="C35" s="129">
        <f>'HDD and CDD'!C46</f>
        <v>27.3</v>
      </c>
      <c r="D35" s="129">
        <f>'HDD and CDD'!C58</f>
        <v>101.9</v>
      </c>
      <c r="E35" s="129">
        <f>'HDD and CDD'!C70</f>
        <v>55.2</v>
      </c>
      <c r="F35" s="129">
        <f>'HDD and CDD'!C82</f>
        <v>21.9</v>
      </c>
      <c r="G35" s="129">
        <f>'HDD and CDD'!C94</f>
        <v>83.1</v>
      </c>
      <c r="H35" s="129">
        <f>'HDD and CDD'!C106</f>
        <v>30.9</v>
      </c>
      <c r="I35" s="129">
        <f>'HDD and CDD'!C118</f>
        <v>46.3</v>
      </c>
      <c r="J35" s="129">
        <f>'HDD and CDD'!C130</f>
        <v>94.2</v>
      </c>
      <c r="K35" s="129">
        <f>'HDD and CDD'!C142</f>
        <v>72.3</v>
      </c>
      <c r="L35" s="129">
        <f>'HDD and CDD'!C154</f>
        <v>72.400000000000006</v>
      </c>
      <c r="M35" s="129">
        <f>'HDD and CDD'!C166</f>
        <v>30.6</v>
      </c>
      <c r="N35" s="129">
        <f>'HDD and CDD'!C178</f>
        <v>67.900000000000006</v>
      </c>
      <c r="O35" s="129">
        <f>'HDD and CDD'!C190</f>
        <v>45.5</v>
      </c>
      <c r="P35" s="129">
        <f>'HDD and CDD'!C202</f>
        <v>65.099999999999994</v>
      </c>
      <c r="Q35" s="129">
        <f>'HDD and CDD'!C214</f>
        <v>29.5</v>
      </c>
      <c r="R35" s="129">
        <f>'HDD and CDD'!C226</f>
        <v>57.3</v>
      </c>
      <c r="S35" s="129">
        <f>'HDD and CDD'!C238</f>
        <v>79.2</v>
      </c>
      <c r="T35" s="129">
        <f>'HDD and CDD'!C250</f>
        <v>54.3</v>
      </c>
      <c r="U35" s="129">
        <f>'HDD and CDD'!C262</f>
        <v>58.1</v>
      </c>
      <c r="V35" s="129">
        <f>'HDD and CDD'!C274</f>
        <v>42.1</v>
      </c>
      <c r="W35" s="129">
        <f>'HDD and CDD'!C286</f>
        <v>24.500000000000004</v>
      </c>
      <c r="X35" s="129">
        <f>'HDD and CDD'!C298</f>
        <v>47.899999999999991</v>
      </c>
      <c r="Y35" s="129">
        <f>'HDD and CDD'!C310</f>
        <v>105</v>
      </c>
      <c r="Z35" s="129">
        <f>'HDD and CDD'!C322</f>
        <v>28.6</v>
      </c>
      <c r="AA35" s="241">
        <f t="shared" si="4"/>
        <v>49.661578947368298</v>
      </c>
    </row>
    <row r="36" spans="1:27" x14ac:dyDescent="0.2">
      <c r="A36" s="128" t="s">
        <v>131</v>
      </c>
      <c r="B36" s="129">
        <f>'HDD and CDD'!C35</f>
        <v>4</v>
      </c>
      <c r="C36" s="129">
        <f>'HDD and CDD'!C47</f>
        <v>7.5</v>
      </c>
      <c r="D36" s="129">
        <f>'HDD and CDD'!C59</f>
        <v>10.8</v>
      </c>
      <c r="E36" s="129">
        <f>'HDD and CDD'!C71</f>
        <v>12.6</v>
      </c>
      <c r="F36" s="129">
        <f>'HDD and CDD'!C83</f>
        <v>5.4</v>
      </c>
      <c r="G36" s="129">
        <f>'HDD and CDD'!C95</f>
        <v>26</v>
      </c>
      <c r="H36" s="129">
        <f>'HDD and CDD'!C107</f>
        <v>27.7</v>
      </c>
      <c r="I36" s="129">
        <f>'HDD and CDD'!C119</f>
        <v>23.8</v>
      </c>
      <c r="J36" s="129">
        <f>'HDD and CDD'!C131</f>
        <v>19.2</v>
      </c>
      <c r="K36" s="129">
        <f>'HDD and CDD'!C143</f>
        <v>47</v>
      </c>
      <c r="L36" s="129">
        <f>'HDD and CDD'!C155</f>
        <v>6</v>
      </c>
      <c r="M36" s="129">
        <f>'HDD and CDD'!C167</f>
        <v>13.7</v>
      </c>
      <c r="N36" s="129">
        <f>'HDD and CDD'!C179</f>
        <v>13.7</v>
      </c>
      <c r="O36" s="129">
        <f>'HDD and CDD'!C191</f>
        <v>2.2999999999999998</v>
      </c>
      <c r="P36" s="129">
        <f>'HDD and CDD'!C203</f>
        <v>28</v>
      </c>
      <c r="Q36" s="129">
        <f>'HDD and CDD'!C215</f>
        <v>12</v>
      </c>
      <c r="R36" s="129">
        <f>'HDD and CDD'!C227</f>
        <v>5.5</v>
      </c>
      <c r="S36" s="129">
        <f>'HDD and CDD'!C239</f>
        <v>16.7</v>
      </c>
      <c r="T36" s="129">
        <f>'HDD and CDD'!C251</f>
        <v>17.2</v>
      </c>
      <c r="U36" s="129">
        <f>'HDD and CDD'!C263</f>
        <v>16.399999999999999</v>
      </c>
      <c r="V36" s="129">
        <f>'HDD and CDD'!C275</f>
        <v>20.5</v>
      </c>
      <c r="W36" s="129">
        <f>'HDD and CDD'!C287</f>
        <v>11.4</v>
      </c>
      <c r="X36" s="129">
        <f>'HDD and CDD'!C299</f>
        <v>45.300000000000004</v>
      </c>
      <c r="Y36" s="129">
        <f>'HDD and CDD'!C311</f>
        <v>26.6</v>
      </c>
      <c r="Z36" s="129">
        <f>'HDD and CDD'!C323</f>
        <v>36.299999999999997</v>
      </c>
      <c r="AA36" s="241">
        <f t="shared" si="4"/>
        <v>22.606842105263183</v>
      </c>
    </row>
    <row r="37" spans="1:27" x14ac:dyDescent="0.2">
      <c r="A37" s="128" t="s">
        <v>132</v>
      </c>
      <c r="B37" s="129">
        <f>'HDD and CDD'!C36</f>
        <v>1</v>
      </c>
      <c r="C37" s="129">
        <f>'HDD and CDD'!C48</f>
        <v>0</v>
      </c>
      <c r="D37" s="129">
        <f>'HDD and CDD'!C60</f>
        <v>0</v>
      </c>
      <c r="E37" s="129">
        <f>'HDD and CDD'!C72</f>
        <v>0</v>
      </c>
      <c r="F37" s="129">
        <f>'HDD and CDD'!C84</f>
        <v>1.6</v>
      </c>
      <c r="G37" s="129">
        <f>'HDD and CDD'!C96</f>
        <v>0</v>
      </c>
      <c r="H37" s="129">
        <f>'HDD and CDD'!C108</f>
        <v>0</v>
      </c>
      <c r="I37" s="129">
        <f>'HDD and CDD'!C120</f>
        <v>0</v>
      </c>
      <c r="J37" s="129">
        <f>'HDD and CDD'!C132</f>
        <v>0</v>
      </c>
      <c r="K37" s="129">
        <f>'HDD and CDD'!C144</f>
        <v>6.3</v>
      </c>
      <c r="L37" s="129">
        <f>'HDD and CDD'!C156</f>
        <v>0</v>
      </c>
      <c r="M37" s="129">
        <f>'HDD and CDD'!C168</f>
        <v>0</v>
      </c>
      <c r="N37" s="129">
        <f>'HDD and CDD'!C180</f>
        <v>2.6</v>
      </c>
      <c r="O37" s="129">
        <f>'HDD and CDD'!C192</f>
        <v>0</v>
      </c>
      <c r="P37" s="129">
        <f>'HDD and CDD'!C204</f>
        <v>10.9</v>
      </c>
      <c r="Q37" s="129">
        <f>'HDD and CDD'!C216</f>
        <v>0</v>
      </c>
      <c r="R37" s="129">
        <f>'HDD and CDD'!C228</f>
        <v>0</v>
      </c>
      <c r="S37" s="129">
        <f>'HDD and CDD'!C240</f>
        <v>0</v>
      </c>
      <c r="T37" s="129">
        <f>'HDD and CDD'!C252</f>
        <v>0</v>
      </c>
      <c r="U37" s="129">
        <f>'HDD and CDD'!C264</f>
        <v>0</v>
      </c>
      <c r="V37" s="129">
        <f>'HDD and CDD'!C276</f>
        <v>0</v>
      </c>
      <c r="W37" s="129">
        <f>'HDD and CDD'!C288</f>
        <v>0</v>
      </c>
      <c r="X37" s="129">
        <f>'HDD and CDD'!C300</f>
        <v>0</v>
      </c>
      <c r="Y37" s="129">
        <f>'HDD and CDD'!C312</f>
        <v>1.9</v>
      </c>
      <c r="Z37" s="129">
        <f>'HDD and CDD'!C324</f>
        <v>3.2</v>
      </c>
      <c r="AA37" s="241">
        <f t="shared" si="4"/>
        <v>1.2442105263157892</v>
      </c>
    </row>
    <row r="38" spans="1:27" x14ac:dyDescent="0.2">
      <c r="A38" s="128" t="s">
        <v>133</v>
      </c>
      <c r="B38" s="129">
        <f>'HDD and CDD'!C37</f>
        <v>0</v>
      </c>
      <c r="C38" s="129">
        <f>'HDD and CDD'!C49</f>
        <v>0</v>
      </c>
      <c r="D38" s="129">
        <f>'HDD and CDD'!C61</f>
        <v>0</v>
      </c>
      <c r="E38" s="129">
        <f>'HDD and CDD'!C73</f>
        <v>0</v>
      </c>
      <c r="F38" s="129">
        <f>'HDD and CDD'!C85</f>
        <v>0</v>
      </c>
      <c r="G38" s="129">
        <f>'HDD and CDD'!C97</f>
        <v>0</v>
      </c>
      <c r="H38" s="129">
        <f>'HDD and CDD'!C109</f>
        <v>0</v>
      </c>
      <c r="I38" s="129">
        <f>'HDD and CDD'!C121</f>
        <v>0</v>
      </c>
      <c r="J38" s="129">
        <f>'HDD and CDD'!C133</f>
        <v>0</v>
      </c>
      <c r="K38" s="129">
        <f>'HDD and CDD'!C145</f>
        <v>0</v>
      </c>
      <c r="L38" s="129">
        <f>'HDD and CDD'!C157</f>
        <v>0</v>
      </c>
      <c r="M38" s="129">
        <f>'HDD and CDD'!C169</f>
        <v>0</v>
      </c>
      <c r="N38" s="129">
        <f>'HDD and CDD'!C181</f>
        <v>0</v>
      </c>
      <c r="O38" s="129">
        <f>'HDD and CDD'!C193</f>
        <v>0</v>
      </c>
      <c r="P38" s="129">
        <f>'HDD and CDD'!C205</f>
        <v>0</v>
      </c>
      <c r="Q38" s="129">
        <f>'HDD and CDD'!C217</f>
        <v>0</v>
      </c>
      <c r="R38" s="129">
        <f>'HDD and CDD'!C229</f>
        <v>0</v>
      </c>
      <c r="S38" s="129">
        <f>'HDD and CDD'!C241</f>
        <v>0</v>
      </c>
      <c r="T38" s="129">
        <f>'HDD and CDD'!C253</f>
        <v>0</v>
      </c>
      <c r="U38" s="129">
        <f>'HDD and CDD'!C265</f>
        <v>0</v>
      </c>
      <c r="V38" s="129">
        <f>'HDD and CDD'!C277</f>
        <v>0</v>
      </c>
      <c r="W38" s="129">
        <f>'HDD and CDD'!C289</f>
        <v>0</v>
      </c>
      <c r="X38" s="129">
        <f>'HDD and CDD'!C301</f>
        <v>0</v>
      </c>
      <c r="Y38" s="129">
        <f>'HDD and CDD'!C313</f>
        <v>0</v>
      </c>
      <c r="Z38" s="129">
        <f>'HDD and CDD'!C325</f>
        <v>0</v>
      </c>
      <c r="AA38" s="241">
        <f t="shared" si="4"/>
        <v>0</v>
      </c>
    </row>
    <row r="39" spans="1:27" x14ac:dyDescent="0.2">
      <c r="A39" s="128" t="s">
        <v>134</v>
      </c>
      <c r="B39" s="129">
        <f>'HDD and CDD'!C38</f>
        <v>0</v>
      </c>
      <c r="C39" s="129">
        <f>'HDD and CDD'!C50</f>
        <v>0</v>
      </c>
      <c r="D39" s="129">
        <f>'HDD and CDD'!C62</f>
        <v>0</v>
      </c>
      <c r="E39" s="129">
        <f>'HDD and CDD'!C74</f>
        <v>0</v>
      </c>
      <c r="F39" s="129">
        <f>'HDD and CDD'!C86</f>
        <v>0</v>
      </c>
      <c r="G39" s="129">
        <f>'HDD and CDD'!C98</f>
        <v>0</v>
      </c>
      <c r="H39" s="129">
        <f>'HDD and CDD'!C110</f>
        <v>0</v>
      </c>
      <c r="I39" s="129">
        <f>'HDD and CDD'!C122</f>
        <v>0</v>
      </c>
      <c r="J39" s="129">
        <f>'HDD and CDD'!C134</f>
        <v>0</v>
      </c>
      <c r="K39" s="129">
        <f>'HDD and CDD'!C146</f>
        <v>0</v>
      </c>
      <c r="L39" s="129">
        <f>'HDD and CDD'!C158</f>
        <v>0</v>
      </c>
      <c r="M39" s="129">
        <f>'HDD and CDD'!C170</f>
        <v>0</v>
      </c>
      <c r="N39" s="129">
        <f>'HDD and CDD'!C182</f>
        <v>0</v>
      </c>
      <c r="O39" s="129">
        <f>'HDD and CDD'!C194</f>
        <v>0</v>
      </c>
      <c r="P39" s="129">
        <f>'HDD and CDD'!C206</f>
        <v>0</v>
      </c>
      <c r="Q39" s="129">
        <f>'HDD and CDD'!C218</f>
        <v>0</v>
      </c>
      <c r="R39" s="129">
        <f>'HDD and CDD'!C230</f>
        <v>0</v>
      </c>
      <c r="S39" s="129">
        <f>'HDD and CDD'!C242</f>
        <v>0</v>
      </c>
      <c r="T39" s="129">
        <f>'HDD and CDD'!C254</f>
        <v>0</v>
      </c>
      <c r="U39" s="129">
        <f>'HDD and CDD'!C266</f>
        <v>0</v>
      </c>
      <c r="V39" s="129">
        <f>'HDD and CDD'!C278</f>
        <v>0</v>
      </c>
      <c r="W39" s="129">
        <f>'HDD and CDD'!C290</f>
        <v>0</v>
      </c>
      <c r="X39" s="129">
        <f>'HDD and CDD'!C302</f>
        <v>0</v>
      </c>
      <c r="Y39" s="129">
        <f>'HDD and CDD'!C314</f>
        <v>0</v>
      </c>
      <c r="Z39" s="129">
        <f>'HDD and CDD'!C326</f>
        <v>0</v>
      </c>
      <c r="AA39" s="241">
        <f t="shared" si="4"/>
        <v>0</v>
      </c>
    </row>
    <row r="40" spans="1:27" x14ac:dyDescent="0.2">
      <c r="A40" s="128"/>
      <c r="B40" s="128"/>
      <c r="C40" s="128"/>
      <c r="D40" s="128"/>
      <c r="E40" s="128"/>
      <c r="F40" s="128"/>
      <c r="G40" s="124"/>
      <c r="H40" s="124"/>
      <c r="Q40" s="128"/>
      <c r="R40" s="128"/>
      <c r="S40" s="128"/>
      <c r="T40" s="128"/>
      <c r="U40" s="128"/>
    </row>
    <row r="41" spans="1:27" x14ac:dyDescent="0.2">
      <c r="A41" s="128" t="s">
        <v>12</v>
      </c>
      <c r="B41" s="129">
        <f t="shared" ref="B41:Z41" si="5">SUM(B28:B39)</f>
        <v>223.6</v>
      </c>
      <c r="C41" s="129">
        <f t="shared" si="5"/>
        <v>181</v>
      </c>
      <c r="D41" s="129">
        <f t="shared" si="5"/>
        <v>291.10000000000002</v>
      </c>
      <c r="E41" s="129">
        <f t="shared" si="5"/>
        <v>158.29999999999998</v>
      </c>
      <c r="F41" s="129">
        <f t="shared" si="5"/>
        <v>139.1</v>
      </c>
      <c r="G41" s="129">
        <f t="shared" si="5"/>
        <v>254.4</v>
      </c>
      <c r="H41" s="129">
        <f t="shared" si="5"/>
        <v>284.5</v>
      </c>
      <c r="I41" s="129">
        <f t="shared" si="5"/>
        <v>169</v>
      </c>
      <c r="J41" s="129">
        <f t="shared" si="5"/>
        <v>249.2</v>
      </c>
      <c r="K41" s="129">
        <f t="shared" si="5"/>
        <v>321</v>
      </c>
      <c r="L41" s="129">
        <f t="shared" si="5"/>
        <v>154.69999999999999</v>
      </c>
      <c r="M41" s="129">
        <f t="shared" si="5"/>
        <v>116.60000000000001</v>
      </c>
      <c r="N41" s="129">
        <f t="shared" si="5"/>
        <v>294.40000000000003</v>
      </c>
      <c r="O41" s="129">
        <f t="shared" si="5"/>
        <v>214.90000000000003</v>
      </c>
      <c r="P41" s="129">
        <f t="shared" si="5"/>
        <v>220.20000000000002</v>
      </c>
      <c r="Q41" s="129">
        <f t="shared" si="5"/>
        <v>171</v>
      </c>
      <c r="R41" s="129">
        <f t="shared" si="5"/>
        <v>109</v>
      </c>
      <c r="S41" s="129">
        <f t="shared" si="5"/>
        <v>244.29999999999995</v>
      </c>
      <c r="T41" s="129">
        <f t="shared" si="5"/>
        <v>234.5</v>
      </c>
      <c r="U41" s="129">
        <f t="shared" si="5"/>
        <v>270.3</v>
      </c>
      <c r="V41" s="129">
        <f t="shared" si="5"/>
        <v>199.4</v>
      </c>
      <c r="W41" s="129">
        <f t="shared" si="5"/>
        <v>117.4</v>
      </c>
      <c r="X41" s="129">
        <f t="shared" si="5"/>
        <v>195.7</v>
      </c>
      <c r="Y41" s="129">
        <f t="shared" si="5"/>
        <v>287.39999999999998</v>
      </c>
      <c r="Z41" s="129">
        <f t="shared" si="5"/>
        <v>172.3</v>
      </c>
      <c r="AA41" s="243"/>
    </row>
    <row r="42" spans="1:27" x14ac:dyDescent="0.2">
      <c r="A42" s="128"/>
      <c r="B42" s="128"/>
      <c r="C42" s="128"/>
      <c r="D42" s="128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U42" s="130"/>
    </row>
    <row r="43" spans="1:27" x14ac:dyDescent="0.2">
      <c r="A43" s="128"/>
      <c r="B43" s="128"/>
      <c r="C43" s="128"/>
      <c r="D43" s="128"/>
      <c r="E43" s="124"/>
      <c r="F43" s="124"/>
      <c r="G43" s="124"/>
      <c r="H43" s="124"/>
    </row>
    <row r="44" spans="1:27" x14ac:dyDescent="0.2">
      <c r="A44" s="123"/>
      <c r="B44" s="123"/>
      <c r="C44" s="123"/>
      <c r="D44" s="123"/>
      <c r="E44" s="124"/>
      <c r="F44" s="124"/>
    </row>
  </sheetData>
  <mergeCells count="1">
    <mergeCell ref="D1:E1"/>
  </mergeCells>
  <pageMargins left="0.5" right="0.5" top="0.75" bottom="0.75" header="0.5" footer="0.5"/>
  <pageSetup paperSize="5" scale="72" orientation="landscape" r:id="rId1"/>
  <headerFooter alignWithMargins="0">
    <oddFooter>&amp;L&amp;8&amp;D
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4"/>
  <sheetViews>
    <sheetView topLeftCell="A94" workbookViewId="0"/>
  </sheetViews>
  <sheetFormatPr defaultRowHeight="12.75" x14ac:dyDescent="0.2"/>
  <cols>
    <col min="1" max="1" width="1.28515625" customWidth="1"/>
    <col min="2" max="2" width="40.5703125" customWidth="1"/>
    <col min="3" max="3" width="18.85546875" customWidth="1"/>
    <col min="4" max="4" width="10.28515625" bestFit="1" customWidth="1"/>
    <col min="5" max="5" width="13.42578125" bestFit="1" customWidth="1"/>
    <col min="6" max="6" width="9.28515625" bestFit="1" customWidth="1"/>
    <col min="7" max="7" width="11.7109375" bestFit="1" customWidth="1"/>
    <col min="9" max="9" width="9.140625" customWidth="1"/>
    <col min="10" max="10" width="12.7109375" bestFit="1" customWidth="1"/>
  </cols>
  <sheetData>
    <row r="2" spans="2:12" ht="13.5" thickBot="1" x14ac:dyDescent="0.25"/>
    <row r="3" spans="2:12" ht="13.5" thickBot="1" x14ac:dyDescent="0.25">
      <c r="B3" s="305" t="s">
        <v>186</v>
      </c>
      <c r="C3" s="306"/>
      <c r="D3" s="306"/>
      <c r="E3" s="307"/>
    </row>
    <row r="4" spans="2:12" x14ac:dyDescent="0.2">
      <c r="B4" s="146" t="s">
        <v>187</v>
      </c>
      <c r="C4" s="68" t="s">
        <v>89</v>
      </c>
      <c r="D4" s="68" t="s">
        <v>90</v>
      </c>
      <c r="E4" s="68" t="s">
        <v>185</v>
      </c>
    </row>
    <row r="5" spans="2:12" x14ac:dyDescent="0.2">
      <c r="B5" s="80" t="s">
        <v>1</v>
      </c>
      <c r="C5" s="81">
        <f>Summary!J17</f>
        <v>453789900.748303</v>
      </c>
      <c r="D5" s="82"/>
      <c r="E5" s="133">
        <v>0.9224</v>
      </c>
      <c r="I5" s="132"/>
      <c r="J5" s="58"/>
      <c r="K5" s="58"/>
      <c r="L5" s="58"/>
    </row>
    <row r="6" spans="2:12" x14ac:dyDescent="0.2">
      <c r="B6" s="80" t="s">
        <v>138</v>
      </c>
      <c r="C6" s="81">
        <f>Summary!J21</f>
        <v>186565536.31280667</v>
      </c>
      <c r="D6" s="82"/>
      <c r="E6" s="133">
        <v>0.85560000000000003</v>
      </c>
      <c r="I6" s="132"/>
      <c r="J6" s="58"/>
      <c r="K6" s="58"/>
      <c r="L6" s="58"/>
    </row>
    <row r="7" spans="2:12" x14ac:dyDescent="0.2">
      <c r="B7" s="80" t="s">
        <v>139</v>
      </c>
      <c r="C7" s="81">
        <f>Summary!J25</f>
        <v>487155103.89883274</v>
      </c>
      <c r="D7" s="83">
        <f>Summary!J26</f>
        <v>1537442.2798401683</v>
      </c>
      <c r="E7" s="133">
        <v>0.32790000000000002</v>
      </c>
      <c r="I7" s="132"/>
      <c r="J7" s="58"/>
      <c r="K7" s="58"/>
      <c r="L7" s="58"/>
    </row>
    <row r="8" spans="2:12" x14ac:dyDescent="0.2">
      <c r="B8" s="80" t="s">
        <v>140</v>
      </c>
      <c r="C8" s="81">
        <f>Summary!J30</f>
        <v>234220609.72181344</v>
      </c>
      <c r="D8" s="83">
        <f>Summary!J31</f>
        <v>549696.5768787415</v>
      </c>
      <c r="E8" s="133">
        <v>0</v>
      </c>
      <c r="I8" s="132"/>
      <c r="J8" s="58"/>
      <c r="K8" s="58"/>
      <c r="L8" s="58"/>
    </row>
    <row r="9" spans="2:12" x14ac:dyDescent="0.2">
      <c r="B9" s="80" t="s">
        <v>113</v>
      </c>
      <c r="C9" s="81">
        <f>Summary!J35</f>
        <v>145628457.4468382</v>
      </c>
      <c r="D9" s="83">
        <f>Summary!J36</f>
        <v>331944.32251332153</v>
      </c>
      <c r="E9" s="133">
        <v>0</v>
      </c>
      <c r="I9" s="132"/>
      <c r="J9" s="58"/>
      <c r="K9" s="58"/>
      <c r="L9" s="58"/>
    </row>
    <row r="10" spans="2:12" x14ac:dyDescent="0.2">
      <c r="B10" s="80" t="s">
        <v>66</v>
      </c>
      <c r="C10" s="81">
        <f>Summary!J44</f>
        <v>5151174.2704671035</v>
      </c>
      <c r="D10" s="83">
        <f>Summary!J45</f>
        <v>14844.081169277064</v>
      </c>
      <c r="E10" s="133">
        <v>0</v>
      </c>
      <c r="I10" s="132"/>
      <c r="J10" s="58"/>
      <c r="K10" s="58"/>
      <c r="L10" s="58"/>
    </row>
    <row r="11" spans="2:12" x14ac:dyDescent="0.2">
      <c r="B11" s="80" t="str">
        <f>Summary!A47</f>
        <v>Sentinel Lights</v>
      </c>
      <c r="C11" s="81">
        <f>Summary!J49</f>
        <v>126989.00000000001</v>
      </c>
      <c r="D11" s="83">
        <f>Summary!J50</f>
        <v>342.92000000000007</v>
      </c>
      <c r="E11" s="133">
        <v>0</v>
      </c>
      <c r="I11" s="132"/>
      <c r="J11" s="58"/>
      <c r="K11" s="58"/>
      <c r="L11" s="58"/>
    </row>
    <row r="12" spans="2:12" x14ac:dyDescent="0.2">
      <c r="B12" s="80" t="s">
        <v>2</v>
      </c>
      <c r="C12" s="81">
        <f>Summary!J54</f>
        <v>2273987.9970972422</v>
      </c>
      <c r="D12" s="83"/>
      <c r="E12" s="133">
        <v>0.998</v>
      </c>
      <c r="I12" s="132"/>
      <c r="J12" s="58"/>
      <c r="K12" s="58"/>
      <c r="L12" s="58"/>
    </row>
    <row r="13" spans="2:12" x14ac:dyDescent="0.2">
      <c r="B13" s="80" t="str">
        <f>Summary!A56</f>
        <v>Embedded Distributor - Hydro One, CND</v>
      </c>
      <c r="C13" s="81">
        <f>Summary!J58</f>
        <v>12605162.219999999</v>
      </c>
      <c r="D13" s="83">
        <f>Summary!J59</f>
        <v>24387.435638304029</v>
      </c>
      <c r="E13" s="133">
        <v>0</v>
      </c>
      <c r="I13" s="132"/>
      <c r="J13" s="58"/>
      <c r="K13" s="58"/>
      <c r="L13" s="58"/>
    </row>
    <row r="14" spans="2:12" x14ac:dyDescent="0.2">
      <c r="B14" s="80" t="str">
        <f>Summary!A61</f>
        <v>Embedded Distributor - Waterloo North, CND</v>
      </c>
      <c r="C14" s="81">
        <f>Summary!J63</f>
        <v>58104381.490000002</v>
      </c>
      <c r="D14" s="83">
        <f>Summary!J64</f>
        <v>114656.88436169598</v>
      </c>
      <c r="E14" s="133">
        <v>0</v>
      </c>
      <c r="I14" s="132"/>
      <c r="J14" s="58"/>
      <c r="K14" s="58"/>
      <c r="L14" s="58"/>
    </row>
    <row r="15" spans="2:12" x14ac:dyDescent="0.2">
      <c r="B15" s="80" t="str">
        <f>Summary!A66</f>
        <v>Embedded Distributor - Brantford Power, BCP</v>
      </c>
      <c r="C15" s="81">
        <f>Summary!J68</f>
        <v>347756.59287776717</v>
      </c>
      <c r="D15" s="83">
        <f>Summary!J69</f>
        <v>1074.96</v>
      </c>
      <c r="E15" s="133">
        <v>0</v>
      </c>
    </row>
    <row r="16" spans="2:12" x14ac:dyDescent="0.2">
      <c r="B16" s="80" t="str">
        <f>Summary!A71</f>
        <v>Embedded Distributor - Hydro One #1, BCP</v>
      </c>
      <c r="C16" s="81">
        <f>Summary!J73</f>
        <v>12191720.381133871</v>
      </c>
      <c r="D16" s="83">
        <f>Summary!J74</f>
        <v>29994.605248481424</v>
      </c>
      <c r="E16" s="133">
        <v>0</v>
      </c>
    </row>
    <row r="17" spans="2:15" x14ac:dyDescent="0.2">
      <c r="B17" s="80" t="str">
        <f>Summary!A76</f>
        <v>Embedded Distributor - Hydro One #2, BCP</v>
      </c>
      <c r="C17" s="81">
        <f>Summary!J78</f>
        <v>43274121.534063838</v>
      </c>
      <c r="D17" s="83">
        <f>Summary!J79</f>
        <v>102972.90667387019</v>
      </c>
      <c r="E17" s="133">
        <v>0</v>
      </c>
    </row>
    <row r="18" spans="2:15" x14ac:dyDescent="0.2">
      <c r="B18" s="84" t="s">
        <v>91</v>
      </c>
      <c r="C18" s="85">
        <f>SUM(C5:C17)</f>
        <v>1641434901.6142337</v>
      </c>
      <c r="D18" s="85">
        <f>SUM(D5:D17)</f>
        <v>2707356.9723238596</v>
      </c>
      <c r="E18" s="85"/>
      <c r="J18" s="55"/>
      <c r="K18" s="55"/>
      <c r="L18" s="55"/>
      <c r="M18" s="234"/>
    </row>
    <row r="19" spans="2:15" x14ac:dyDescent="0.2">
      <c r="C19" s="55"/>
      <c r="D19" s="55"/>
    </row>
    <row r="21" spans="2:15" x14ac:dyDescent="0.2">
      <c r="B21" s="134" t="s">
        <v>92</v>
      </c>
      <c r="C21" s="308" t="s">
        <v>188</v>
      </c>
      <c r="D21" s="310" t="s">
        <v>189</v>
      </c>
      <c r="E21" s="312">
        <v>2018</v>
      </c>
      <c r="F21" s="313"/>
      <c r="G21" s="314"/>
    </row>
    <row r="22" spans="2:15" x14ac:dyDescent="0.2">
      <c r="B22" s="135" t="s">
        <v>93</v>
      </c>
      <c r="C22" s="309"/>
      <c r="D22" s="311"/>
      <c r="E22" s="300"/>
      <c r="F22" s="301"/>
      <c r="G22" s="302"/>
    </row>
    <row r="23" spans="2:15" ht="15" x14ac:dyDescent="0.25">
      <c r="B23" s="60" t="str">
        <f>B5</f>
        <v xml:space="preserve">Residential </v>
      </c>
      <c r="C23" s="81">
        <f>C5*E5</f>
        <v>418575804.45023471</v>
      </c>
      <c r="D23" s="87"/>
      <c r="E23" s="88">
        <f t="shared" ref="E23:E35" si="0">C23*D23</f>
        <v>0</v>
      </c>
      <c r="F23" s="148"/>
      <c r="G23" s="90">
        <f t="shared" ref="G23:G35" si="1">E23*F23</f>
        <v>0</v>
      </c>
      <c r="J23" s="149" t="s">
        <v>137</v>
      </c>
      <c r="K23" s="149"/>
      <c r="L23" s="149"/>
      <c r="M23" s="150" t="s">
        <v>137</v>
      </c>
      <c r="N23" s="151" t="s">
        <v>137</v>
      </c>
      <c r="O23" s="149" t="s">
        <v>137</v>
      </c>
    </row>
    <row r="24" spans="2:15" ht="15" x14ac:dyDescent="0.25">
      <c r="B24" s="60" t="str">
        <f t="shared" ref="B24:B35" si="2">B6</f>
        <v>General Service &lt; 50 kW</v>
      </c>
      <c r="C24" s="81">
        <f t="shared" ref="C24:C35" si="3">C6*E6</f>
        <v>159625472.86923739</v>
      </c>
      <c r="D24" s="87"/>
      <c r="E24" s="88">
        <f t="shared" si="0"/>
        <v>0</v>
      </c>
      <c r="F24" s="148"/>
      <c r="G24" s="90">
        <f t="shared" si="1"/>
        <v>0</v>
      </c>
      <c r="J24" s="149" t="s">
        <v>137</v>
      </c>
      <c r="K24" s="149"/>
      <c r="L24" s="149"/>
      <c r="M24" s="150" t="s">
        <v>137</v>
      </c>
      <c r="N24" s="151" t="s">
        <v>137</v>
      </c>
      <c r="O24" s="149" t="s">
        <v>137</v>
      </c>
    </row>
    <row r="25" spans="2:15" ht="15" x14ac:dyDescent="0.25">
      <c r="B25" s="60" t="str">
        <f t="shared" si="2"/>
        <v>General Service &gt; 50 to 999 kW</v>
      </c>
      <c r="C25" s="81">
        <f t="shared" si="3"/>
        <v>159738158.56842726</v>
      </c>
      <c r="D25" s="87"/>
      <c r="E25" s="88">
        <f t="shared" si="0"/>
        <v>0</v>
      </c>
      <c r="F25" s="148"/>
      <c r="G25" s="90">
        <f t="shared" si="1"/>
        <v>0</v>
      </c>
      <c r="J25" s="149" t="s">
        <v>137</v>
      </c>
      <c r="K25" s="149"/>
      <c r="L25" s="149"/>
      <c r="M25" s="150" t="s">
        <v>137</v>
      </c>
      <c r="N25" s="151" t="s">
        <v>137</v>
      </c>
      <c r="O25" s="149" t="s">
        <v>137</v>
      </c>
    </row>
    <row r="26" spans="2:15" ht="15" x14ac:dyDescent="0.25">
      <c r="B26" s="60" t="str">
        <f t="shared" si="2"/>
        <v>General Service &gt; 1000 to 4999 kW</v>
      </c>
      <c r="C26" s="81">
        <f t="shared" si="3"/>
        <v>0</v>
      </c>
      <c r="D26" s="87"/>
      <c r="E26" s="88">
        <f t="shared" si="0"/>
        <v>0</v>
      </c>
      <c r="F26" s="148"/>
      <c r="G26" s="90">
        <f t="shared" si="1"/>
        <v>0</v>
      </c>
      <c r="J26" s="149"/>
      <c r="K26" s="149"/>
      <c r="L26" s="149"/>
      <c r="M26" s="149"/>
      <c r="N26" s="149"/>
      <c r="O26" s="150" t="s">
        <v>137</v>
      </c>
    </row>
    <row r="27" spans="2:15" x14ac:dyDescent="0.2">
      <c r="B27" s="60" t="str">
        <f t="shared" si="2"/>
        <v>Large User</v>
      </c>
      <c r="C27" s="81">
        <f t="shared" si="3"/>
        <v>0</v>
      </c>
      <c r="D27" s="87"/>
      <c r="E27" s="88">
        <f t="shared" si="0"/>
        <v>0</v>
      </c>
      <c r="F27" s="148"/>
      <c r="G27" s="90">
        <f t="shared" si="1"/>
        <v>0</v>
      </c>
    </row>
    <row r="28" spans="2:15" x14ac:dyDescent="0.2">
      <c r="B28" s="60" t="str">
        <f t="shared" si="2"/>
        <v>Street Lights</v>
      </c>
      <c r="C28" s="81">
        <f t="shared" si="3"/>
        <v>0</v>
      </c>
      <c r="D28" s="87"/>
      <c r="E28" s="88">
        <f t="shared" si="0"/>
        <v>0</v>
      </c>
      <c r="F28" s="148"/>
      <c r="G28" s="90">
        <f t="shared" si="1"/>
        <v>0</v>
      </c>
    </row>
    <row r="29" spans="2:15" x14ac:dyDescent="0.2">
      <c r="B29" s="60" t="str">
        <f t="shared" si="2"/>
        <v>Sentinel Lights</v>
      </c>
      <c r="C29" s="81">
        <f t="shared" si="3"/>
        <v>0</v>
      </c>
      <c r="D29" s="87"/>
      <c r="E29" s="88">
        <f t="shared" si="0"/>
        <v>0</v>
      </c>
      <c r="F29" s="148"/>
      <c r="G29" s="90">
        <f t="shared" si="1"/>
        <v>0</v>
      </c>
    </row>
    <row r="30" spans="2:15" x14ac:dyDescent="0.2">
      <c r="B30" s="60" t="str">
        <f t="shared" si="2"/>
        <v xml:space="preserve">Unmetered Loads </v>
      </c>
      <c r="C30" s="81">
        <f t="shared" si="3"/>
        <v>2269440.0211030478</v>
      </c>
      <c r="D30" s="87"/>
      <c r="E30" s="88">
        <f t="shared" si="0"/>
        <v>0</v>
      </c>
      <c r="F30" s="148"/>
      <c r="G30" s="90">
        <f t="shared" si="1"/>
        <v>0</v>
      </c>
    </row>
    <row r="31" spans="2:15" x14ac:dyDescent="0.2">
      <c r="B31" s="60" t="str">
        <f t="shared" si="2"/>
        <v>Embedded Distributor - Hydro One, CND</v>
      </c>
      <c r="C31" s="81">
        <f t="shared" si="3"/>
        <v>0</v>
      </c>
      <c r="D31" s="87"/>
      <c r="E31" s="88">
        <f t="shared" si="0"/>
        <v>0</v>
      </c>
      <c r="F31" s="148"/>
      <c r="G31" s="90">
        <f t="shared" si="1"/>
        <v>0</v>
      </c>
    </row>
    <row r="32" spans="2:15" x14ac:dyDescent="0.2">
      <c r="B32" s="60" t="str">
        <f t="shared" si="2"/>
        <v>Embedded Distributor - Waterloo North, CND</v>
      </c>
      <c r="C32" s="81">
        <f t="shared" si="3"/>
        <v>0</v>
      </c>
      <c r="D32" s="87"/>
      <c r="E32" s="88">
        <f t="shared" si="0"/>
        <v>0</v>
      </c>
      <c r="F32" s="148"/>
      <c r="G32" s="90">
        <f t="shared" si="1"/>
        <v>0</v>
      </c>
    </row>
    <row r="33" spans="2:7" x14ac:dyDescent="0.2">
      <c r="B33" s="60" t="str">
        <f t="shared" si="2"/>
        <v>Embedded Distributor - Brantford Power, BCP</v>
      </c>
      <c r="C33" s="81">
        <f t="shared" si="3"/>
        <v>0</v>
      </c>
      <c r="D33" s="87"/>
      <c r="E33" s="88">
        <f t="shared" si="0"/>
        <v>0</v>
      </c>
      <c r="F33" s="148"/>
      <c r="G33" s="90">
        <f t="shared" si="1"/>
        <v>0</v>
      </c>
    </row>
    <row r="34" spans="2:7" x14ac:dyDescent="0.2">
      <c r="B34" s="60" t="str">
        <f>B16</f>
        <v>Embedded Distributor - Hydro One #1, BCP</v>
      </c>
      <c r="C34" s="81">
        <f t="shared" si="3"/>
        <v>0</v>
      </c>
      <c r="D34" s="87"/>
      <c r="E34" s="88">
        <f t="shared" si="0"/>
        <v>0</v>
      </c>
      <c r="F34" s="148"/>
      <c r="G34" s="90">
        <f t="shared" si="1"/>
        <v>0</v>
      </c>
    </row>
    <row r="35" spans="2:7" x14ac:dyDescent="0.2">
      <c r="B35" s="60" t="str">
        <f t="shared" si="2"/>
        <v>Embedded Distributor - Hydro One #2, BCP</v>
      </c>
      <c r="C35" s="81">
        <f t="shared" si="3"/>
        <v>0</v>
      </c>
      <c r="D35" s="87"/>
      <c r="E35" s="88">
        <f t="shared" si="0"/>
        <v>0</v>
      </c>
      <c r="F35" s="148"/>
      <c r="G35" s="90">
        <f t="shared" si="1"/>
        <v>0</v>
      </c>
    </row>
    <row r="36" spans="2:7" x14ac:dyDescent="0.2">
      <c r="B36" s="84" t="s">
        <v>91</v>
      </c>
      <c r="C36" s="85">
        <f>SUM(C23:C35)</f>
        <v>740208875.90900242</v>
      </c>
      <c r="D36" s="86"/>
      <c r="E36" s="85">
        <f>SUM(E23:E35)</f>
        <v>0</v>
      </c>
      <c r="F36" s="152"/>
      <c r="G36" s="92">
        <f>SUM(G23:G35)</f>
        <v>0</v>
      </c>
    </row>
    <row r="37" spans="2:7" x14ac:dyDescent="0.2">
      <c r="B37" s="93"/>
      <c r="C37" s="94"/>
      <c r="D37" s="95"/>
      <c r="E37" s="94"/>
      <c r="F37" s="96"/>
      <c r="G37" s="97"/>
    </row>
    <row r="38" spans="2:7" x14ac:dyDescent="0.2">
      <c r="B38" s="134" t="s">
        <v>94</v>
      </c>
      <c r="C38" s="308" t="s">
        <v>188</v>
      </c>
      <c r="D38" s="310" t="s">
        <v>189</v>
      </c>
      <c r="E38" s="312">
        <v>2018</v>
      </c>
      <c r="F38" s="313"/>
      <c r="G38" s="314"/>
    </row>
    <row r="39" spans="2:7" x14ac:dyDescent="0.2">
      <c r="B39" s="135" t="s">
        <v>95</v>
      </c>
      <c r="C39" s="309"/>
      <c r="D39" s="311"/>
      <c r="E39" s="300"/>
      <c r="F39" s="301"/>
      <c r="G39" s="302"/>
    </row>
    <row r="40" spans="2:7" x14ac:dyDescent="0.2">
      <c r="B40" s="60" t="str">
        <f>B23</f>
        <v xml:space="preserve">Residential </v>
      </c>
      <c r="C40" s="81">
        <f>C5-C23</f>
        <v>35214096.298068285</v>
      </c>
      <c r="D40" s="82">
        <f>D23</f>
        <v>0</v>
      </c>
      <c r="E40" s="88">
        <f t="shared" ref="E40:E52" si="4">C40*D40</f>
        <v>0</v>
      </c>
      <c r="F40" s="89"/>
      <c r="G40" s="90">
        <f t="shared" ref="G40:G52" si="5">E40*F40</f>
        <v>0</v>
      </c>
    </row>
    <row r="41" spans="2:7" x14ac:dyDescent="0.2">
      <c r="B41" s="60" t="str">
        <f t="shared" ref="B41:B52" si="6">B24</f>
        <v>General Service &lt; 50 kW</v>
      </c>
      <c r="C41" s="81">
        <f t="shared" ref="C41:C52" si="7">C6-C24</f>
        <v>26940063.443569273</v>
      </c>
      <c r="D41" s="82">
        <f t="shared" ref="D41:D52" si="8">D24</f>
        <v>0</v>
      </c>
      <c r="E41" s="88">
        <f t="shared" si="4"/>
        <v>0</v>
      </c>
      <c r="F41" s="89"/>
      <c r="G41" s="90">
        <f t="shared" si="5"/>
        <v>0</v>
      </c>
    </row>
    <row r="42" spans="2:7" x14ac:dyDescent="0.2">
      <c r="B42" s="60" t="str">
        <f t="shared" si="6"/>
        <v>General Service &gt; 50 to 999 kW</v>
      </c>
      <c r="C42" s="81">
        <f t="shared" si="7"/>
        <v>327416945.33040547</v>
      </c>
      <c r="D42" s="82">
        <f t="shared" si="8"/>
        <v>0</v>
      </c>
      <c r="E42" s="88">
        <f t="shared" si="4"/>
        <v>0</v>
      </c>
      <c r="F42" s="89"/>
      <c r="G42" s="90">
        <f t="shared" si="5"/>
        <v>0</v>
      </c>
    </row>
    <row r="43" spans="2:7" x14ac:dyDescent="0.2">
      <c r="B43" s="60" t="str">
        <f t="shared" si="6"/>
        <v>General Service &gt; 1000 to 4999 kW</v>
      </c>
      <c r="C43" s="81">
        <f t="shared" si="7"/>
        <v>234220609.72181344</v>
      </c>
      <c r="D43" s="82">
        <f t="shared" si="8"/>
        <v>0</v>
      </c>
      <c r="E43" s="88">
        <f t="shared" si="4"/>
        <v>0</v>
      </c>
      <c r="F43" s="89"/>
      <c r="G43" s="90">
        <f t="shared" si="5"/>
        <v>0</v>
      </c>
    </row>
    <row r="44" spans="2:7" x14ac:dyDescent="0.2">
      <c r="B44" s="60" t="str">
        <f t="shared" si="6"/>
        <v>Large User</v>
      </c>
      <c r="C44" s="81">
        <f t="shared" si="7"/>
        <v>145628457.4468382</v>
      </c>
      <c r="D44" s="82">
        <f t="shared" si="8"/>
        <v>0</v>
      </c>
      <c r="E44" s="88">
        <f t="shared" si="4"/>
        <v>0</v>
      </c>
      <c r="F44" s="89"/>
      <c r="G44" s="90">
        <f t="shared" si="5"/>
        <v>0</v>
      </c>
    </row>
    <row r="45" spans="2:7" x14ac:dyDescent="0.2">
      <c r="B45" s="60" t="str">
        <f t="shared" si="6"/>
        <v>Street Lights</v>
      </c>
      <c r="C45" s="81">
        <f t="shared" si="7"/>
        <v>5151174.2704671035</v>
      </c>
      <c r="D45" s="82">
        <f t="shared" si="8"/>
        <v>0</v>
      </c>
      <c r="E45" s="88">
        <f t="shared" si="4"/>
        <v>0</v>
      </c>
      <c r="F45" s="89"/>
      <c r="G45" s="90">
        <f t="shared" si="5"/>
        <v>0</v>
      </c>
    </row>
    <row r="46" spans="2:7" x14ac:dyDescent="0.2">
      <c r="B46" s="60" t="str">
        <f t="shared" si="6"/>
        <v>Sentinel Lights</v>
      </c>
      <c r="C46" s="81">
        <f t="shared" si="7"/>
        <v>126989.00000000001</v>
      </c>
      <c r="D46" s="82">
        <f t="shared" si="8"/>
        <v>0</v>
      </c>
      <c r="E46" s="88">
        <f t="shared" si="4"/>
        <v>0</v>
      </c>
      <c r="F46" s="89"/>
      <c r="G46" s="90">
        <f t="shared" si="5"/>
        <v>0</v>
      </c>
    </row>
    <row r="47" spans="2:7" x14ac:dyDescent="0.2">
      <c r="B47" s="60" t="str">
        <f t="shared" si="6"/>
        <v xml:space="preserve">Unmetered Loads </v>
      </c>
      <c r="C47" s="81">
        <f t="shared" si="7"/>
        <v>4547.9759941943921</v>
      </c>
      <c r="D47" s="82">
        <f t="shared" si="8"/>
        <v>0</v>
      </c>
      <c r="E47" s="88">
        <f t="shared" si="4"/>
        <v>0</v>
      </c>
      <c r="F47" s="89"/>
      <c r="G47" s="90">
        <f t="shared" si="5"/>
        <v>0</v>
      </c>
    </row>
    <row r="48" spans="2:7" x14ac:dyDescent="0.2">
      <c r="B48" s="60" t="str">
        <f t="shared" si="6"/>
        <v>Embedded Distributor - Hydro One, CND</v>
      </c>
      <c r="C48" s="81">
        <f t="shared" si="7"/>
        <v>12605162.219999999</v>
      </c>
      <c r="D48" s="82">
        <f t="shared" si="8"/>
        <v>0</v>
      </c>
      <c r="E48" s="88">
        <f t="shared" si="4"/>
        <v>0</v>
      </c>
      <c r="F48" s="89"/>
      <c r="G48" s="90">
        <f t="shared" si="5"/>
        <v>0</v>
      </c>
    </row>
    <row r="49" spans="2:9" x14ac:dyDescent="0.2">
      <c r="B49" s="60" t="str">
        <f t="shared" si="6"/>
        <v>Embedded Distributor - Waterloo North, CND</v>
      </c>
      <c r="C49" s="81">
        <f t="shared" si="7"/>
        <v>58104381.490000002</v>
      </c>
      <c r="D49" s="82">
        <f t="shared" si="8"/>
        <v>0</v>
      </c>
      <c r="E49" s="88">
        <f t="shared" si="4"/>
        <v>0</v>
      </c>
      <c r="F49" s="89"/>
      <c r="G49" s="90">
        <f t="shared" si="5"/>
        <v>0</v>
      </c>
    </row>
    <row r="50" spans="2:9" x14ac:dyDescent="0.2">
      <c r="B50" s="60" t="str">
        <f t="shared" si="6"/>
        <v>Embedded Distributor - Brantford Power, BCP</v>
      </c>
      <c r="C50" s="81">
        <f t="shared" si="7"/>
        <v>347756.59287776717</v>
      </c>
      <c r="D50" s="82">
        <f t="shared" si="8"/>
        <v>0</v>
      </c>
      <c r="E50" s="88">
        <f t="shared" si="4"/>
        <v>0</v>
      </c>
      <c r="F50" s="89"/>
      <c r="G50" s="90">
        <f t="shared" si="5"/>
        <v>0</v>
      </c>
    </row>
    <row r="51" spans="2:9" x14ac:dyDescent="0.2">
      <c r="B51" s="60" t="str">
        <f t="shared" si="6"/>
        <v>Embedded Distributor - Hydro One #1, BCP</v>
      </c>
      <c r="C51" s="81">
        <f t="shared" si="7"/>
        <v>12191720.381133871</v>
      </c>
      <c r="D51" s="82">
        <f t="shared" si="8"/>
        <v>0</v>
      </c>
      <c r="E51" s="88">
        <f t="shared" si="4"/>
        <v>0</v>
      </c>
      <c r="F51" s="89"/>
      <c r="G51" s="90">
        <f t="shared" si="5"/>
        <v>0</v>
      </c>
    </row>
    <row r="52" spans="2:9" x14ac:dyDescent="0.2">
      <c r="B52" s="60" t="str">
        <f t="shared" si="6"/>
        <v>Embedded Distributor - Hydro One #2, BCP</v>
      </c>
      <c r="C52" s="81">
        <f t="shared" si="7"/>
        <v>43274121.534063838</v>
      </c>
      <c r="D52" s="82">
        <f t="shared" si="8"/>
        <v>0</v>
      </c>
      <c r="E52" s="88">
        <f t="shared" si="4"/>
        <v>0</v>
      </c>
      <c r="F52" s="89"/>
      <c r="G52" s="90">
        <f t="shared" si="5"/>
        <v>0</v>
      </c>
    </row>
    <row r="53" spans="2:9" x14ac:dyDescent="0.2">
      <c r="B53" s="84" t="s">
        <v>91</v>
      </c>
      <c r="C53" s="85">
        <f>SUM(C40:C52)</f>
        <v>901226025.70523167</v>
      </c>
      <c r="D53" s="86"/>
      <c r="E53" s="85">
        <f>SUM(E40:E52)</f>
        <v>0</v>
      </c>
      <c r="F53" s="152"/>
      <c r="G53" s="92">
        <f>SUM(G40:G52)</f>
        <v>0</v>
      </c>
    </row>
    <row r="55" spans="2:9" x14ac:dyDescent="0.2">
      <c r="B55" s="136" t="s">
        <v>96</v>
      </c>
      <c r="C55" s="137"/>
      <c r="D55" s="138" t="s">
        <v>97</v>
      </c>
      <c r="E55" s="139"/>
      <c r="F55" s="140"/>
      <c r="G55" s="137"/>
    </row>
    <row r="56" spans="2:9" x14ac:dyDescent="0.2">
      <c r="B56" s="135" t="s">
        <v>95</v>
      </c>
      <c r="C56" s="232"/>
      <c r="D56" s="141" t="s">
        <v>98</v>
      </c>
      <c r="E56" s="300">
        <v>2018</v>
      </c>
      <c r="F56" s="301"/>
      <c r="G56" s="302"/>
    </row>
    <row r="57" spans="2:9" x14ac:dyDescent="0.2">
      <c r="B57" s="98" t="str">
        <f>B40</f>
        <v xml:space="preserve">Residential </v>
      </c>
      <c r="C57" s="88"/>
      <c r="D57" s="99" t="s">
        <v>89</v>
      </c>
      <c r="E57" s="88">
        <f>E23+E40</f>
        <v>0</v>
      </c>
      <c r="F57" s="153"/>
      <c r="G57" s="90">
        <f t="shared" ref="G57:G70" si="9">E57*F57</f>
        <v>0</v>
      </c>
    </row>
    <row r="58" spans="2:9" x14ac:dyDescent="0.2">
      <c r="B58" s="98" t="str">
        <f>B41</f>
        <v>General Service &lt; 50 kW</v>
      </c>
      <c r="C58" s="88"/>
      <c r="D58" s="99" t="s">
        <v>89</v>
      </c>
      <c r="E58" s="88">
        <f>E24+E41</f>
        <v>0</v>
      </c>
      <c r="F58" s="153"/>
      <c r="G58" s="90">
        <f t="shared" si="9"/>
        <v>0</v>
      </c>
    </row>
    <row r="59" spans="2:9" x14ac:dyDescent="0.2">
      <c r="B59" s="98" t="str">
        <f>B42</f>
        <v>General Service &gt; 50 to 999 kW</v>
      </c>
      <c r="C59" s="88"/>
      <c r="D59" s="99" t="s">
        <v>90</v>
      </c>
      <c r="E59" s="88">
        <f>D7</f>
        <v>1537442.2798401683</v>
      </c>
      <c r="F59" s="153"/>
      <c r="G59" s="90">
        <f t="shared" si="9"/>
        <v>0</v>
      </c>
    </row>
    <row r="60" spans="2:9" x14ac:dyDescent="0.2">
      <c r="B60" s="98" t="str">
        <f>B43</f>
        <v>General Service &gt; 1000 to 4999 kW</v>
      </c>
      <c r="C60" s="88"/>
      <c r="D60" s="99" t="s">
        <v>90</v>
      </c>
      <c r="E60" s="88">
        <f t="shared" ref="E60" si="10">D8</f>
        <v>549696.5768787415</v>
      </c>
      <c r="F60" s="153"/>
      <c r="G60" s="90">
        <f t="shared" si="9"/>
        <v>0</v>
      </c>
      <c r="I60" s="30"/>
    </row>
    <row r="61" spans="2:9" x14ac:dyDescent="0.2">
      <c r="B61" s="55" t="str">
        <f>Summary!A38</f>
        <v>Direct Market Participant</v>
      </c>
      <c r="C61" s="88"/>
      <c r="D61" s="99" t="s">
        <v>90</v>
      </c>
      <c r="E61" s="55">
        <f>Summary!I40</f>
        <v>67941.700000000012</v>
      </c>
      <c r="F61" s="153"/>
      <c r="G61" s="90">
        <f t="shared" si="9"/>
        <v>0</v>
      </c>
      <c r="I61" s="30"/>
    </row>
    <row r="62" spans="2:9" x14ac:dyDescent="0.2">
      <c r="B62" s="98" t="str">
        <f>B44</f>
        <v>Large User</v>
      </c>
      <c r="C62" s="88"/>
      <c r="D62" s="99" t="s">
        <v>90</v>
      </c>
      <c r="E62" s="88">
        <f>D9</f>
        <v>331944.32251332153</v>
      </c>
      <c r="F62" s="153"/>
      <c r="G62" s="90">
        <f t="shared" si="9"/>
        <v>0</v>
      </c>
    </row>
    <row r="63" spans="2:9" x14ac:dyDescent="0.2">
      <c r="B63" s="98" t="str">
        <f>B45</f>
        <v>Street Lights</v>
      </c>
      <c r="C63" s="88"/>
      <c r="D63" s="99" t="s">
        <v>90</v>
      </c>
      <c r="E63" s="88">
        <f t="shared" ref="E63:E64" si="11">D10</f>
        <v>14844.081169277064</v>
      </c>
      <c r="F63" s="153"/>
      <c r="G63" s="90">
        <f t="shared" si="9"/>
        <v>0</v>
      </c>
    </row>
    <row r="64" spans="2:9" x14ac:dyDescent="0.2">
      <c r="B64" s="98" t="str">
        <f>B46</f>
        <v>Sentinel Lights</v>
      </c>
      <c r="C64" s="88"/>
      <c r="D64" s="99" t="s">
        <v>90</v>
      </c>
      <c r="E64" s="88">
        <f t="shared" si="11"/>
        <v>342.92000000000007</v>
      </c>
      <c r="F64" s="153"/>
      <c r="G64" s="90">
        <f t="shared" si="9"/>
        <v>0</v>
      </c>
    </row>
    <row r="65" spans="2:7" x14ac:dyDescent="0.2">
      <c r="B65" s="98" t="str">
        <f>B47</f>
        <v xml:space="preserve">Unmetered Loads </v>
      </c>
      <c r="C65" s="88"/>
      <c r="D65" s="99" t="s">
        <v>89</v>
      </c>
      <c r="E65" s="88">
        <f>E31+E48</f>
        <v>0</v>
      </c>
      <c r="F65" s="153"/>
      <c r="G65" s="90">
        <f t="shared" si="9"/>
        <v>0</v>
      </c>
    </row>
    <row r="66" spans="2:7" x14ac:dyDescent="0.2">
      <c r="B66" s="98" t="str">
        <f t="shared" ref="B66:B70" si="12">B48</f>
        <v>Embedded Distributor - Hydro One, CND</v>
      </c>
      <c r="C66" s="88"/>
      <c r="D66" s="99" t="s">
        <v>90</v>
      </c>
      <c r="E66" s="88">
        <f>D13</f>
        <v>24387.435638304029</v>
      </c>
      <c r="F66" s="153"/>
      <c r="G66" s="90">
        <f t="shared" si="9"/>
        <v>0</v>
      </c>
    </row>
    <row r="67" spans="2:7" x14ac:dyDescent="0.2">
      <c r="B67" s="98" t="str">
        <f t="shared" si="12"/>
        <v>Embedded Distributor - Waterloo North, CND</v>
      </c>
      <c r="C67" s="88"/>
      <c r="D67" s="99" t="s">
        <v>90</v>
      </c>
      <c r="E67" s="88">
        <f t="shared" ref="E67:E70" si="13">D14</f>
        <v>114656.88436169598</v>
      </c>
      <c r="F67" s="153"/>
      <c r="G67" s="90">
        <f t="shared" si="9"/>
        <v>0</v>
      </c>
    </row>
    <row r="68" spans="2:7" x14ac:dyDescent="0.2">
      <c r="B68" s="98" t="str">
        <f t="shared" si="12"/>
        <v>Embedded Distributor - Brantford Power, BCP</v>
      </c>
      <c r="C68" s="88"/>
      <c r="D68" s="99" t="s">
        <v>90</v>
      </c>
      <c r="E68" s="88">
        <f t="shared" si="13"/>
        <v>1074.96</v>
      </c>
      <c r="F68" s="153"/>
      <c r="G68" s="90">
        <f t="shared" si="9"/>
        <v>0</v>
      </c>
    </row>
    <row r="69" spans="2:7" x14ac:dyDescent="0.2">
      <c r="B69" s="98" t="str">
        <f t="shared" si="12"/>
        <v>Embedded Distributor - Hydro One #1, BCP</v>
      </c>
      <c r="C69" s="88"/>
      <c r="D69" s="99" t="s">
        <v>90</v>
      </c>
      <c r="E69" s="88">
        <f t="shared" si="13"/>
        <v>29994.605248481424</v>
      </c>
      <c r="F69" s="153"/>
      <c r="G69" s="90">
        <f t="shared" si="9"/>
        <v>0</v>
      </c>
    </row>
    <row r="70" spans="2:7" x14ac:dyDescent="0.2">
      <c r="B70" s="98" t="str">
        <f t="shared" si="12"/>
        <v>Embedded Distributor - Hydro One #2, BCP</v>
      </c>
      <c r="C70" s="88"/>
      <c r="D70" s="99" t="s">
        <v>90</v>
      </c>
      <c r="E70" s="88">
        <f t="shared" si="13"/>
        <v>102972.90667387019</v>
      </c>
      <c r="F70" s="153"/>
      <c r="G70" s="90">
        <f t="shared" si="9"/>
        <v>0</v>
      </c>
    </row>
    <row r="71" spans="2:7" x14ac:dyDescent="0.2">
      <c r="B71" s="84" t="s">
        <v>91</v>
      </c>
      <c r="C71" s="85"/>
      <c r="D71" s="86"/>
      <c r="E71" s="85"/>
      <c r="F71" s="91"/>
      <c r="G71" s="101">
        <f>SUM(G57:G70)</f>
        <v>0</v>
      </c>
    </row>
    <row r="73" spans="2:7" x14ac:dyDescent="0.2">
      <c r="B73" s="136" t="s">
        <v>99</v>
      </c>
      <c r="C73" s="137"/>
      <c r="D73" s="142" t="s">
        <v>97</v>
      </c>
      <c r="E73" s="139"/>
      <c r="F73" s="140"/>
      <c r="G73" s="137"/>
    </row>
    <row r="74" spans="2:7" x14ac:dyDescent="0.2">
      <c r="B74" s="135" t="s">
        <v>95</v>
      </c>
      <c r="C74" s="232"/>
      <c r="D74" s="143" t="s">
        <v>98</v>
      </c>
      <c r="E74" s="300">
        <v>2018</v>
      </c>
      <c r="F74" s="301"/>
      <c r="G74" s="302"/>
    </row>
    <row r="75" spans="2:7" x14ac:dyDescent="0.2">
      <c r="B75" s="98" t="str">
        <f>B57</f>
        <v xml:space="preserve">Residential </v>
      </c>
      <c r="C75" s="88"/>
      <c r="D75" s="99" t="str">
        <f>D57</f>
        <v>kWh</v>
      </c>
      <c r="E75" s="88">
        <f>E57</f>
        <v>0</v>
      </c>
      <c r="F75" s="153"/>
      <c r="G75" s="90">
        <f t="shared" ref="G75:G88" si="14">E75*F75</f>
        <v>0</v>
      </c>
    </row>
    <row r="76" spans="2:7" x14ac:dyDescent="0.2">
      <c r="B76" s="98" t="str">
        <f t="shared" ref="B76:B88" si="15">B58</f>
        <v>General Service &lt; 50 kW</v>
      </c>
      <c r="C76" s="88"/>
      <c r="D76" s="99" t="str">
        <f t="shared" ref="D76:E88" si="16">D58</f>
        <v>kWh</v>
      </c>
      <c r="E76" s="88">
        <f t="shared" si="16"/>
        <v>0</v>
      </c>
      <c r="F76" s="153"/>
      <c r="G76" s="90">
        <f t="shared" si="14"/>
        <v>0</v>
      </c>
    </row>
    <row r="77" spans="2:7" x14ac:dyDescent="0.2">
      <c r="B77" s="98" t="str">
        <f t="shared" si="15"/>
        <v>General Service &gt; 50 to 999 kW</v>
      </c>
      <c r="C77" s="88"/>
      <c r="D77" s="99" t="str">
        <f t="shared" si="16"/>
        <v>kW</v>
      </c>
      <c r="E77" s="88">
        <f t="shared" si="16"/>
        <v>1537442.2798401683</v>
      </c>
      <c r="F77" s="153"/>
      <c r="G77" s="90">
        <f t="shared" si="14"/>
        <v>0</v>
      </c>
    </row>
    <row r="78" spans="2:7" x14ac:dyDescent="0.2">
      <c r="B78" s="98" t="str">
        <f t="shared" si="15"/>
        <v>General Service &gt; 1000 to 4999 kW</v>
      </c>
      <c r="C78" s="88"/>
      <c r="D78" s="99" t="str">
        <f t="shared" si="16"/>
        <v>kW</v>
      </c>
      <c r="E78" s="88">
        <f t="shared" si="16"/>
        <v>549696.5768787415</v>
      </c>
      <c r="F78" s="153"/>
      <c r="G78" s="90">
        <f t="shared" si="14"/>
        <v>0</v>
      </c>
    </row>
    <row r="79" spans="2:7" x14ac:dyDescent="0.2">
      <c r="B79" s="98" t="str">
        <f t="shared" si="15"/>
        <v>Direct Market Participant</v>
      </c>
      <c r="C79" s="88"/>
      <c r="D79" s="99" t="str">
        <f t="shared" si="16"/>
        <v>kW</v>
      </c>
      <c r="E79" s="88">
        <f t="shared" si="16"/>
        <v>67941.700000000012</v>
      </c>
      <c r="F79" s="153"/>
      <c r="G79" s="90">
        <f t="shared" si="14"/>
        <v>0</v>
      </c>
    </row>
    <row r="80" spans="2:7" x14ac:dyDescent="0.2">
      <c r="B80" s="98" t="str">
        <f t="shared" si="15"/>
        <v>Large User</v>
      </c>
      <c r="C80" s="88"/>
      <c r="D80" s="99" t="str">
        <f t="shared" si="16"/>
        <v>kW</v>
      </c>
      <c r="E80" s="88">
        <f t="shared" si="16"/>
        <v>331944.32251332153</v>
      </c>
      <c r="F80" s="153"/>
      <c r="G80" s="90">
        <f t="shared" si="14"/>
        <v>0</v>
      </c>
    </row>
    <row r="81" spans="2:7" x14ac:dyDescent="0.2">
      <c r="B81" s="98" t="str">
        <f t="shared" si="15"/>
        <v>Street Lights</v>
      </c>
      <c r="C81" s="88"/>
      <c r="D81" s="99" t="str">
        <f t="shared" si="16"/>
        <v>kW</v>
      </c>
      <c r="E81" s="88">
        <f t="shared" si="16"/>
        <v>14844.081169277064</v>
      </c>
      <c r="F81" s="153"/>
      <c r="G81" s="90">
        <f t="shared" si="14"/>
        <v>0</v>
      </c>
    </row>
    <row r="82" spans="2:7" x14ac:dyDescent="0.2">
      <c r="B82" s="98" t="str">
        <f t="shared" si="15"/>
        <v>Sentinel Lights</v>
      </c>
      <c r="C82" s="88"/>
      <c r="D82" s="99" t="str">
        <f t="shared" si="16"/>
        <v>kW</v>
      </c>
      <c r="E82" s="88">
        <f t="shared" si="16"/>
        <v>342.92000000000007</v>
      </c>
      <c r="F82" s="153"/>
      <c r="G82" s="90">
        <f t="shared" si="14"/>
        <v>0</v>
      </c>
    </row>
    <row r="83" spans="2:7" x14ac:dyDescent="0.2">
      <c r="B83" s="98" t="str">
        <f t="shared" si="15"/>
        <v xml:space="preserve">Unmetered Loads </v>
      </c>
      <c r="C83" s="88"/>
      <c r="D83" s="99" t="str">
        <f t="shared" si="16"/>
        <v>kWh</v>
      </c>
      <c r="E83" s="88">
        <f t="shared" si="16"/>
        <v>0</v>
      </c>
      <c r="F83" s="153"/>
      <c r="G83" s="90">
        <f t="shared" si="14"/>
        <v>0</v>
      </c>
    </row>
    <row r="84" spans="2:7" x14ac:dyDescent="0.2">
      <c r="B84" s="98" t="str">
        <f t="shared" si="15"/>
        <v>Embedded Distributor - Hydro One, CND</v>
      </c>
      <c r="C84" s="88"/>
      <c r="D84" s="99" t="str">
        <f t="shared" si="16"/>
        <v>kW</v>
      </c>
      <c r="E84" s="88">
        <f t="shared" si="16"/>
        <v>24387.435638304029</v>
      </c>
      <c r="F84" s="153"/>
      <c r="G84" s="90">
        <f t="shared" si="14"/>
        <v>0</v>
      </c>
    </row>
    <row r="85" spans="2:7" x14ac:dyDescent="0.2">
      <c r="B85" s="98" t="str">
        <f t="shared" si="15"/>
        <v>Embedded Distributor - Waterloo North, CND</v>
      </c>
      <c r="C85" s="88"/>
      <c r="D85" s="99" t="str">
        <f t="shared" si="16"/>
        <v>kW</v>
      </c>
      <c r="E85" s="88">
        <f t="shared" si="16"/>
        <v>114656.88436169598</v>
      </c>
      <c r="F85" s="153"/>
      <c r="G85" s="90">
        <f t="shared" si="14"/>
        <v>0</v>
      </c>
    </row>
    <row r="86" spans="2:7" x14ac:dyDescent="0.2">
      <c r="B86" s="98" t="str">
        <f t="shared" si="15"/>
        <v>Embedded Distributor - Brantford Power, BCP</v>
      </c>
      <c r="C86" s="88"/>
      <c r="D86" s="99" t="str">
        <f t="shared" si="16"/>
        <v>kW</v>
      </c>
      <c r="E86" s="88">
        <f t="shared" si="16"/>
        <v>1074.96</v>
      </c>
      <c r="F86" s="153"/>
      <c r="G86" s="90">
        <f t="shared" si="14"/>
        <v>0</v>
      </c>
    </row>
    <row r="87" spans="2:7" x14ac:dyDescent="0.2">
      <c r="B87" s="98" t="str">
        <f t="shared" si="15"/>
        <v>Embedded Distributor - Hydro One #1, BCP</v>
      </c>
      <c r="C87" s="88"/>
      <c r="D87" s="99" t="str">
        <f t="shared" si="16"/>
        <v>kW</v>
      </c>
      <c r="E87" s="88">
        <f t="shared" si="16"/>
        <v>29994.605248481424</v>
      </c>
      <c r="F87" s="153"/>
      <c r="G87" s="90">
        <f t="shared" si="14"/>
        <v>0</v>
      </c>
    </row>
    <row r="88" spans="2:7" x14ac:dyDescent="0.2">
      <c r="B88" s="98" t="str">
        <f t="shared" si="15"/>
        <v>Embedded Distributor - Hydro One #2, BCP</v>
      </c>
      <c r="C88" s="88"/>
      <c r="D88" s="99" t="str">
        <f t="shared" si="16"/>
        <v>kW</v>
      </c>
      <c r="E88" s="88">
        <f t="shared" si="16"/>
        <v>102972.90667387019</v>
      </c>
      <c r="F88" s="153"/>
      <c r="G88" s="90">
        <f t="shared" si="14"/>
        <v>0</v>
      </c>
    </row>
    <row r="89" spans="2:7" x14ac:dyDescent="0.2">
      <c r="B89" s="84" t="s">
        <v>91</v>
      </c>
      <c r="C89" s="85"/>
      <c r="D89" s="86"/>
      <c r="E89" s="85"/>
      <c r="F89" s="91"/>
      <c r="G89" s="101">
        <f>SUM(G75:G88)</f>
        <v>0</v>
      </c>
    </row>
    <row r="91" spans="2:7" x14ac:dyDescent="0.2">
      <c r="B91" s="136" t="s">
        <v>100</v>
      </c>
      <c r="C91" s="137"/>
      <c r="D91" s="142"/>
      <c r="E91" s="139"/>
      <c r="F91" s="140"/>
      <c r="G91" s="137"/>
    </row>
    <row r="92" spans="2:7" x14ac:dyDescent="0.2">
      <c r="B92" s="135" t="s">
        <v>95</v>
      </c>
      <c r="C92" s="232"/>
      <c r="D92" s="143"/>
      <c r="E92" s="300">
        <v>2018</v>
      </c>
      <c r="F92" s="301"/>
      <c r="G92" s="303"/>
    </row>
    <row r="93" spans="2:7" x14ac:dyDescent="0.2">
      <c r="B93" s="98" t="str">
        <f>B5</f>
        <v xml:space="preserve">Residential </v>
      </c>
      <c r="C93" s="88"/>
      <c r="D93" s="99" t="s">
        <v>89</v>
      </c>
      <c r="E93" s="88">
        <f>E23+E40</f>
        <v>0</v>
      </c>
      <c r="F93" s="100"/>
      <c r="G93" s="90">
        <f t="shared" ref="G93:G105" si="17">E93*F93</f>
        <v>0</v>
      </c>
    </row>
    <row r="94" spans="2:7" x14ac:dyDescent="0.2">
      <c r="B94" s="98" t="str">
        <f t="shared" ref="B94:B105" si="18">B6</f>
        <v>General Service &lt; 50 kW</v>
      </c>
      <c r="C94" s="88"/>
      <c r="D94" s="99" t="s">
        <v>89</v>
      </c>
      <c r="E94" s="88">
        <f t="shared" ref="E94:E105" si="19">E24+E41</f>
        <v>0</v>
      </c>
      <c r="F94" s="100"/>
      <c r="G94" s="90">
        <f t="shared" si="17"/>
        <v>0</v>
      </c>
    </row>
    <row r="95" spans="2:7" x14ac:dyDescent="0.2">
      <c r="B95" s="98" t="str">
        <f t="shared" si="18"/>
        <v>General Service &gt; 50 to 999 kW</v>
      </c>
      <c r="C95" s="88"/>
      <c r="D95" s="99" t="s">
        <v>89</v>
      </c>
      <c r="E95" s="88">
        <f t="shared" si="19"/>
        <v>0</v>
      </c>
      <c r="F95" s="100"/>
      <c r="G95" s="90">
        <f t="shared" si="17"/>
        <v>0</v>
      </c>
    </row>
    <row r="96" spans="2:7" x14ac:dyDescent="0.2">
      <c r="B96" s="98" t="str">
        <f t="shared" si="18"/>
        <v>General Service &gt; 1000 to 4999 kW</v>
      </c>
      <c r="C96" s="88"/>
      <c r="D96" s="99" t="s">
        <v>89</v>
      </c>
      <c r="E96" s="88">
        <f t="shared" si="19"/>
        <v>0</v>
      </c>
      <c r="F96" s="100"/>
      <c r="G96" s="90">
        <f t="shared" si="17"/>
        <v>0</v>
      </c>
    </row>
    <row r="97" spans="2:13" x14ac:dyDescent="0.2">
      <c r="B97" s="98" t="str">
        <f t="shared" si="18"/>
        <v>Large User</v>
      </c>
      <c r="C97" s="88"/>
      <c r="D97" s="99" t="s">
        <v>89</v>
      </c>
      <c r="E97" s="88">
        <f t="shared" si="19"/>
        <v>0</v>
      </c>
      <c r="F97" s="100"/>
      <c r="G97" s="90">
        <f t="shared" si="17"/>
        <v>0</v>
      </c>
    </row>
    <row r="98" spans="2:13" x14ac:dyDescent="0.2">
      <c r="B98" s="98" t="str">
        <f t="shared" si="18"/>
        <v>Street Lights</v>
      </c>
      <c r="C98" s="88"/>
      <c r="D98" s="99" t="s">
        <v>89</v>
      </c>
      <c r="E98" s="88">
        <f t="shared" si="19"/>
        <v>0</v>
      </c>
      <c r="F98" s="100"/>
      <c r="G98" s="90">
        <f t="shared" si="17"/>
        <v>0</v>
      </c>
    </row>
    <row r="99" spans="2:13" x14ac:dyDescent="0.2">
      <c r="B99" s="98" t="str">
        <f t="shared" si="18"/>
        <v>Sentinel Lights</v>
      </c>
      <c r="C99" s="88"/>
      <c r="D99" s="99" t="s">
        <v>89</v>
      </c>
      <c r="E99" s="88">
        <f t="shared" si="19"/>
        <v>0</v>
      </c>
      <c r="F99" s="100"/>
      <c r="G99" s="90">
        <f t="shared" si="17"/>
        <v>0</v>
      </c>
    </row>
    <row r="100" spans="2:13" x14ac:dyDescent="0.2">
      <c r="B100" s="98" t="str">
        <f t="shared" si="18"/>
        <v xml:space="preserve">Unmetered Loads </v>
      </c>
      <c r="C100" s="88"/>
      <c r="D100" s="99" t="s">
        <v>89</v>
      </c>
      <c r="E100" s="88">
        <f t="shared" si="19"/>
        <v>0</v>
      </c>
      <c r="F100" s="100"/>
      <c r="G100" s="90">
        <f t="shared" si="17"/>
        <v>0</v>
      </c>
    </row>
    <row r="101" spans="2:13" x14ac:dyDescent="0.2">
      <c r="B101" s="98" t="str">
        <f t="shared" si="18"/>
        <v>Embedded Distributor - Hydro One, CND</v>
      </c>
      <c r="C101" s="88"/>
      <c r="D101" s="99" t="s">
        <v>89</v>
      </c>
      <c r="E101" s="88">
        <f t="shared" si="19"/>
        <v>0</v>
      </c>
      <c r="F101" s="100"/>
      <c r="G101" s="90">
        <f t="shared" si="17"/>
        <v>0</v>
      </c>
    </row>
    <row r="102" spans="2:13" x14ac:dyDescent="0.2">
      <c r="B102" s="98" t="str">
        <f t="shared" si="18"/>
        <v>Embedded Distributor - Waterloo North, CND</v>
      </c>
      <c r="C102" s="88"/>
      <c r="D102" s="99" t="s">
        <v>89</v>
      </c>
      <c r="E102" s="88">
        <f t="shared" si="19"/>
        <v>0</v>
      </c>
      <c r="F102" s="100"/>
      <c r="G102" s="90">
        <f t="shared" si="17"/>
        <v>0</v>
      </c>
    </row>
    <row r="103" spans="2:13" x14ac:dyDescent="0.2">
      <c r="B103" s="98" t="str">
        <f t="shared" si="18"/>
        <v>Embedded Distributor - Brantford Power, BCP</v>
      </c>
      <c r="C103" s="88"/>
      <c r="D103" s="99" t="s">
        <v>89</v>
      </c>
      <c r="E103" s="88">
        <f t="shared" si="19"/>
        <v>0</v>
      </c>
      <c r="F103" s="100"/>
      <c r="G103" s="90">
        <f t="shared" si="17"/>
        <v>0</v>
      </c>
    </row>
    <row r="104" spans="2:13" x14ac:dyDescent="0.2">
      <c r="B104" s="98" t="str">
        <f t="shared" si="18"/>
        <v>Embedded Distributor - Hydro One #1, BCP</v>
      </c>
      <c r="C104" s="88"/>
      <c r="D104" s="99" t="s">
        <v>89</v>
      </c>
      <c r="E104" s="88">
        <f t="shared" si="19"/>
        <v>0</v>
      </c>
      <c r="F104" s="100"/>
      <c r="G104" s="90">
        <f t="shared" si="17"/>
        <v>0</v>
      </c>
    </row>
    <row r="105" spans="2:13" x14ac:dyDescent="0.2">
      <c r="B105" s="98" t="str">
        <f t="shared" si="18"/>
        <v>Embedded Distributor - Hydro One #2, BCP</v>
      </c>
      <c r="C105" s="88"/>
      <c r="D105" s="99" t="s">
        <v>89</v>
      </c>
      <c r="E105" s="88">
        <f t="shared" si="19"/>
        <v>0</v>
      </c>
      <c r="F105" s="100"/>
      <c r="G105" s="90">
        <f t="shared" si="17"/>
        <v>0</v>
      </c>
    </row>
    <row r="106" spans="2:13" x14ac:dyDescent="0.2">
      <c r="B106" s="84" t="s">
        <v>91</v>
      </c>
      <c r="C106" s="85"/>
      <c r="D106" s="86"/>
      <c r="E106" s="85">
        <f>SUM(E93:E102)</f>
        <v>0</v>
      </c>
      <c r="F106" s="91"/>
      <c r="G106" s="101">
        <f>SUM(G93:G102)</f>
        <v>0</v>
      </c>
    </row>
    <row r="108" spans="2:13" x14ac:dyDescent="0.2">
      <c r="B108" s="136" t="s">
        <v>101</v>
      </c>
      <c r="C108" s="137"/>
      <c r="D108" s="142"/>
      <c r="E108" s="139"/>
      <c r="F108" s="140"/>
      <c r="G108" s="137"/>
    </row>
    <row r="109" spans="2:13" x14ac:dyDescent="0.2">
      <c r="B109" s="135" t="s">
        <v>95</v>
      </c>
      <c r="C109" s="232"/>
      <c r="D109" s="143"/>
      <c r="E109" s="304">
        <v>2018</v>
      </c>
      <c r="F109" s="301"/>
      <c r="G109" s="302"/>
    </row>
    <row r="110" spans="2:13" x14ac:dyDescent="0.2">
      <c r="B110" s="98" t="str">
        <f>B93</f>
        <v xml:space="preserve">Residential </v>
      </c>
      <c r="C110" s="88"/>
      <c r="D110" s="99" t="str">
        <f>D93</f>
        <v>kWh</v>
      </c>
      <c r="E110" s="88">
        <f>E93</f>
        <v>0</v>
      </c>
      <c r="F110" s="154"/>
      <c r="G110" s="90">
        <f t="shared" ref="G110:G122" si="20">E110*F110</f>
        <v>0</v>
      </c>
    </row>
    <row r="111" spans="2:13" x14ac:dyDescent="0.2">
      <c r="B111" s="98" t="str">
        <f t="shared" ref="B111:B122" si="21">B94</f>
        <v>General Service &lt; 50 kW</v>
      </c>
      <c r="C111" s="88"/>
      <c r="D111" s="99" t="str">
        <f t="shared" ref="D111:E122" si="22">D94</f>
        <v>kWh</v>
      </c>
      <c r="E111" s="88">
        <f t="shared" si="22"/>
        <v>0</v>
      </c>
      <c r="F111" s="154"/>
      <c r="G111" s="90">
        <f t="shared" si="20"/>
        <v>0</v>
      </c>
    </row>
    <row r="112" spans="2:13" x14ac:dyDescent="0.2">
      <c r="B112" s="98" t="str">
        <f t="shared" si="21"/>
        <v>General Service &gt; 50 to 999 kW</v>
      </c>
      <c r="C112" s="88"/>
      <c r="D112" s="99" t="str">
        <f t="shared" si="22"/>
        <v>kWh</v>
      </c>
      <c r="E112" s="88">
        <f t="shared" si="22"/>
        <v>0</v>
      </c>
      <c r="F112" s="154"/>
      <c r="G112" s="90">
        <f t="shared" si="20"/>
        <v>0</v>
      </c>
      <c r="I112" t="s">
        <v>137</v>
      </c>
      <c r="J112" t="s">
        <v>137</v>
      </c>
      <c r="K112" t="s">
        <v>137</v>
      </c>
      <c r="L112" t="s">
        <v>137</v>
      </c>
      <c r="M112" t="s">
        <v>137</v>
      </c>
    </row>
    <row r="113" spans="2:7" x14ac:dyDescent="0.2">
      <c r="B113" s="98" t="str">
        <f t="shared" si="21"/>
        <v>General Service &gt; 1000 to 4999 kW</v>
      </c>
      <c r="C113" s="88"/>
      <c r="D113" s="99" t="str">
        <f t="shared" si="22"/>
        <v>kWh</v>
      </c>
      <c r="E113" s="88">
        <f t="shared" si="22"/>
        <v>0</v>
      </c>
      <c r="F113" s="154"/>
      <c r="G113" s="90">
        <f t="shared" si="20"/>
        <v>0</v>
      </c>
    </row>
    <row r="114" spans="2:7" x14ac:dyDescent="0.2">
      <c r="B114" s="98" t="str">
        <f t="shared" si="21"/>
        <v>Large User</v>
      </c>
      <c r="C114" s="88"/>
      <c r="D114" s="99" t="str">
        <f t="shared" si="22"/>
        <v>kWh</v>
      </c>
      <c r="E114" s="88">
        <f t="shared" si="22"/>
        <v>0</v>
      </c>
      <c r="F114" s="154"/>
      <c r="G114" s="90">
        <f t="shared" si="20"/>
        <v>0</v>
      </c>
    </row>
    <row r="115" spans="2:7" x14ac:dyDescent="0.2">
      <c r="B115" s="98" t="str">
        <f t="shared" si="21"/>
        <v>Street Lights</v>
      </c>
      <c r="C115" s="88"/>
      <c r="D115" s="99" t="str">
        <f t="shared" si="22"/>
        <v>kWh</v>
      </c>
      <c r="E115" s="88">
        <f t="shared" si="22"/>
        <v>0</v>
      </c>
      <c r="F115" s="154"/>
      <c r="G115" s="90">
        <f t="shared" si="20"/>
        <v>0</v>
      </c>
    </row>
    <row r="116" spans="2:7" x14ac:dyDescent="0.2">
      <c r="B116" s="98" t="str">
        <f t="shared" si="21"/>
        <v>Sentinel Lights</v>
      </c>
      <c r="C116" s="88"/>
      <c r="D116" s="99" t="str">
        <f t="shared" si="22"/>
        <v>kWh</v>
      </c>
      <c r="E116" s="88">
        <f t="shared" si="22"/>
        <v>0</v>
      </c>
      <c r="F116" s="154"/>
      <c r="G116" s="90">
        <f t="shared" si="20"/>
        <v>0</v>
      </c>
    </row>
    <row r="117" spans="2:7" x14ac:dyDescent="0.2">
      <c r="B117" s="98" t="str">
        <f t="shared" si="21"/>
        <v xml:space="preserve">Unmetered Loads </v>
      </c>
      <c r="C117" s="88"/>
      <c r="D117" s="99" t="str">
        <f t="shared" si="22"/>
        <v>kWh</v>
      </c>
      <c r="E117" s="88">
        <f t="shared" si="22"/>
        <v>0</v>
      </c>
      <c r="F117" s="154"/>
      <c r="G117" s="90">
        <f t="shared" si="20"/>
        <v>0</v>
      </c>
    </row>
    <row r="118" spans="2:7" x14ac:dyDescent="0.2">
      <c r="B118" s="98" t="str">
        <f t="shared" si="21"/>
        <v>Embedded Distributor - Hydro One, CND</v>
      </c>
      <c r="C118" s="88"/>
      <c r="D118" s="99" t="str">
        <f t="shared" si="22"/>
        <v>kWh</v>
      </c>
      <c r="E118" s="88">
        <f t="shared" si="22"/>
        <v>0</v>
      </c>
      <c r="F118" s="154"/>
      <c r="G118" s="90">
        <f t="shared" si="20"/>
        <v>0</v>
      </c>
    </row>
    <row r="119" spans="2:7" x14ac:dyDescent="0.2">
      <c r="B119" s="98" t="str">
        <f t="shared" si="21"/>
        <v>Embedded Distributor - Waterloo North, CND</v>
      </c>
      <c r="C119" s="88"/>
      <c r="D119" s="99" t="str">
        <f t="shared" si="22"/>
        <v>kWh</v>
      </c>
      <c r="E119" s="88">
        <f t="shared" si="22"/>
        <v>0</v>
      </c>
      <c r="F119" s="154"/>
      <c r="G119" s="90">
        <f t="shared" si="20"/>
        <v>0</v>
      </c>
    </row>
    <row r="120" spans="2:7" x14ac:dyDescent="0.2">
      <c r="B120" s="98" t="str">
        <f t="shared" si="21"/>
        <v>Embedded Distributor - Brantford Power, BCP</v>
      </c>
      <c r="C120" s="88"/>
      <c r="D120" s="99" t="str">
        <f t="shared" si="22"/>
        <v>kWh</v>
      </c>
      <c r="E120" s="88">
        <f t="shared" si="22"/>
        <v>0</v>
      </c>
      <c r="F120" s="154"/>
      <c r="G120" s="90">
        <f t="shared" si="20"/>
        <v>0</v>
      </c>
    </row>
    <row r="121" spans="2:7" x14ac:dyDescent="0.2">
      <c r="B121" s="98" t="str">
        <f t="shared" si="21"/>
        <v>Embedded Distributor - Hydro One #1, BCP</v>
      </c>
      <c r="C121" s="88"/>
      <c r="D121" s="99" t="str">
        <f t="shared" si="22"/>
        <v>kWh</v>
      </c>
      <c r="E121" s="88">
        <f t="shared" si="22"/>
        <v>0</v>
      </c>
      <c r="F121" s="154"/>
      <c r="G121" s="90">
        <f t="shared" si="20"/>
        <v>0</v>
      </c>
    </row>
    <row r="122" spans="2:7" x14ac:dyDescent="0.2">
      <c r="B122" s="98" t="str">
        <f t="shared" si="21"/>
        <v>Embedded Distributor - Hydro One #2, BCP</v>
      </c>
      <c r="C122" s="88"/>
      <c r="D122" s="99" t="str">
        <f t="shared" si="22"/>
        <v>kWh</v>
      </c>
      <c r="E122" s="88">
        <f t="shared" si="22"/>
        <v>0</v>
      </c>
      <c r="F122" s="154"/>
      <c r="G122" s="90">
        <f t="shared" si="20"/>
        <v>0</v>
      </c>
    </row>
    <row r="123" spans="2:7" x14ac:dyDescent="0.2">
      <c r="B123" s="84" t="s">
        <v>91</v>
      </c>
      <c r="C123" s="85"/>
      <c r="D123" s="86"/>
      <c r="E123" s="85">
        <f>SUM(E110:E119)</f>
        <v>0</v>
      </c>
      <c r="F123" s="91"/>
      <c r="G123" s="101">
        <f>SUM(G110:G119)</f>
        <v>0</v>
      </c>
    </row>
    <row r="125" spans="2:7" x14ac:dyDescent="0.2">
      <c r="B125" s="144"/>
      <c r="C125" s="145">
        <v>2018</v>
      </c>
    </row>
    <row r="126" spans="2:7" x14ac:dyDescent="0.2">
      <c r="B126" s="59"/>
      <c r="C126" s="102"/>
    </row>
    <row r="127" spans="2:7" x14ac:dyDescent="0.2">
      <c r="B127" s="56" t="s">
        <v>102</v>
      </c>
      <c r="C127" s="103">
        <f>G36+G53</f>
        <v>0</v>
      </c>
    </row>
    <row r="128" spans="2:7" x14ac:dyDescent="0.2">
      <c r="B128" s="56" t="s">
        <v>103</v>
      </c>
      <c r="C128" s="104">
        <f>G106</f>
        <v>0</v>
      </c>
    </row>
    <row r="129" spans="2:3" x14ac:dyDescent="0.2">
      <c r="B129" s="56" t="s">
        <v>104</v>
      </c>
      <c r="C129" s="104">
        <f>G71</f>
        <v>0</v>
      </c>
    </row>
    <row r="130" spans="2:3" x14ac:dyDescent="0.2">
      <c r="B130" s="56" t="s">
        <v>105</v>
      </c>
      <c r="C130" s="104">
        <f>G89</f>
        <v>0</v>
      </c>
    </row>
    <row r="131" spans="2:3" x14ac:dyDescent="0.2">
      <c r="B131" s="56" t="s">
        <v>106</v>
      </c>
      <c r="C131" s="104">
        <f>G123</f>
        <v>0</v>
      </c>
    </row>
    <row r="132" spans="2:3" x14ac:dyDescent="0.2">
      <c r="B132" s="56" t="s">
        <v>107</v>
      </c>
      <c r="C132" s="233"/>
    </row>
    <row r="133" spans="2:3" x14ac:dyDescent="0.2">
      <c r="B133" s="147" t="s">
        <v>136</v>
      </c>
      <c r="C133" s="233"/>
    </row>
    <row r="134" spans="2:3" x14ac:dyDescent="0.2">
      <c r="B134" s="63" t="s">
        <v>91</v>
      </c>
      <c r="C134" s="85">
        <f>SUM(C127:C133)</f>
        <v>0</v>
      </c>
    </row>
  </sheetData>
  <mergeCells count="11">
    <mergeCell ref="E56:G56"/>
    <mergeCell ref="E74:G74"/>
    <mergeCell ref="E92:G92"/>
    <mergeCell ref="E109:G109"/>
    <mergeCell ref="B3:E3"/>
    <mergeCell ref="C21:C22"/>
    <mergeCell ref="D21:D22"/>
    <mergeCell ref="E21:G22"/>
    <mergeCell ref="C38:C39"/>
    <mergeCell ref="D38:D39"/>
    <mergeCell ref="E38:G3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4"/>
  <sheetViews>
    <sheetView topLeftCell="A88" workbookViewId="0"/>
  </sheetViews>
  <sheetFormatPr defaultRowHeight="12.75" x14ac:dyDescent="0.2"/>
  <cols>
    <col min="1" max="1" width="1.28515625" customWidth="1"/>
    <col min="2" max="2" width="40.5703125" customWidth="1"/>
    <col min="3" max="3" width="18.85546875" customWidth="1"/>
    <col min="4" max="4" width="10.28515625" bestFit="1" customWidth="1"/>
    <col min="5" max="5" width="13.42578125" bestFit="1" customWidth="1"/>
    <col min="6" max="6" width="9.28515625" bestFit="1" customWidth="1"/>
    <col min="7" max="7" width="11.7109375" bestFit="1" customWidth="1"/>
    <col min="11" max="11" width="12.7109375" bestFit="1" customWidth="1"/>
  </cols>
  <sheetData>
    <row r="2" spans="2:12" ht="13.5" thickBot="1" x14ac:dyDescent="0.25"/>
    <row r="3" spans="2:12" ht="13.5" thickBot="1" x14ac:dyDescent="0.25">
      <c r="B3" s="305" t="s">
        <v>181</v>
      </c>
      <c r="C3" s="306"/>
      <c r="D3" s="306"/>
      <c r="E3" s="307"/>
    </row>
    <row r="4" spans="2:12" x14ac:dyDescent="0.2">
      <c r="B4" s="146" t="s">
        <v>182</v>
      </c>
      <c r="C4" s="68" t="s">
        <v>89</v>
      </c>
      <c r="D4" s="68" t="s">
        <v>90</v>
      </c>
      <c r="E4" s="68" t="s">
        <v>185</v>
      </c>
    </row>
    <row r="5" spans="2:12" x14ac:dyDescent="0.2">
      <c r="B5" s="80" t="s">
        <v>1</v>
      </c>
      <c r="C5" s="81">
        <f>Summary!K17</f>
        <v>455917687.37380087</v>
      </c>
      <c r="D5" s="82"/>
      <c r="E5" s="133">
        <v>0.9224</v>
      </c>
      <c r="I5" s="132"/>
      <c r="J5" s="58"/>
      <c r="K5" s="58"/>
      <c r="L5" s="58"/>
    </row>
    <row r="6" spans="2:12" x14ac:dyDescent="0.2">
      <c r="B6" s="80" t="s">
        <v>138</v>
      </c>
      <c r="C6" s="81">
        <f>Summary!K21</f>
        <v>191662012.20038912</v>
      </c>
      <c r="D6" s="82"/>
      <c r="E6" s="133">
        <v>0.85560000000000003</v>
      </c>
      <c r="I6" s="132"/>
      <c r="J6" s="58"/>
      <c r="K6" s="58"/>
      <c r="L6" s="58"/>
    </row>
    <row r="7" spans="2:12" x14ac:dyDescent="0.2">
      <c r="B7" s="80" t="s">
        <v>139</v>
      </c>
      <c r="C7" s="81">
        <f>Summary!K25</f>
        <v>487508783.298621</v>
      </c>
      <c r="D7" s="83">
        <f>Summary!K26</f>
        <v>1538558.4780661359</v>
      </c>
      <c r="E7" s="133">
        <v>0.32790000000000002</v>
      </c>
      <c r="I7" s="132"/>
      <c r="J7" s="58"/>
      <c r="K7" s="58"/>
      <c r="L7" s="58"/>
    </row>
    <row r="8" spans="2:12" x14ac:dyDescent="0.2">
      <c r="B8" s="80" t="s">
        <v>140</v>
      </c>
      <c r="C8" s="81">
        <f>Summary!K30</f>
        <v>228523285.78499964</v>
      </c>
      <c r="D8" s="83">
        <f>Summary!K31</f>
        <v>536325.42448888335</v>
      </c>
      <c r="E8" s="133">
        <v>0</v>
      </c>
      <c r="I8" s="132"/>
      <c r="J8" s="58"/>
      <c r="K8" s="58"/>
      <c r="L8" s="58"/>
    </row>
    <row r="9" spans="2:12" x14ac:dyDescent="0.2">
      <c r="B9" s="80" t="s">
        <v>113</v>
      </c>
      <c r="C9" s="81">
        <f>Summary!K35</f>
        <v>145141006.46077192</v>
      </c>
      <c r="D9" s="83">
        <f>Summary!K36</f>
        <v>361276.31069675618</v>
      </c>
      <c r="E9" s="133">
        <v>0</v>
      </c>
      <c r="I9" s="132"/>
      <c r="J9" s="58"/>
      <c r="K9" s="58"/>
      <c r="L9" s="58"/>
    </row>
    <row r="10" spans="2:12" x14ac:dyDescent="0.2">
      <c r="B10" s="80" t="s">
        <v>66</v>
      </c>
      <c r="C10" s="81">
        <f>Summary!K44</f>
        <v>3798280.8279070696</v>
      </c>
      <c r="D10" s="83">
        <f>Summary!K45</f>
        <v>10945.463296866632</v>
      </c>
      <c r="E10" s="133">
        <v>0</v>
      </c>
      <c r="I10" s="132"/>
      <c r="J10" s="58"/>
      <c r="K10" s="58"/>
      <c r="L10" s="58"/>
    </row>
    <row r="11" spans="2:12" x14ac:dyDescent="0.2">
      <c r="B11" s="80" t="str">
        <f>Summary!A47</f>
        <v>Sentinel Lights</v>
      </c>
      <c r="C11" s="81">
        <f>Summary!K49</f>
        <v>126989.00000000001</v>
      </c>
      <c r="D11" s="83">
        <f>Summary!K50</f>
        <v>342.92000000000007</v>
      </c>
      <c r="E11" s="133">
        <v>0</v>
      </c>
      <c r="I11" s="132"/>
      <c r="J11" s="58"/>
      <c r="K11" s="58"/>
      <c r="L11" s="58"/>
    </row>
    <row r="12" spans="2:12" x14ac:dyDescent="0.2">
      <c r="B12" s="80" t="s">
        <v>2</v>
      </c>
      <c r="C12" s="81">
        <f>Summary!K54</f>
        <v>2273987.9970972422</v>
      </c>
      <c r="D12" s="83"/>
      <c r="E12" s="133">
        <v>0.998</v>
      </c>
      <c r="I12" s="132"/>
      <c r="J12" s="58"/>
      <c r="K12" s="58"/>
      <c r="L12" s="58"/>
    </row>
    <row r="13" spans="2:12" x14ac:dyDescent="0.2">
      <c r="B13" s="80" t="str">
        <f>Summary!A56</f>
        <v>Embedded Distributor - Hydro One, CND</v>
      </c>
      <c r="C13" s="81">
        <f>Summary!K58</f>
        <v>12605162.219999999</v>
      </c>
      <c r="D13" s="83">
        <f>Summary!K59</f>
        <v>24387.435638304029</v>
      </c>
      <c r="E13" s="133">
        <v>0</v>
      </c>
      <c r="I13" s="132"/>
      <c r="J13" s="58"/>
      <c r="K13" s="58"/>
      <c r="L13" s="58"/>
    </row>
    <row r="14" spans="2:12" x14ac:dyDescent="0.2">
      <c r="B14" s="80" t="str">
        <f>Summary!A61</f>
        <v>Embedded Distributor - Waterloo North, CND</v>
      </c>
      <c r="C14" s="81">
        <f>Summary!K63</f>
        <v>58104381.490000002</v>
      </c>
      <c r="D14" s="83">
        <f>Summary!K64</f>
        <v>114656.88436169598</v>
      </c>
      <c r="E14" s="133">
        <v>0</v>
      </c>
      <c r="I14" s="132"/>
      <c r="J14" s="58"/>
      <c r="K14" s="58"/>
      <c r="L14" s="58"/>
    </row>
    <row r="15" spans="2:12" x14ac:dyDescent="0.2">
      <c r="B15" s="80" t="str">
        <f>Summary!A66</f>
        <v>Embedded Distributor - Brantford Power, BCP</v>
      </c>
      <c r="C15" s="81">
        <f>Summary!K68</f>
        <v>347756.59287776717</v>
      </c>
      <c r="D15" s="83">
        <f>Summary!K69</f>
        <v>1074.96</v>
      </c>
      <c r="E15" s="133">
        <v>0</v>
      </c>
    </row>
    <row r="16" spans="2:12" x14ac:dyDescent="0.2">
      <c r="B16" s="80" t="str">
        <f>Summary!A71</f>
        <v>Embedded Distributor - Hydro One #1, BCP</v>
      </c>
      <c r="C16" s="81">
        <f>Summary!K73</f>
        <v>12191720.381133871</v>
      </c>
      <c r="D16" s="83">
        <f>Summary!K74</f>
        <v>29994.605248481424</v>
      </c>
      <c r="E16" s="133">
        <v>0</v>
      </c>
    </row>
    <row r="17" spans="2:15" x14ac:dyDescent="0.2">
      <c r="B17" s="80" t="str">
        <f>Summary!A76</f>
        <v>Embedded Distributor - Hydro One #2, BCP</v>
      </c>
      <c r="C17" s="81">
        <f>Summary!K78</f>
        <v>43274121.534063838</v>
      </c>
      <c r="D17" s="83">
        <f>Summary!K79</f>
        <v>102972.90667387019</v>
      </c>
      <c r="E17" s="133">
        <v>0</v>
      </c>
    </row>
    <row r="18" spans="2:15" x14ac:dyDescent="0.2">
      <c r="B18" s="84" t="s">
        <v>91</v>
      </c>
      <c r="C18" s="85">
        <f>SUM(C5:C17)</f>
        <v>1641475175.1616626</v>
      </c>
      <c r="D18" s="85">
        <f>SUM(D5:D17)</f>
        <v>2720535.3884709929</v>
      </c>
      <c r="E18" s="85"/>
      <c r="J18" s="55"/>
      <c r="K18" s="55"/>
      <c r="L18" s="55"/>
      <c r="M18" s="55"/>
      <c r="N18" s="234"/>
    </row>
    <row r="19" spans="2:15" x14ac:dyDescent="0.2">
      <c r="C19" s="55"/>
      <c r="D19" s="55"/>
    </row>
    <row r="21" spans="2:15" x14ac:dyDescent="0.2">
      <c r="B21" s="134" t="s">
        <v>92</v>
      </c>
      <c r="C21" s="308" t="s">
        <v>183</v>
      </c>
      <c r="D21" s="310" t="s">
        <v>184</v>
      </c>
      <c r="E21" s="312">
        <v>2019</v>
      </c>
      <c r="F21" s="313"/>
      <c r="G21" s="314"/>
    </row>
    <row r="22" spans="2:15" x14ac:dyDescent="0.2">
      <c r="B22" s="135" t="s">
        <v>93</v>
      </c>
      <c r="C22" s="309"/>
      <c r="D22" s="311"/>
      <c r="E22" s="300"/>
      <c r="F22" s="301"/>
      <c r="G22" s="302"/>
    </row>
    <row r="23" spans="2:15" ht="15" x14ac:dyDescent="0.25">
      <c r="B23" s="60" t="str">
        <f>B5</f>
        <v xml:space="preserve">Residential </v>
      </c>
      <c r="C23" s="81">
        <f>C5*E5</f>
        <v>420538474.8335939</v>
      </c>
      <c r="D23" s="87"/>
      <c r="E23" s="88">
        <f t="shared" ref="E23:E35" si="0">C23*D23</f>
        <v>0</v>
      </c>
      <c r="F23" s="148"/>
      <c r="G23" s="90">
        <f t="shared" ref="G23:G35" si="1">E23*F23</f>
        <v>0</v>
      </c>
      <c r="J23" s="149" t="s">
        <v>137</v>
      </c>
      <c r="K23" s="149"/>
      <c r="L23" s="149"/>
      <c r="M23" s="150" t="s">
        <v>137</v>
      </c>
      <c r="N23" s="151" t="s">
        <v>137</v>
      </c>
      <c r="O23" s="149" t="s">
        <v>137</v>
      </c>
    </row>
    <row r="24" spans="2:15" ht="15" x14ac:dyDescent="0.25">
      <c r="B24" s="60" t="str">
        <f t="shared" ref="B24:B35" si="2">B6</f>
        <v>General Service &lt; 50 kW</v>
      </c>
      <c r="C24" s="81">
        <f t="shared" ref="C24:C35" si="3">C6*E6</f>
        <v>163986017.63865292</v>
      </c>
      <c r="D24" s="87"/>
      <c r="E24" s="88">
        <f t="shared" si="0"/>
        <v>0</v>
      </c>
      <c r="F24" s="148"/>
      <c r="G24" s="90">
        <f t="shared" si="1"/>
        <v>0</v>
      </c>
      <c r="J24" s="149" t="s">
        <v>137</v>
      </c>
      <c r="K24" s="149"/>
      <c r="L24" s="149"/>
      <c r="M24" s="150" t="s">
        <v>137</v>
      </c>
      <c r="N24" s="151" t="s">
        <v>137</v>
      </c>
      <c r="O24" s="149" t="s">
        <v>137</v>
      </c>
    </row>
    <row r="25" spans="2:15" ht="15" x14ac:dyDescent="0.25">
      <c r="B25" s="60" t="str">
        <f t="shared" si="2"/>
        <v>General Service &gt; 50 to 999 kW</v>
      </c>
      <c r="C25" s="81">
        <f t="shared" si="3"/>
        <v>159854130.04361784</v>
      </c>
      <c r="D25" s="87"/>
      <c r="E25" s="88">
        <f t="shared" si="0"/>
        <v>0</v>
      </c>
      <c r="F25" s="148"/>
      <c r="G25" s="90">
        <f t="shared" si="1"/>
        <v>0</v>
      </c>
      <c r="J25" s="149" t="s">
        <v>137</v>
      </c>
      <c r="K25" s="149"/>
      <c r="L25" s="149"/>
      <c r="M25" s="150" t="s">
        <v>137</v>
      </c>
      <c r="N25" s="151" t="s">
        <v>137</v>
      </c>
      <c r="O25" s="149" t="s">
        <v>137</v>
      </c>
    </row>
    <row r="26" spans="2:15" ht="15" x14ac:dyDescent="0.25">
      <c r="B26" s="60" t="str">
        <f t="shared" si="2"/>
        <v>General Service &gt; 1000 to 4999 kW</v>
      </c>
      <c r="C26" s="81">
        <f t="shared" si="3"/>
        <v>0</v>
      </c>
      <c r="D26" s="87"/>
      <c r="E26" s="88">
        <f t="shared" si="0"/>
        <v>0</v>
      </c>
      <c r="F26" s="148"/>
      <c r="G26" s="90">
        <f t="shared" si="1"/>
        <v>0</v>
      </c>
      <c r="J26" s="149"/>
      <c r="K26" s="149"/>
      <c r="L26" s="149"/>
      <c r="M26" s="149"/>
      <c r="N26" s="149"/>
      <c r="O26" s="150" t="s">
        <v>137</v>
      </c>
    </row>
    <row r="27" spans="2:15" x14ac:dyDescent="0.2">
      <c r="B27" s="60" t="str">
        <f t="shared" si="2"/>
        <v>Large User</v>
      </c>
      <c r="C27" s="81">
        <f t="shared" si="3"/>
        <v>0</v>
      </c>
      <c r="D27" s="87"/>
      <c r="E27" s="88">
        <f t="shared" si="0"/>
        <v>0</v>
      </c>
      <c r="F27" s="148"/>
      <c r="G27" s="90">
        <f t="shared" si="1"/>
        <v>0</v>
      </c>
    </row>
    <row r="28" spans="2:15" x14ac:dyDescent="0.2">
      <c r="B28" s="60" t="str">
        <f t="shared" si="2"/>
        <v>Street Lights</v>
      </c>
      <c r="C28" s="81">
        <f t="shared" si="3"/>
        <v>0</v>
      </c>
      <c r="D28" s="87"/>
      <c r="E28" s="88">
        <f t="shared" si="0"/>
        <v>0</v>
      </c>
      <c r="F28" s="148"/>
      <c r="G28" s="90">
        <f t="shared" si="1"/>
        <v>0</v>
      </c>
    </row>
    <row r="29" spans="2:15" x14ac:dyDescent="0.2">
      <c r="B29" s="60" t="str">
        <f t="shared" si="2"/>
        <v>Sentinel Lights</v>
      </c>
      <c r="C29" s="81">
        <f t="shared" si="3"/>
        <v>0</v>
      </c>
      <c r="D29" s="87"/>
      <c r="E29" s="88">
        <f t="shared" si="0"/>
        <v>0</v>
      </c>
      <c r="F29" s="148"/>
      <c r="G29" s="90">
        <f t="shared" si="1"/>
        <v>0</v>
      </c>
    </row>
    <row r="30" spans="2:15" x14ac:dyDescent="0.2">
      <c r="B30" s="60" t="str">
        <f t="shared" si="2"/>
        <v xml:space="preserve">Unmetered Loads </v>
      </c>
      <c r="C30" s="81">
        <f t="shared" si="3"/>
        <v>2269440.0211030478</v>
      </c>
      <c r="D30" s="87"/>
      <c r="E30" s="88">
        <f t="shared" si="0"/>
        <v>0</v>
      </c>
      <c r="F30" s="148"/>
      <c r="G30" s="90">
        <f t="shared" si="1"/>
        <v>0</v>
      </c>
    </row>
    <row r="31" spans="2:15" x14ac:dyDescent="0.2">
      <c r="B31" s="60" t="str">
        <f t="shared" si="2"/>
        <v>Embedded Distributor - Hydro One, CND</v>
      </c>
      <c r="C31" s="81">
        <f t="shared" si="3"/>
        <v>0</v>
      </c>
      <c r="D31" s="87"/>
      <c r="E31" s="88">
        <f t="shared" si="0"/>
        <v>0</v>
      </c>
      <c r="F31" s="148"/>
      <c r="G31" s="90">
        <f t="shared" si="1"/>
        <v>0</v>
      </c>
    </row>
    <row r="32" spans="2:15" x14ac:dyDescent="0.2">
      <c r="B32" s="60" t="str">
        <f t="shared" si="2"/>
        <v>Embedded Distributor - Waterloo North, CND</v>
      </c>
      <c r="C32" s="81">
        <f t="shared" si="3"/>
        <v>0</v>
      </c>
      <c r="D32" s="87"/>
      <c r="E32" s="88">
        <f t="shared" si="0"/>
        <v>0</v>
      </c>
      <c r="F32" s="148"/>
      <c r="G32" s="90">
        <f t="shared" si="1"/>
        <v>0</v>
      </c>
    </row>
    <row r="33" spans="2:7" x14ac:dyDescent="0.2">
      <c r="B33" s="60" t="str">
        <f t="shared" si="2"/>
        <v>Embedded Distributor - Brantford Power, BCP</v>
      </c>
      <c r="C33" s="81">
        <f t="shared" si="3"/>
        <v>0</v>
      </c>
      <c r="D33" s="87"/>
      <c r="E33" s="88">
        <f t="shared" si="0"/>
        <v>0</v>
      </c>
      <c r="F33" s="148"/>
      <c r="G33" s="90">
        <f t="shared" si="1"/>
        <v>0</v>
      </c>
    </row>
    <row r="34" spans="2:7" x14ac:dyDescent="0.2">
      <c r="B34" s="60" t="str">
        <f>B16</f>
        <v>Embedded Distributor - Hydro One #1, BCP</v>
      </c>
      <c r="C34" s="81">
        <f t="shared" si="3"/>
        <v>0</v>
      </c>
      <c r="D34" s="87"/>
      <c r="E34" s="88">
        <f t="shared" si="0"/>
        <v>0</v>
      </c>
      <c r="F34" s="148"/>
      <c r="G34" s="90">
        <f t="shared" si="1"/>
        <v>0</v>
      </c>
    </row>
    <row r="35" spans="2:7" x14ac:dyDescent="0.2">
      <c r="B35" s="60" t="str">
        <f t="shared" si="2"/>
        <v>Embedded Distributor - Hydro One #2, BCP</v>
      </c>
      <c r="C35" s="81">
        <f t="shared" si="3"/>
        <v>0</v>
      </c>
      <c r="D35" s="87"/>
      <c r="E35" s="88">
        <f t="shared" si="0"/>
        <v>0</v>
      </c>
      <c r="F35" s="148"/>
      <c r="G35" s="90">
        <f t="shared" si="1"/>
        <v>0</v>
      </c>
    </row>
    <row r="36" spans="2:7" x14ac:dyDescent="0.2">
      <c r="B36" s="84" t="s">
        <v>91</v>
      </c>
      <c r="C36" s="85">
        <f>SUM(C23:C35)</f>
        <v>746648062.53696775</v>
      </c>
      <c r="D36" s="86"/>
      <c r="E36" s="85">
        <f>SUM(E23:E35)</f>
        <v>0</v>
      </c>
      <c r="F36" s="152"/>
      <c r="G36" s="92">
        <f>SUM(G23:G35)</f>
        <v>0</v>
      </c>
    </row>
    <row r="37" spans="2:7" x14ac:dyDescent="0.2">
      <c r="B37" s="93"/>
      <c r="C37" s="94"/>
      <c r="D37" s="95"/>
      <c r="E37" s="94"/>
      <c r="F37" s="96"/>
      <c r="G37" s="97"/>
    </row>
    <row r="38" spans="2:7" x14ac:dyDescent="0.2">
      <c r="B38" s="134" t="s">
        <v>94</v>
      </c>
      <c r="C38" s="308" t="s">
        <v>183</v>
      </c>
      <c r="D38" s="310" t="s">
        <v>184</v>
      </c>
      <c r="E38" s="312">
        <v>2019</v>
      </c>
      <c r="F38" s="313"/>
      <c r="G38" s="314"/>
    </row>
    <row r="39" spans="2:7" x14ac:dyDescent="0.2">
      <c r="B39" s="135" t="s">
        <v>95</v>
      </c>
      <c r="C39" s="309"/>
      <c r="D39" s="311"/>
      <c r="E39" s="300"/>
      <c r="F39" s="301"/>
      <c r="G39" s="302"/>
    </row>
    <row r="40" spans="2:7" x14ac:dyDescent="0.2">
      <c r="B40" s="60" t="str">
        <f>B23</f>
        <v xml:space="preserve">Residential </v>
      </c>
      <c r="C40" s="81">
        <f>C5-C23</f>
        <v>35379212.540206969</v>
      </c>
      <c r="D40" s="82">
        <f>D23</f>
        <v>0</v>
      </c>
      <c r="E40" s="88">
        <f t="shared" ref="E40:E52" si="4">C40*D40</f>
        <v>0</v>
      </c>
      <c r="F40" s="89"/>
      <c r="G40" s="90">
        <f t="shared" ref="G40:G52" si="5">E40*F40</f>
        <v>0</v>
      </c>
    </row>
    <row r="41" spans="2:7" x14ac:dyDescent="0.2">
      <c r="B41" s="60" t="str">
        <f t="shared" ref="B41:B52" si="6">B24</f>
        <v>General Service &lt; 50 kW</v>
      </c>
      <c r="C41" s="81">
        <f t="shared" ref="C41:C52" si="7">C6-C24</f>
        <v>27675994.561736196</v>
      </c>
      <c r="D41" s="82">
        <f t="shared" ref="D41:D52" si="8">D24</f>
        <v>0</v>
      </c>
      <c r="E41" s="88">
        <f t="shared" si="4"/>
        <v>0</v>
      </c>
      <c r="F41" s="89"/>
      <c r="G41" s="90">
        <f t="shared" si="5"/>
        <v>0</v>
      </c>
    </row>
    <row r="42" spans="2:7" x14ac:dyDescent="0.2">
      <c r="B42" s="60" t="str">
        <f t="shared" si="6"/>
        <v>General Service &gt; 50 to 999 kW</v>
      </c>
      <c r="C42" s="81">
        <f t="shared" si="7"/>
        <v>327654653.25500315</v>
      </c>
      <c r="D42" s="82">
        <f t="shared" si="8"/>
        <v>0</v>
      </c>
      <c r="E42" s="88">
        <f t="shared" si="4"/>
        <v>0</v>
      </c>
      <c r="F42" s="89"/>
      <c r="G42" s="90">
        <f t="shared" si="5"/>
        <v>0</v>
      </c>
    </row>
    <row r="43" spans="2:7" x14ac:dyDescent="0.2">
      <c r="B43" s="60" t="str">
        <f t="shared" si="6"/>
        <v>General Service &gt; 1000 to 4999 kW</v>
      </c>
      <c r="C43" s="81">
        <f t="shared" si="7"/>
        <v>228523285.78499964</v>
      </c>
      <c r="D43" s="82">
        <f t="shared" si="8"/>
        <v>0</v>
      </c>
      <c r="E43" s="88">
        <f t="shared" si="4"/>
        <v>0</v>
      </c>
      <c r="F43" s="89"/>
      <c r="G43" s="90">
        <f t="shared" si="5"/>
        <v>0</v>
      </c>
    </row>
    <row r="44" spans="2:7" x14ac:dyDescent="0.2">
      <c r="B44" s="60" t="str">
        <f t="shared" si="6"/>
        <v>Large User</v>
      </c>
      <c r="C44" s="81">
        <f t="shared" si="7"/>
        <v>145141006.46077192</v>
      </c>
      <c r="D44" s="82">
        <f t="shared" si="8"/>
        <v>0</v>
      </c>
      <c r="E44" s="88">
        <f t="shared" si="4"/>
        <v>0</v>
      </c>
      <c r="F44" s="89"/>
      <c r="G44" s="90">
        <f t="shared" si="5"/>
        <v>0</v>
      </c>
    </row>
    <row r="45" spans="2:7" x14ac:dyDescent="0.2">
      <c r="B45" s="60" t="str">
        <f t="shared" si="6"/>
        <v>Street Lights</v>
      </c>
      <c r="C45" s="81">
        <f t="shared" si="7"/>
        <v>3798280.8279070696</v>
      </c>
      <c r="D45" s="82">
        <f t="shared" si="8"/>
        <v>0</v>
      </c>
      <c r="E45" s="88">
        <f t="shared" si="4"/>
        <v>0</v>
      </c>
      <c r="F45" s="89"/>
      <c r="G45" s="90">
        <f t="shared" si="5"/>
        <v>0</v>
      </c>
    </row>
    <row r="46" spans="2:7" x14ac:dyDescent="0.2">
      <c r="B46" s="60" t="str">
        <f t="shared" si="6"/>
        <v>Sentinel Lights</v>
      </c>
      <c r="C46" s="81">
        <f t="shared" si="7"/>
        <v>126989.00000000001</v>
      </c>
      <c r="D46" s="82">
        <f t="shared" si="8"/>
        <v>0</v>
      </c>
      <c r="E46" s="88">
        <f t="shared" si="4"/>
        <v>0</v>
      </c>
      <c r="F46" s="89"/>
      <c r="G46" s="90">
        <f t="shared" si="5"/>
        <v>0</v>
      </c>
    </row>
    <row r="47" spans="2:7" x14ac:dyDescent="0.2">
      <c r="B47" s="60" t="str">
        <f t="shared" si="6"/>
        <v xml:space="preserve">Unmetered Loads </v>
      </c>
      <c r="C47" s="81">
        <f t="shared" si="7"/>
        <v>4547.9759941943921</v>
      </c>
      <c r="D47" s="82">
        <f t="shared" si="8"/>
        <v>0</v>
      </c>
      <c r="E47" s="88">
        <f t="shared" si="4"/>
        <v>0</v>
      </c>
      <c r="F47" s="89"/>
      <c r="G47" s="90">
        <f t="shared" si="5"/>
        <v>0</v>
      </c>
    </row>
    <row r="48" spans="2:7" x14ac:dyDescent="0.2">
      <c r="B48" s="60" t="str">
        <f t="shared" si="6"/>
        <v>Embedded Distributor - Hydro One, CND</v>
      </c>
      <c r="C48" s="81">
        <f t="shared" si="7"/>
        <v>12605162.219999999</v>
      </c>
      <c r="D48" s="82">
        <f t="shared" si="8"/>
        <v>0</v>
      </c>
      <c r="E48" s="88">
        <f t="shared" si="4"/>
        <v>0</v>
      </c>
      <c r="F48" s="89"/>
      <c r="G48" s="90">
        <f t="shared" si="5"/>
        <v>0</v>
      </c>
    </row>
    <row r="49" spans="2:9" x14ac:dyDescent="0.2">
      <c r="B49" s="60" t="str">
        <f t="shared" si="6"/>
        <v>Embedded Distributor - Waterloo North, CND</v>
      </c>
      <c r="C49" s="81">
        <f t="shared" si="7"/>
        <v>58104381.490000002</v>
      </c>
      <c r="D49" s="82">
        <f t="shared" si="8"/>
        <v>0</v>
      </c>
      <c r="E49" s="88">
        <f t="shared" si="4"/>
        <v>0</v>
      </c>
      <c r="F49" s="89"/>
      <c r="G49" s="90">
        <f t="shared" si="5"/>
        <v>0</v>
      </c>
    </row>
    <row r="50" spans="2:9" x14ac:dyDescent="0.2">
      <c r="B50" s="60" t="str">
        <f t="shared" si="6"/>
        <v>Embedded Distributor - Brantford Power, BCP</v>
      </c>
      <c r="C50" s="81">
        <f t="shared" si="7"/>
        <v>347756.59287776717</v>
      </c>
      <c r="D50" s="82">
        <f t="shared" si="8"/>
        <v>0</v>
      </c>
      <c r="E50" s="88">
        <f t="shared" si="4"/>
        <v>0</v>
      </c>
      <c r="F50" s="89"/>
      <c r="G50" s="90">
        <f t="shared" si="5"/>
        <v>0</v>
      </c>
    </row>
    <row r="51" spans="2:9" x14ac:dyDescent="0.2">
      <c r="B51" s="60" t="str">
        <f t="shared" si="6"/>
        <v>Embedded Distributor - Hydro One #1, BCP</v>
      </c>
      <c r="C51" s="81">
        <f t="shared" si="7"/>
        <v>12191720.381133871</v>
      </c>
      <c r="D51" s="82">
        <f t="shared" si="8"/>
        <v>0</v>
      </c>
      <c r="E51" s="88">
        <f t="shared" si="4"/>
        <v>0</v>
      </c>
      <c r="F51" s="89"/>
      <c r="G51" s="90">
        <f t="shared" si="5"/>
        <v>0</v>
      </c>
    </row>
    <row r="52" spans="2:9" x14ac:dyDescent="0.2">
      <c r="B52" s="60" t="str">
        <f t="shared" si="6"/>
        <v>Embedded Distributor - Hydro One #2, BCP</v>
      </c>
      <c r="C52" s="81">
        <f t="shared" si="7"/>
        <v>43274121.534063838</v>
      </c>
      <c r="D52" s="82">
        <f t="shared" si="8"/>
        <v>0</v>
      </c>
      <c r="E52" s="88">
        <f t="shared" si="4"/>
        <v>0</v>
      </c>
      <c r="F52" s="89"/>
      <c r="G52" s="90">
        <f t="shared" si="5"/>
        <v>0</v>
      </c>
    </row>
    <row r="53" spans="2:9" x14ac:dyDescent="0.2">
      <c r="B53" s="84" t="s">
        <v>91</v>
      </c>
      <c r="C53" s="85">
        <f>SUM(C40:C52)</f>
        <v>894827112.62469471</v>
      </c>
      <c r="D53" s="86"/>
      <c r="E53" s="85">
        <f>SUM(E40:E52)</f>
        <v>0</v>
      </c>
      <c r="F53" s="152"/>
      <c r="G53" s="92">
        <f>SUM(G40:G52)</f>
        <v>0</v>
      </c>
    </row>
    <row r="55" spans="2:9" x14ac:dyDescent="0.2">
      <c r="B55" s="136" t="s">
        <v>96</v>
      </c>
      <c r="C55" s="137"/>
      <c r="D55" s="138" t="s">
        <v>97</v>
      </c>
      <c r="E55" s="139"/>
      <c r="F55" s="140"/>
      <c r="G55" s="137"/>
    </row>
    <row r="56" spans="2:9" x14ac:dyDescent="0.2">
      <c r="B56" s="135" t="s">
        <v>95</v>
      </c>
      <c r="C56" s="232"/>
      <c r="D56" s="141" t="s">
        <v>98</v>
      </c>
      <c r="E56" s="300">
        <v>2019</v>
      </c>
      <c r="F56" s="301"/>
      <c r="G56" s="302"/>
    </row>
    <row r="57" spans="2:9" x14ac:dyDescent="0.2">
      <c r="B57" s="98" t="str">
        <f>B40</f>
        <v xml:space="preserve">Residential </v>
      </c>
      <c r="C57" s="88"/>
      <c r="D57" s="99" t="s">
        <v>89</v>
      </c>
      <c r="E57" s="88">
        <f>E23+E40</f>
        <v>0</v>
      </c>
      <c r="F57" s="153"/>
      <c r="G57" s="90">
        <f t="shared" ref="G57:G70" si="9">E57*F57</f>
        <v>0</v>
      </c>
    </row>
    <row r="58" spans="2:9" x14ac:dyDescent="0.2">
      <c r="B58" s="98" t="str">
        <f>B41</f>
        <v>General Service &lt; 50 kW</v>
      </c>
      <c r="C58" s="88"/>
      <c r="D58" s="99" t="s">
        <v>89</v>
      </c>
      <c r="E58" s="88">
        <f>E24+E41</f>
        <v>0</v>
      </c>
      <c r="F58" s="153"/>
      <c r="G58" s="90">
        <f t="shared" si="9"/>
        <v>0</v>
      </c>
    </row>
    <row r="59" spans="2:9" x14ac:dyDescent="0.2">
      <c r="B59" s="98" t="str">
        <f>B42</f>
        <v>General Service &gt; 50 to 999 kW</v>
      </c>
      <c r="C59" s="88"/>
      <c r="D59" s="99" t="s">
        <v>90</v>
      </c>
      <c r="E59" s="88">
        <f>D7</f>
        <v>1538558.4780661359</v>
      </c>
      <c r="F59" s="153"/>
      <c r="G59" s="90">
        <f t="shared" si="9"/>
        <v>0</v>
      </c>
    </row>
    <row r="60" spans="2:9" x14ac:dyDescent="0.2">
      <c r="B60" s="98" t="str">
        <f>B43</f>
        <v>General Service &gt; 1000 to 4999 kW</v>
      </c>
      <c r="C60" s="88"/>
      <c r="D60" s="99" t="s">
        <v>90</v>
      </c>
      <c r="E60" s="88">
        <f t="shared" ref="E60" si="10">D8</f>
        <v>536325.42448888335</v>
      </c>
      <c r="F60" s="153"/>
      <c r="G60" s="90">
        <f t="shared" si="9"/>
        <v>0</v>
      </c>
      <c r="I60" s="30"/>
    </row>
    <row r="61" spans="2:9" x14ac:dyDescent="0.2">
      <c r="B61" s="55" t="str">
        <f>Summary!A38</f>
        <v>Direct Market Participant</v>
      </c>
      <c r="C61" s="88"/>
      <c r="D61" s="99" t="s">
        <v>90</v>
      </c>
      <c r="E61" s="55">
        <f>Summary!I40</f>
        <v>67941.700000000012</v>
      </c>
      <c r="F61" s="153"/>
      <c r="G61" s="90">
        <f t="shared" si="9"/>
        <v>0</v>
      </c>
      <c r="I61" s="30"/>
    </row>
    <row r="62" spans="2:9" x14ac:dyDescent="0.2">
      <c r="B62" s="98" t="str">
        <f>B44</f>
        <v>Large User</v>
      </c>
      <c r="C62" s="88"/>
      <c r="D62" s="99" t="s">
        <v>90</v>
      </c>
      <c r="E62" s="88">
        <f>D9</f>
        <v>361276.31069675618</v>
      </c>
      <c r="F62" s="153"/>
      <c r="G62" s="90">
        <f t="shared" si="9"/>
        <v>0</v>
      </c>
    </row>
    <row r="63" spans="2:9" x14ac:dyDescent="0.2">
      <c r="B63" s="98" t="str">
        <f>B45</f>
        <v>Street Lights</v>
      </c>
      <c r="C63" s="88"/>
      <c r="D63" s="99" t="s">
        <v>90</v>
      </c>
      <c r="E63" s="88">
        <f t="shared" ref="E63:E64" si="11">D10</f>
        <v>10945.463296866632</v>
      </c>
      <c r="F63" s="153"/>
      <c r="G63" s="90">
        <f t="shared" si="9"/>
        <v>0</v>
      </c>
    </row>
    <row r="64" spans="2:9" x14ac:dyDescent="0.2">
      <c r="B64" s="98" t="str">
        <f>B46</f>
        <v>Sentinel Lights</v>
      </c>
      <c r="C64" s="88"/>
      <c r="D64" s="99" t="s">
        <v>90</v>
      </c>
      <c r="E64" s="88">
        <f t="shared" si="11"/>
        <v>342.92000000000007</v>
      </c>
      <c r="F64" s="153"/>
      <c r="G64" s="90">
        <f t="shared" si="9"/>
        <v>0</v>
      </c>
    </row>
    <row r="65" spans="2:7" x14ac:dyDescent="0.2">
      <c r="B65" s="98" t="str">
        <f>B47</f>
        <v xml:space="preserve">Unmetered Loads </v>
      </c>
      <c r="C65" s="88"/>
      <c r="D65" s="99" t="s">
        <v>89</v>
      </c>
      <c r="E65" s="88">
        <f>E31+E48</f>
        <v>0</v>
      </c>
      <c r="F65" s="153"/>
      <c r="G65" s="90">
        <f t="shared" si="9"/>
        <v>0</v>
      </c>
    </row>
    <row r="66" spans="2:7" x14ac:dyDescent="0.2">
      <c r="B66" s="98" t="str">
        <f t="shared" ref="B66:B70" si="12">B48</f>
        <v>Embedded Distributor - Hydro One, CND</v>
      </c>
      <c r="C66" s="88"/>
      <c r="D66" s="99" t="s">
        <v>90</v>
      </c>
      <c r="E66" s="88">
        <f>D13</f>
        <v>24387.435638304029</v>
      </c>
      <c r="F66" s="153"/>
      <c r="G66" s="90">
        <f t="shared" si="9"/>
        <v>0</v>
      </c>
    </row>
    <row r="67" spans="2:7" x14ac:dyDescent="0.2">
      <c r="B67" s="98" t="str">
        <f t="shared" si="12"/>
        <v>Embedded Distributor - Waterloo North, CND</v>
      </c>
      <c r="C67" s="88"/>
      <c r="D67" s="99" t="s">
        <v>90</v>
      </c>
      <c r="E67" s="88">
        <f t="shared" ref="E67:E70" si="13">D14</f>
        <v>114656.88436169598</v>
      </c>
      <c r="F67" s="153"/>
      <c r="G67" s="90">
        <f t="shared" si="9"/>
        <v>0</v>
      </c>
    </row>
    <row r="68" spans="2:7" x14ac:dyDescent="0.2">
      <c r="B68" s="98" t="str">
        <f t="shared" si="12"/>
        <v>Embedded Distributor - Brantford Power, BCP</v>
      </c>
      <c r="C68" s="88"/>
      <c r="D68" s="99" t="s">
        <v>90</v>
      </c>
      <c r="E68" s="88">
        <f t="shared" si="13"/>
        <v>1074.96</v>
      </c>
      <c r="F68" s="153"/>
      <c r="G68" s="90">
        <f t="shared" si="9"/>
        <v>0</v>
      </c>
    </row>
    <row r="69" spans="2:7" x14ac:dyDescent="0.2">
      <c r="B69" s="98" t="str">
        <f t="shared" si="12"/>
        <v>Embedded Distributor - Hydro One #1, BCP</v>
      </c>
      <c r="C69" s="88"/>
      <c r="D69" s="99" t="s">
        <v>90</v>
      </c>
      <c r="E69" s="88">
        <f t="shared" si="13"/>
        <v>29994.605248481424</v>
      </c>
      <c r="F69" s="153"/>
      <c r="G69" s="90">
        <f t="shared" si="9"/>
        <v>0</v>
      </c>
    </row>
    <row r="70" spans="2:7" x14ac:dyDescent="0.2">
      <c r="B70" s="98" t="str">
        <f t="shared" si="12"/>
        <v>Embedded Distributor - Hydro One #2, BCP</v>
      </c>
      <c r="C70" s="88"/>
      <c r="D70" s="99" t="s">
        <v>90</v>
      </c>
      <c r="E70" s="88">
        <f t="shared" si="13"/>
        <v>102972.90667387019</v>
      </c>
      <c r="F70" s="153"/>
      <c r="G70" s="90">
        <f t="shared" si="9"/>
        <v>0</v>
      </c>
    </row>
    <row r="71" spans="2:7" x14ac:dyDescent="0.2">
      <c r="B71" s="84" t="s">
        <v>91</v>
      </c>
      <c r="C71" s="85"/>
      <c r="D71" s="86"/>
      <c r="E71" s="85"/>
      <c r="F71" s="91"/>
      <c r="G71" s="101">
        <f>SUM(G57:G70)</f>
        <v>0</v>
      </c>
    </row>
    <row r="73" spans="2:7" x14ac:dyDescent="0.2">
      <c r="B73" s="136" t="s">
        <v>99</v>
      </c>
      <c r="C73" s="137"/>
      <c r="D73" s="142" t="s">
        <v>97</v>
      </c>
      <c r="E73" s="139"/>
      <c r="F73" s="140"/>
      <c r="G73" s="137"/>
    </row>
    <row r="74" spans="2:7" x14ac:dyDescent="0.2">
      <c r="B74" s="135" t="s">
        <v>95</v>
      </c>
      <c r="C74" s="232"/>
      <c r="D74" s="143" t="s">
        <v>98</v>
      </c>
      <c r="E74" s="300">
        <v>2019</v>
      </c>
      <c r="F74" s="301"/>
      <c r="G74" s="302"/>
    </row>
    <row r="75" spans="2:7" x14ac:dyDescent="0.2">
      <c r="B75" s="98" t="str">
        <f>B57</f>
        <v xml:space="preserve">Residential </v>
      </c>
      <c r="C75" s="88"/>
      <c r="D75" s="99" t="str">
        <f>D57</f>
        <v>kWh</v>
      </c>
      <c r="E75" s="88">
        <f>E57</f>
        <v>0</v>
      </c>
      <c r="F75" s="153"/>
      <c r="G75" s="90">
        <f t="shared" ref="G75:G88" si="14">E75*F75</f>
        <v>0</v>
      </c>
    </row>
    <row r="76" spans="2:7" x14ac:dyDescent="0.2">
      <c r="B76" s="98" t="str">
        <f t="shared" ref="B76:B88" si="15">B58</f>
        <v>General Service &lt; 50 kW</v>
      </c>
      <c r="C76" s="88"/>
      <c r="D76" s="99" t="str">
        <f t="shared" ref="D76:E88" si="16">D58</f>
        <v>kWh</v>
      </c>
      <c r="E76" s="88">
        <f t="shared" si="16"/>
        <v>0</v>
      </c>
      <c r="F76" s="153"/>
      <c r="G76" s="90">
        <f t="shared" si="14"/>
        <v>0</v>
      </c>
    </row>
    <row r="77" spans="2:7" x14ac:dyDescent="0.2">
      <c r="B77" s="98" t="str">
        <f t="shared" si="15"/>
        <v>General Service &gt; 50 to 999 kW</v>
      </c>
      <c r="C77" s="88"/>
      <c r="D77" s="99" t="str">
        <f t="shared" si="16"/>
        <v>kW</v>
      </c>
      <c r="E77" s="88">
        <f t="shared" si="16"/>
        <v>1538558.4780661359</v>
      </c>
      <c r="F77" s="153"/>
      <c r="G77" s="90">
        <f t="shared" si="14"/>
        <v>0</v>
      </c>
    </row>
    <row r="78" spans="2:7" x14ac:dyDescent="0.2">
      <c r="B78" s="98" t="str">
        <f t="shared" si="15"/>
        <v>General Service &gt; 1000 to 4999 kW</v>
      </c>
      <c r="C78" s="88"/>
      <c r="D78" s="99" t="str">
        <f t="shared" si="16"/>
        <v>kW</v>
      </c>
      <c r="E78" s="88">
        <f t="shared" si="16"/>
        <v>536325.42448888335</v>
      </c>
      <c r="F78" s="153"/>
      <c r="G78" s="90">
        <f t="shared" si="14"/>
        <v>0</v>
      </c>
    </row>
    <row r="79" spans="2:7" x14ac:dyDescent="0.2">
      <c r="B79" s="98" t="str">
        <f t="shared" si="15"/>
        <v>Direct Market Participant</v>
      </c>
      <c r="C79" s="88"/>
      <c r="D79" s="99" t="str">
        <f t="shared" si="16"/>
        <v>kW</v>
      </c>
      <c r="E79" s="88">
        <f t="shared" si="16"/>
        <v>67941.700000000012</v>
      </c>
      <c r="F79" s="153"/>
      <c r="G79" s="90">
        <f t="shared" si="14"/>
        <v>0</v>
      </c>
    </row>
    <row r="80" spans="2:7" x14ac:dyDescent="0.2">
      <c r="B80" s="98" t="str">
        <f t="shared" si="15"/>
        <v>Large User</v>
      </c>
      <c r="C80" s="88"/>
      <c r="D80" s="99" t="str">
        <f t="shared" si="16"/>
        <v>kW</v>
      </c>
      <c r="E80" s="88">
        <f t="shared" si="16"/>
        <v>361276.31069675618</v>
      </c>
      <c r="F80" s="153"/>
      <c r="G80" s="90">
        <f t="shared" si="14"/>
        <v>0</v>
      </c>
    </row>
    <row r="81" spans="2:7" x14ac:dyDescent="0.2">
      <c r="B81" s="98" t="str">
        <f t="shared" si="15"/>
        <v>Street Lights</v>
      </c>
      <c r="C81" s="88"/>
      <c r="D81" s="99" t="str">
        <f t="shared" si="16"/>
        <v>kW</v>
      </c>
      <c r="E81" s="88">
        <f t="shared" si="16"/>
        <v>10945.463296866632</v>
      </c>
      <c r="F81" s="153"/>
      <c r="G81" s="90">
        <f t="shared" si="14"/>
        <v>0</v>
      </c>
    </row>
    <row r="82" spans="2:7" x14ac:dyDescent="0.2">
      <c r="B82" s="98" t="str">
        <f t="shared" si="15"/>
        <v>Sentinel Lights</v>
      </c>
      <c r="C82" s="88"/>
      <c r="D82" s="99" t="str">
        <f t="shared" si="16"/>
        <v>kW</v>
      </c>
      <c r="E82" s="88">
        <f t="shared" si="16"/>
        <v>342.92000000000007</v>
      </c>
      <c r="F82" s="153"/>
      <c r="G82" s="90">
        <f t="shared" si="14"/>
        <v>0</v>
      </c>
    </row>
    <row r="83" spans="2:7" x14ac:dyDescent="0.2">
      <c r="B83" s="98" t="str">
        <f t="shared" si="15"/>
        <v xml:space="preserve">Unmetered Loads </v>
      </c>
      <c r="C83" s="88"/>
      <c r="D83" s="99" t="str">
        <f t="shared" si="16"/>
        <v>kWh</v>
      </c>
      <c r="E83" s="88">
        <f t="shared" si="16"/>
        <v>0</v>
      </c>
      <c r="F83" s="153"/>
      <c r="G83" s="90">
        <f t="shared" si="14"/>
        <v>0</v>
      </c>
    </row>
    <row r="84" spans="2:7" x14ac:dyDescent="0.2">
      <c r="B84" s="98" t="str">
        <f t="shared" si="15"/>
        <v>Embedded Distributor - Hydro One, CND</v>
      </c>
      <c r="C84" s="88"/>
      <c r="D84" s="99" t="str">
        <f t="shared" si="16"/>
        <v>kW</v>
      </c>
      <c r="E84" s="88">
        <f t="shared" si="16"/>
        <v>24387.435638304029</v>
      </c>
      <c r="F84" s="153"/>
      <c r="G84" s="90">
        <f t="shared" si="14"/>
        <v>0</v>
      </c>
    </row>
    <row r="85" spans="2:7" x14ac:dyDescent="0.2">
      <c r="B85" s="98" t="str">
        <f t="shared" si="15"/>
        <v>Embedded Distributor - Waterloo North, CND</v>
      </c>
      <c r="C85" s="88"/>
      <c r="D85" s="99" t="str">
        <f t="shared" si="16"/>
        <v>kW</v>
      </c>
      <c r="E85" s="88">
        <f t="shared" si="16"/>
        <v>114656.88436169598</v>
      </c>
      <c r="F85" s="153"/>
      <c r="G85" s="90">
        <f t="shared" si="14"/>
        <v>0</v>
      </c>
    </row>
    <row r="86" spans="2:7" x14ac:dyDescent="0.2">
      <c r="B86" s="98" t="str">
        <f t="shared" si="15"/>
        <v>Embedded Distributor - Brantford Power, BCP</v>
      </c>
      <c r="C86" s="88"/>
      <c r="D86" s="99" t="str">
        <f t="shared" si="16"/>
        <v>kW</v>
      </c>
      <c r="E86" s="88">
        <f t="shared" si="16"/>
        <v>1074.96</v>
      </c>
      <c r="F86" s="153"/>
      <c r="G86" s="90">
        <f t="shared" si="14"/>
        <v>0</v>
      </c>
    </row>
    <row r="87" spans="2:7" x14ac:dyDescent="0.2">
      <c r="B87" s="98" t="str">
        <f t="shared" si="15"/>
        <v>Embedded Distributor - Hydro One #1, BCP</v>
      </c>
      <c r="C87" s="88"/>
      <c r="D87" s="99" t="str">
        <f t="shared" si="16"/>
        <v>kW</v>
      </c>
      <c r="E87" s="88">
        <f t="shared" si="16"/>
        <v>29994.605248481424</v>
      </c>
      <c r="F87" s="153"/>
      <c r="G87" s="90">
        <f t="shared" si="14"/>
        <v>0</v>
      </c>
    </row>
    <row r="88" spans="2:7" x14ac:dyDescent="0.2">
      <c r="B88" s="98" t="str">
        <f t="shared" si="15"/>
        <v>Embedded Distributor - Hydro One #2, BCP</v>
      </c>
      <c r="C88" s="88"/>
      <c r="D88" s="99" t="str">
        <f t="shared" si="16"/>
        <v>kW</v>
      </c>
      <c r="E88" s="88">
        <f t="shared" si="16"/>
        <v>102972.90667387019</v>
      </c>
      <c r="F88" s="153"/>
      <c r="G88" s="90">
        <f t="shared" si="14"/>
        <v>0</v>
      </c>
    </row>
    <row r="89" spans="2:7" x14ac:dyDescent="0.2">
      <c r="B89" s="84" t="s">
        <v>91</v>
      </c>
      <c r="C89" s="85"/>
      <c r="D89" s="86"/>
      <c r="E89" s="85"/>
      <c r="F89" s="91"/>
      <c r="G89" s="101">
        <f>SUM(G75:G88)</f>
        <v>0</v>
      </c>
    </row>
    <row r="91" spans="2:7" x14ac:dyDescent="0.2">
      <c r="B91" s="136" t="s">
        <v>100</v>
      </c>
      <c r="C91" s="137"/>
      <c r="D91" s="142"/>
      <c r="E91" s="139"/>
      <c r="F91" s="140"/>
      <c r="G91" s="137"/>
    </row>
    <row r="92" spans="2:7" x14ac:dyDescent="0.2">
      <c r="B92" s="135" t="s">
        <v>95</v>
      </c>
      <c r="C92" s="232"/>
      <c r="D92" s="143"/>
      <c r="E92" s="300">
        <v>2019</v>
      </c>
      <c r="F92" s="301"/>
      <c r="G92" s="303"/>
    </row>
    <row r="93" spans="2:7" x14ac:dyDescent="0.2">
      <c r="B93" s="98" t="str">
        <f>B5</f>
        <v xml:space="preserve">Residential </v>
      </c>
      <c r="C93" s="88"/>
      <c r="D93" s="99" t="s">
        <v>89</v>
      </c>
      <c r="E93" s="88">
        <f>E23+E40</f>
        <v>0</v>
      </c>
      <c r="F93" s="100"/>
      <c r="G93" s="90">
        <f t="shared" ref="G93:G105" si="17">E93*F93</f>
        <v>0</v>
      </c>
    </row>
    <row r="94" spans="2:7" x14ac:dyDescent="0.2">
      <c r="B94" s="98" t="str">
        <f t="shared" ref="B94:B105" si="18">B6</f>
        <v>General Service &lt; 50 kW</v>
      </c>
      <c r="C94" s="88"/>
      <c r="D94" s="99" t="s">
        <v>89</v>
      </c>
      <c r="E94" s="88">
        <f t="shared" ref="E94:E105" si="19">E24+E41</f>
        <v>0</v>
      </c>
      <c r="F94" s="100"/>
      <c r="G94" s="90">
        <f t="shared" si="17"/>
        <v>0</v>
      </c>
    </row>
    <row r="95" spans="2:7" x14ac:dyDescent="0.2">
      <c r="B95" s="98" t="str">
        <f t="shared" si="18"/>
        <v>General Service &gt; 50 to 999 kW</v>
      </c>
      <c r="C95" s="88"/>
      <c r="D95" s="99" t="s">
        <v>89</v>
      </c>
      <c r="E95" s="88">
        <f t="shared" si="19"/>
        <v>0</v>
      </c>
      <c r="F95" s="100"/>
      <c r="G95" s="90">
        <f t="shared" si="17"/>
        <v>0</v>
      </c>
    </row>
    <row r="96" spans="2:7" x14ac:dyDescent="0.2">
      <c r="B96" s="98" t="str">
        <f t="shared" si="18"/>
        <v>General Service &gt; 1000 to 4999 kW</v>
      </c>
      <c r="C96" s="88"/>
      <c r="D96" s="99" t="s">
        <v>89</v>
      </c>
      <c r="E96" s="88">
        <f t="shared" si="19"/>
        <v>0</v>
      </c>
      <c r="F96" s="100"/>
      <c r="G96" s="90">
        <f t="shared" si="17"/>
        <v>0</v>
      </c>
    </row>
    <row r="97" spans="2:13" x14ac:dyDescent="0.2">
      <c r="B97" s="98" t="str">
        <f t="shared" si="18"/>
        <v>Large User</v>
      </c>
      <c r="C97" s="88"/>
      <c r="D97" s="99" t="s">
        <v>89</v>
      </c>
      <c r="E97" s="88">
        <f t="shared" si="19"/>
        <v>0</v>
      </c>
      <c r="F97" s="100"/>
      <c r="G97" s="90">
        <f t="shared" si="17"/>
        <v>0</v>
      </c>
    </row>
    <row r="98" spans="2:13" x14ac:dyDescent="0.2">
      <c r="B98" s="98" t="str">
        <f t="shared" si="18"/>
        <v>Street Lights</v>
      </c>
      <c r="C98" s="88"/>
      <c r="D98" s="99" t="s">
        <v>89</v>
      </c>
      <c r="E98" s="88">
        <f t="shared" si="19"/>
        <v>0</v>
      </c>
      <c r="F98" s="100"/>
      <c r="G98" s="90">
        <f t="shared" si="17"/>
        <v>0</v>
      </c>
    </row>
    <row r="99" spans="2:13" x14ac:dyDescent="0.2">
      <c r="B99" s="98" t="str">
        <f t="shared" si="18"/>
        <v>Sentinel Lights</v>
      </c>
      <c r="C99" s="88"/>
      <c r="D99" s="99" t="s">
        <v>89</v>
      </c>
      <c r="E99" s="88">
        <f t="shared" si="19"/>
        <v>0</v>
      </c>
      <c r="F99" s="100"/>
      <c r="G99" s="90">
        <f t="shared" si="17"/>
        <v>0</v>
      </c>
    </row>
    <row r="100" spans="2:13" x14ac:dyDescent="0.2">
      <c r="B100" s="98" t="str">
        <f t="shared" si="18"/>
        <v xml:space="preserve">Unmetered Loads </v>
      </c>
      <c r="C100" s="88"/>
      <c r="D100" s="99" t="s">
        <v>89</v>
      </c>
      <c r="E100" s="88">
        <f t="shared" si="19"/>
        <v>0</v>
      </c>
      <c r="F100" s="100"/>
      <c r="G100" s="90">
        <f t="shared" si="17"/>
        <v>0</v>
      </c>
    </row>
    <row r="101" spans="2:13" x14ac:dyDescent="0.2">
      <c r="B101" s="98" t="str">
        <f t="shared" si="18"/>
        <v>Embedded Distributor - Hydro One, CND</v>
      </c>
      <c r="C101" s="88"/>
      <c r="D101" s="99" t="s">
        <v>89</v>
      </c>
      <c r="E101" s="88">
        <f t="shared" si="19"/>
        <v>0</v>
      </c>
      <c r="F101" s="100"/>
      <c r="G101" s="90">
        <f t="shared" si="17"/>
        <v>0</v>
      </c>
    </row>
    <row r="102" spans="2:13" x14ac:dyDescent="0.2">
      <c r="B102" s="98" t="str">
        <f t="shared" si="18"/>
        <v>Embedded Distributor - Waterloo North, CND</v>
      </c>
      <c r="C102" s="88"/>
      <c r="D102" s="99" t="s">
        <v>89</v>
      </c>
      <c r="E102" s="88">
        <f t="shared" si="19"/>
        <v>0</v>
      </c>
      <c r="F102" s="100"/>
      <c r="G102" s="90">
        <f t="shared" si="17"/>
        <v>0</v>
      </c>
    </row>
    <row r="103" spans="2:13" x14ac:dyDescent="0.2">
      <c r="B103" s="98" t="str">
        <f t="shared" si="18"/>
        <v>Embedded Distributor - Brantford Power, BCP</v>
      </c>
      <c r="C103" s="88"/>
      <c r="D103" s="99" t="s">
        <v>89</v>
      </c>
      <c r="E103" s="88">
        <f t="shared" si="19"/>
        <v>0</v>
      </c>
      <c r="F103" s="100"/>
      <c r="G103" s="90">
        <f t="shared" si="17"/>
        <v>0</v>
      </c>
    </row>
    <row r="104" spans="2:13" x14ac:dyDescent="0.2">
      <c r="B104" s="98" t="str">
        <f t="shared" si="18"/>
        <v>Embedded Distributor - Hydro One #1, BCP</v>
      </c>
      <c r="C104" s="88"/>
      <c r="D104" s="99" t="s">
        <v>89</v>
      </c>
      <c r="E104" s="88">
        <f t="shared" si="19"/>
        <v>0</v>
      </c>
      <c r="F104" s="100"/>
      <c r="G104" s="90">
        <f t="shared" si="17"/>
        <v>0</v>
      </c>
    </row>
    <row r="105" spans="2:13" x14ac:dyDescent="0.2">
      <c r="B105" s="98" t="str">
        <f t="shared" si="18"/>
        <v>Embedded Distributor - Hydro One #2, BCP</v>
      </c>
      <c r="C105" s="88"/>
      <c r="D105" s="99" t="s">
        <v>89</v>
      </c>
      <c r="E105" s="88">
        <f t="shared" si="19"/>
        <v>0</v>
      </c>
      <c r="F105" s="100"/>
      <c r="G105" s="90">
        <f t="shared" si="17"/>
        <v>0</v>
      </c>
    </row>
    <row r="106" spans="2:13" x14ac:dyDescent="0.2">
      <c r="B106" s="84" t="s">
        <v>91</v>
      </c>
      <c r="C106" s="85"/>
      <c r="D106" s="86"/>
      <c r="E106" s="85">
        <f>SUM(E93:E102)</f>
        <v>0</v>
      </c>
      <c r="F106" s="91"/>
      <c r="G106" s="101">
        <f>SUM(G93:G102)</f>
        <v>0</v>
      </c>
    </row>
    <row r="108" spans="2:13" x14ac:dyDescent="0.2">
      <c r="B108" s="136" t="s">
        <v>101</v>
      </c>
      <c r="C108" s="137"/>
      <c r="D108" s="142"/>
      <c r="E108" s="139"/>
      <c r="F108" s="140"/>
      <c r="G108" s="137"/>
    </row>
    <row r="109" spans="2:13" x14ac:dyDescent="0.2">
      <c r="B109" s="135" t="s">
        <v>95</v>
      </c>
      <c r="C109" s="232"/>
      <c r="D109" s="143"/>
      <c r="E109" s="304">
        <v>2019</v>
      </c>
      <c r="F109" s="301"/>
      <c r="G109" s="302"/>
    </row>
    <row r="110" spans="2:13" x14ac:dyDescent="0.2">
      <c r="B110" s="98" t="str">
        <f>B93</f>
        <v xml:space="preserve">Residential </v>
      </c>
      <c r="C110" s="88"/>
      <c r="D110" s="99" t="str">
        <f>D93</f>
        <v>kWh</v>
      </c>
      <c r="E110" s="88">
        <f>E93</f>
        <v>0</v>
      </c>
      <c r="F110" s="154"/>
      <c r="G110" s="90">
        <f t="shared" ref="G110:G122" si="20">E110*F110</f>
        <v>0</v>
      </c>
    </row>
    <row r="111" spans="2:13" x14ac:dyDescent="0.2">
      <c r="B111" s="98" t="str">
        <f t="shared" ref="B111:B122" si="21">B94</f>
        <v>General Service &lt; 50 kW</v>
      </c>
      <c r="C111" s="88"/>
      <c r="D111" s="99" t="str">
        <f t="shared" ref="D111:E122" si="22">D94</f>
        <v>kWh</v>
      </c>
      <c r="E111" s="88">
        <f t="shared" si="22"/>
        <v>0</v>
      </c>
      <c r="F111" s="154"/>
      <c r="G111" s="90">
        <f t="shared" si="20"/>
        <v>0</v>
      </c>
    </row>
    <row r="112" spans="2:13" x14ac:dyDescent="0.2">
      <c r="B112" s="98" t="str">
        <f t="shared" si="21"/>
        <v>General Service &gt; 50 to 999 kW</v>
      </c>
      <c r="C112" s="88"/>
      <c r="D112" s="99" t="str">
        <f t="shared" si="22"/>
        <v>kWh</v>
      </c>
      <c r="E112" s="88">
        <f t="shared" si="22"/>
        <v>0</v>
      </c>
      <c r="F112" s="154"/>
      <c r="G112" s="90">
        <f t="shared" si="20"/>
        <v>0</v>
      </c>
      <c r="I112" t="s">
        <v>137</v>
      </c>
      <c r="J112" t="s">
        <v>137</v>
      </c>
      <c r="K112" t="s">
        <v>137</v>
      </c>
      <c r="L112" t="s">
        <v>137</v>
      </c>
      <c r="M112" t="s">
        <v>137</v>
      </c>
    </row>
    <row r="113" spans="2:7" x14ac:dyDescent="0.2">
      <c r="B113" s="98" t="str">
        <f t="shared" si="21"/>
        <v>General Service &gt; 1000 to 4999 kW</v>
      </c>
      <c r="C113" s="88"/>
      <c r="D113" s="99" t="str">
        <f t="shared" si="22"/>
        <v>kWh</v>
      </c>
      <c r="E113" s="88">
        <f t="shared" si="22"/>
        <v>0</v>
      </c>
      <c r="F113" s="154"/>
      <c r="G113" s="90">
        <f t="shared" si="20"/>
        <v>0</v>
      </c>
    </row>
    <row r="114" spans="2:7" x14ac:dyDescent="0.2">
      <c r="B114" s="98" t="str">
        <f t="shared" si="21"/>
        <v>Large User</v>
      </c>
      <c r="C114" s="88"/>
      <c r="D114" s="99" t="str">
        <f t="shared" si="22"/>
        <v>kWh</v>
      </c>
      <c r="E114" s="88">
        <f t="shared" si="22"/>
        <v>0</v>
      </c>
      <c r="F114" s="154"/>
      <c r="G114" s="90">
        <f t="shared" si="20"/>
        <v>0</v>
      </c>
    </row>
    <row r="115" spans="2:7" x14ac:dyDescent="0.2">
      <c r="B115" s="98" t="str">
        <f t="shared" si="21"/>
        <v>Street Lights</v>
      </c>
      <c r="C115" s="88"/>
      <c r="D115" s="99" t="str">
        <f t="shared" si="22"/>
        <v>kWh</v>
      </c>
      <c r="E115" s="88">
        <f t="shared" si="22"/>
        <v>0</v>
      </c>
      <c r="F115" s="154"/>
      <c r="G115" s="90">
        <f t="shared" si="20"/>
        <v>0</v>
      </c>
    </row>
    <row r="116" spans="2:7" x14ac:dyDescent="0.2">
      <c r="B116" s="98" t="str">
        <f t="shared" si="21"/>
        <v>Sentinel Lights</v>
      </c>
      <c r="C116" s="88"/>
      <c r="D116" s="99" t="str">
        <f t="shared" si="22"/>
        <v>kWh</v>
      </c>
      <c r="E116" s="88">
        <f t="shared" si="22"/>
        <v>0</v>
      </c>
      <c r="F116" s="154"/>
      <c r="G116" s="90">
        <f t="shared" si="20"/>
        <v>0</v>
      </c>
    </row>
    <row r="117" spans="2:7" x14ac:dyDescent="0.2">
      <c r="B117" s="98" t="str">
        <f t="shared" si="21"/>
        <v xml:space="preserve">Unmetered Loads </v>
      </c>
      <c r="C117" s="88"/>
      <c r="D117" s="99" t="str">
        <f t="shared" si="22"/>
        <v>kWh</v>
      </c>
      <c r="E117" s="88">
        <f t="shared" si="22"/>
        <v>0</v>
      </c>
      <c r="F117" s="154"/>
      <c r="G117" s="90">
        <f t="shared" si="20"/>
        <v>0</v>
      </c>
    </row>
    <row r="118" spans="2:7" x14ac:dyDescent="0.2">
      <c r="B118" s="98" t="str">
        <f t="shared" si="21"/>
        <v>Embedded Distributor - Hydro One, CND</v>
      </c>
      <c r="C118" s="88"/>
      <c r="D118" s="99" t="str">
        <f t="shared" si="22"/>
        <v>kWh</v>
      </c>
      <c r="E118" s="88">
        <f t="shared" si="22"/>
        <v>0</v>
      </c>
      <c r="F118" s="154"/>
      <c r="G118" s="90">
        <f t="shared" si="20"/>
        <v>0</v>
      </c>
    </row>
    <row r="119" spans="2:7" x14ac:dyDescent="0.2">
      <c r="B119" s="98" t="str">
        <f t="shared" si="21"/>
        <v>Embedded Distributor - Waterloo North, CND</v>
      </c>
      <c r="C119" s="88"/>
      <c r="D119" s="99" t="str">
        <f t="shared" si="22"/>
        <v>kWh</v>
      </c>
      <c r="E119" s="88">
        <f t="shared" si="22"/>
        <v>0</v>
      </c>
      <c r="F119" s="154"/>
      <c r="G119" s="90">
        <f t="shared" si="20"/>
        <v>0</v>
      </c>
    </row>
    <row r="120" spans="2:7" x14ac:dyDescent="0.2">
      <c r="B120" s="98" t="str">
        <f t="shared" si="21"/>
        <v>Embedded Distributor - Brantford Power, BCP</v>
      </c>
      <c r="C120" s="88"/>
      <c r="D120" s="99" t="str">
        <f t="shared" si="22"/>
        <v>kWh</v>
      </c>
      <c r="E120" s="88">
        <f t="shared" si="22"/>
        <v>0</v>
      </c>
      <c r="F120" s="154"/>
      <c r="G120" s="90">
        <f t="shared" si="20"/>
        <v>0</v>
      </c>
    </row>
    <row r="121" spans="2:7" x14ac:dyDescent="0.2">
      <c r="B121" s="98" t="str">
        <f t="shared" si="21"/>
        <v>Embedded Distributor - Hydro One #1, BCP</v>
      </c>
      <c r="C121" s="88"/>
      <c r="D121" s="99" t="str">
        <f t="shared" si="22"/>
        <v>kWh</v>
      </c>
      <c r="E121" s="88">
        <f t="shared" si="22"/>
        <v>0</v>
      </c>
      <c r="F121" s="154"/>
      <c r="G121" s="90">
        <f t="shared" si="20"/>
        <v>0</v>
      </c>
    </row>
    <row r="122" spans="2:7" x14ac:dyDescent="0.2">
      <c r="B122" s="98" t="str">
        <f t="shared" si="21"/>
        <v>Embedded Distributor - Hydro One #2, BCP</v>
      </c>
      <c r="C122" s="88"/>
      <c r="D122" s="99" t="str">
        <f t="shared" si="22"/>
        <v>kWh</v>
      </c>
      <c r="E122" s="88">
        <f t="shared" si="22"/>
        <v>0</v>
      </c>
      <c r="F122" s="154"/>
      <c r="G122" s="90">
        <f t="shared" si="20"/>
        <v>0</v>
      </c>
    </row>
    <row r="123" spans="2:7" x14ac:dyDescent="0.2">
      <c r="B123" s="84" t="s">
        <v>91</v>
      </c>
      <c r="C123" s="85"/>
      <c r="D123" s="86"/>
      <c r="E123" s="85">
        <f>SUM(E110:E119)</f>
        <v>0</v>
      </c>
      <c r="F123" s="91"/>
      <c r="G123" s="101">
        <f>SUM(G110:G119)</f>
        <v>0</v>
      </c>
    </row>
    <row r="125" spans="2:7" x14ac:dyDescent="0.2">
      <c r="B125" s="144"/>
      <c r="C125" s="145">
        <v>2019</v>
      </c>
    </row>
    <row r="126" spans="2:7" x14ac:dyDescent="0.2">
      <c r="B126" s="59"/>
      <c r="C126" s="102"/>
    </row>
    <row r="127" spans="2:7" x14ac:dyDescent="0.2">
      <c r="B127" s="56" t="s">
        <v>102</v>
      </c>
      <c r="C127" s="103">
        <f>G36+G53</f>
        <v>0</v>
      </c>
    </row>
    <row r="128" spans="2:7" x14ac:dyDescent="0.2">
      <c r="B128" s="56" t="s">
        <v>103</v>
      </c>
      <c r="C128" s="104">
        <f>G106</f>
        <v>0</v>
      </c>
    </row>
    <row r="129" spans="2:3" x14ac:dyDescent="0.2">
      <c r="B129" s="56" t="s">
        <v>104</v>
      </c>
      <c r="C129" s="104">
        <f>G71</f>
        <v>0</v>
      </c>
    </row>
    <row r="130" spans="2:3" x14ac:dyDescent="0.2">
      <c r="B130" s="56" t="s">
        <v>105</v>
      </c>
      <c r="C130" s="104">
        <f>G89</f>
        <v>0</v>
      </c>
    </row>
    <row r="131" spans="2:3" x14ac:dyDescent="0.2">
      <c r="B131" s="56" t="s">
        <v>106</v>
      </c>
      <c r="C131" s="104">
        <f>G123</f>
        <v>0</v>
      </c>
    </row>
    <row r="132" spans="2:3" x14ac:dyDescent="0.2">
      <c r="B132" s="56" t="s">
        <v>107</v>
      </c>
      <c r="C132" s="233"/>
    </row>
    <row r="133" spans="2:3" x14ac:dyDescent="0.2">
      <c r="B133" s="147" t="s">
        <v>136</v>
      </c>
      <c r="C133" s="233"/>
    </row>
    <row r="134" spans="2:3" x14ac:dyDescent="0.2">
      <c r="B134" s="63" t="s">
        <v>91</v>
      </c>
      <c r="C134" s="85">
        <f>SUM(C127:C133)</f>
        <v>0</v>
      </c>
    </row>
  </sheetData>
  <mergeCells count="11">
    <mergeCell ref="E56:G56"/>
    <mergeCell ref="E74:G74"/>
    <mergeCell ref="E92:G92"/>
    <mergeCell ref="E109:G109"/>
    <mergeCell ref="B3:E3"/>
    <mergeCell ref="C21:C22"/>
    <mergeCell ref="D21:D22"/>
    <mergeCell ref="E21:G22"/>
    <mergeCell ref="C38:C39"/>
    <mergeCell ref="D38:D39"/>
    <mergeCell ref="E38:G3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9"/>
  <sheetViews>
    <sheetView topLeftCell="A27" workbookViewId="0">
      <selection activeCell="J19" sqref="J19"/>
    </sheetView>
  </sheetViews>
  <sheetFormatPr defaultRowHeight="12.75" x14ac:dyDescent="0.2"/>
  <cols>
    <col min="1" max="1" width="42.5703125" customWidth="1"/>
    <col min="2" max="2" width="14" style="30" bestFit="1" customWidth="1"/>
    <col min="3" max="3" width="14" bestFit="1" customWidth="1"/>
    <col min="4" max="6" width="12.7109375" style="30" bestFit="1" customWidth="1"/>
    <col min="7" max="8" width="12.7109375" bestFit="1" customWidth="1"/>
    <col min="9" max="9" width="12.5703125" customWidth="1"/>
    <col min="10" max="11" width="12.7109375" bestFit="1" customWidth="1"/>
    <col min="13" max="13" width="12.7109375" customWidth="1"/>
    <col min="14" max="14" width="10.140625" bestFit="1" customWidth="1"/>
  </cols>
  <sheetData>
    <row r="1" spans="1:11" ht="15.75" x14ac:dyDescent="0.25">
      <c r="A1" s="42" t="s">
        <v>197</v>
      </c>
    </row>
    <row r="3" spans="1:11" x14ac:dyDescent="0.2">
      <c r="B3" s="113" t="s">
        <v>73</v>
      </c>
      <c r="C3" s="44" t="s">
        <v>72</v>
      </c>
      <c r="D3" s="113" t="s">
        <v>71</v>
      </c>
      <c r="E3" s="44" t="s">
        <v>173</v>
      </c>
      <c r="F3" s="44" t="s">
        <v>174</v>
      </c>
      <c r="G3" s="113" t="s">
        <v>175</v>
      </c>
      <c r="H3" s="113" t="s">
        <v>176</v>
      </c>
      <c r="I3" s="113" t="s">
        <v>202</v>
      </c>
      <c r="J3" s="44" t="s">
        <v>177</v>
      </c>
      <c r="K3" s="44" t="s">
        <v>178</v>
      </c>
    </row>
    <row r="4" spans="1:11" x14ac:dyDescent="0.2">
      <c r="A4" s="17" t="s">
        <v>57</v>
      </c>
      <c r="B4" s="218">
        <f>'Purchased Power Model'!I154</f>
        <v>1782258958.4476616</v>
      </c>
      <c r="C4" s="27">
        <f>'Purchased Power Model'!I155</f>
        <v>1798671758.250813</v>
      </c>
      <c r="D4" s="27">
        <f>'Purchased Power Model'!I156</f>
        <v>1818670277.3771498</v>
      </c>
      <c r="E4" s="27">
        <f>'Purchased Power Model'!I157</f>
        <v>1834589718.8484082</v>
      </c>
      <c r="F4" s="27">
        <f>'Purchased Power Model'!I158</f>
        <v>1852721147.6820326</v>
      </c>
      <c r="G4" s="27">
        <f>'Purchased Power Model'!I159</f>
        <v>1864572950.0184319</v>
      </c>
      <c r="H4" s="27">
        <f>'Purchased Power Model'!I160</f>
        <v>1828181634.6252458</v>
      </c>
      <c r="I4" s="27">
        <f>'Purchased Power Model'!I161</f>
        <v>1770674460.6595349</v>
      </c>
    </row>
    <row r="5" spans="1:11" x14ac:dyDescent="0.2">
      <c r="A5" s="17" t="s">
        <v>58</v>
      </c>
      <c r="B5" s="218">
        <f>'Purchased Power Model'!U154</f>
        <v>1775075940.9491544</v>
      </c>
      <c r="C5" s="27">
        <f>'Purchased Power Model'!U155</f>
        <v>1805647029.0912676</v>
      </c>
      <c r="D5" s="27">
        <f>'Purchased Power Model'!U156</f>
        <v>1830541568.3715415</v>
      </c>
      <c r="E5" s="27">
        <f>'Purchased Power Model'!U157</f>
        <v>1820921157.0671558</v>
      </c>
      <c r="F5" s="27">
        <f>'Purchased Power Model'!U158</f>
        <v>1818518625.6024287</v>
      </c>
      <c r="G5" s="27">
        <f>'Purchased Power Model'!U159</f>
        <v>1847332336.8868487</v>
      </c>
      <c r="H5" s="27">
        <f>'Purchased Power Model'!U160</f>
        <v>1814414013.9412591</v>
      </c>
      <c r="I5" s="27">
        <f>'Purchased Power Model'!U161</f>
        <v>1784442081.3435221</v>
      </c>
      <c r="J5" s="27">
        <f>'Purchased Power Model'!U162</f>
        <v>1795753771.0373957</v>
      </c>
      <c r="K5" s="27">
        <f>'Purchased Power Model'!U163</f>
        <v>1795753771.0373957</v>
      </c>
    </row>
    <row r="6" spans="1:11" x14ac:dyDescent="0.2">
      <c r="A6" s="17" t="s">
        <v>11</v>
      </c>
      <c r="B6" s="219">
        <f t="shared" ref="B6:G6" si="0">(B5-B4)/B4</f>
        <v>-4.0302883396718244E-3</v>
      </c>
      <c r="C6" s="43">
        <f t="shared" si="0"/>
        <v>3.8780120989045531E-3</v>
      </c>
      <c r="D6" s="43">
        <f t="shared" si="0"/>
        <v>6.5274564290522304E-3</v>
      </c>
      <c r="E6" s="43">
        <f t="shared" si="0"/>
        <v>-7.4504733351674337E-3</v>
      </c>
      <c r="F6" s="43">
        <f t="shared" si="0"/>
        <v>-1.8460696107665854E-2</v>
      </c>
      <c r="G6" s="43">
        <f t="shared" si="0"/>
        <v>-9.2464138404521976E-3</v>
      </c>
      <c r="H6" s="43">
        <f>(H5-H4)/H4</f>
        <v>-7.5307728855994399E-3</v>
      </c>
      <c r="I6" s="43">
        <f>(I5-I4)/I4</f>
        <v>7.7753539625002683E-3</v>
      </c>
    </row>
    <row r="7" spans="1:11" x14ac:dyDescent="0.2">
      <c r="A7" s="17" t="s">
        <v>114</v>
      </c>
      <c r="B7" s="219"/>
      <c r="C7" s="43"/>
      <c r="D7" s="219"/>
      <c r="J7" s="117">
        <f>-'Rate Class Energy Model'!G85*'Rate Class Energy Model'!$F$17</f>
        <v>-30739206.714158688</v>
      </c>
      <c r="K7" s="117">
        <f>-'Rate Class Energy Model'!G86*'Rate Class Energy Model'!$F$17</f>
        <v>-37199151.096635103</v>
      </c>
    </row>
    <row r="8" spans="1:11" x14ac:dyDescent="0.2">
      <c r="A8" s="17" t="s">
        <v>115</v>
      </c>
      <c r="B8" s="219"/>
      <c r="C8" s="43"/>
      <c r="D8" s="219"/>
      <c r="J8" s="118">
        <f>J5+J7</f>
        <v>1765014564.3232369</v>
      </c>
      <c r="K8" s="118">
        <f>K5+K7</f>
        <v>1758554619.9407606</v>
      </c>
    </row>
    <row r="9" spans="1:11" x14ac:dyDescent="0.2">
      <c r="A9" s="17"/>
      <c r="C9" s="160"/>
      <c r="D9" s="21"/>
      <c r="E9" s="21"/>
      <c r="F9" s="21"/>
    </row>
    <row r="10" spans="1:11" x14ac:dyDescent="0.2">
      <c r="A10" s="17" t="s">
        <v>118</v>
      </c>
      <c r="B10" s="118">
        <f>'Rate Class Energy Model'!G6</f>
        <v>1700869074.0808105</v>
      </c>
      <c r="C10" s="6">
        <f>'Rate Class Energy Model'!G7</f>
        <v>1705485900.5254331</v>
      </c>
      <c r="D10" s="25">
        <f>'Rate Class Energy Model'!G8</f>
        <v>1721439858.3643131</v>
      </c>
      <c r="E10" s="25">
        <f>'Rate Class Energy Model'!G9</f>
        <v>1745480850.6928558</v>
      </c>
      <c r="F10" s="25">
        <f>'Rate Class Energy Model'!G10</f>
        <v>1730430155.3751984</v>
      </c>
      <c r="G10" s="25">
        <f>'Rate Class Energy Model'!G11</f>
        <v>1750185362.5649092</v>
      </c>
      <c r="H10" s="25">
        <f>'Rate Class Energy Model'!G12</f>
        <v>1676617026.5528002</v>
      </c>
      <c r="I10" s="25">
        <f>'Rate Class Energy Model'!G13</f>
        <v>1596674909.6966147</v>
      </c>
      <c r="J10" s="25">
        <f>'Rate Class Energy Model'!T70</f>
        <v>1583330520.1242337</v>
      </c>
      <c r="K10" s="25">
        <f>'Rate Class Energy Model'!T71</f>
        <v>1583370793.6716626</v>
      </c>
    </row>
    <row r="11" spans="1:11" x14ac:dyDescent="0.2">
      <c r="A11" s="17" t="s">
        <v>215</v>
      </c>
      <c r="B11" s="6">
        <f>B63</f>
        <v>0</v>
      </c>
      <c r="C11" s="6">
        <f t="shared" ref="C11:K11" si="1">C63</f>
        <v>0</v>
      </c>
      <c r="D11" s="25">
        <f t="shared" si="1"/>
        <v>0</v>
      </c>
      <c r="E11" s="25">
        <f t="shared" si="1"/>
        <v>45983609.929999992</v>
      </c>
      <c r="F11" s="25">
        <f t="shared" si="1"/>
        <v>58781039.110000007</v>
      </c>
      <c r="G11" s="25">
        <f t="shared" si="1"/>
        <v>60363735.780000001</v>
      </c>
      <c r="H11" s="25">
        <f t="shared" si="1"/>
        <v>61404043.760000005</v>
      </c>
      <c r="I11" s="25">
        <f t="shared" si="1"/>
        <v>58104381.490000002</v>
      </c>
      <c r="J11" s="25">
        <f t="shared" si="1"/>
        <v>58104381.490000002</v>
      </c>
      <c r="K11" s="25">
        <f t="shared" si="1"/>
        <v>58104381.490000002</v>
      </c>
    </row>
    <row r="12" spans="1:11" x14ac:dyDescent="0.2">
      <c r="A12" s="17" t="s">
        <v>12</v>
      </c>
      <c r="B12" s="118">
        <f>SUM(B10:B11)</f>
        <v>1700869074.0808105</v>
      </c>
      <c r="C12" s="118">
        <f t="shared" ref="C12:K12" si="2">SUM(C10:C11)</f>
        <v>1705485900.5254331</v>
      </c>
      <c r="D12" s="118">
        <f t="shared" si="2"/>
        <v>1721439858.3643131</v>
      </c>
      <c r="E12" s="118">
        <f t="shared" si="2"/>
        <v>1791464460.6228559</v>
      </c>
      <c r="F12" s="118">
        <f t="shared" si="2"/>
        <v>1789211194.4851983</v>
      </c>
      <c r="G12" s="118">
        <f t="shared" si="2"/>
        <v>1810549098.3449092</v>
      </c>
      <c r="H12" s="118">
        <f>SUM(H10:H11)</f>
        <v>1738021070.3128002</v>
      </c>
      <c r="I12" s="118">
        <f>SUM(I10:I11)</f>
        <v>1654779291.1866148</v>
      </c>
      <c r="J12" s="118">
        <f t="shared" si="2"/>
        <v>1641434901.6142337</v>
      </c>
      <c r="K12" s="118">
        <f t="shared" si="2"/>
        <v>1641475175.1616626</v>
      </c>
    </row>
    <row r="13" spans="1:11" x14ac:dyDescent="0.2">
      <c r="A13" s="17"/>
      <c r="C13" s="160"/>
    </row>
    <row r="14" spans="1:11" ht="15.75" x14ac:dyDescent="0.25">
      <c r="A14" s="42" t="s">
        <v>59</v>
      </c>
      <c r="C14" s="160"/>
      <c r="D14" s="21"/>
      <c r="E14" s="21"/>
      <c r="F14" s="21"/>
      <c r="H14" s="55"/>
    </row>
    <row r="15" spans="1:11" x14ac:dyDescent="0.2">
      <c r="A15" s="41" t="str">
        <f>'Rate Class Energy Model'!H2</f>
        <v xml:space="preserve">Residential </v>
      </c>
      <c r="C15" s="160"/>
      <c r="D15" s="21"/>
      <c r="E15" s="21"/>
      <c r="F15" s="21"/>
      <c r="H15" s="6"/>
      <c r="I15" s="6"/>
      <c r="J15" s="6"/>
      <c r="K15" s="6"/>
    </row>
    <row r="16" spans="1:11" x14ac:dyDescent="0.2">
      <c r="A16" t="s">
        <v>51</v>
      </c>
      <c r="B16" s="25">
        <f>'Rate Class Customer Model'!B13</f>
        <v>53053.824999999997</v>
      </c>
      <c r="C16" s="6">
        <f>'Rate Class Customer Model'!B14</f>
        <v>54019.096548117159</v>
      </c>
      <c r="D16" s="25">
        <f>'Rate Class Customer Model'!B15</f>
        <v>54633.271548117154</v>
      </c>
      <c r="E16" s="25">
        <f>'Rate Class Customer Model'!B16</f>
        <v>55069.766666666663</v>
      </c>
      <c r="F16" s="25">
        <f>'Rate Class Customer Model'!B17</f>
        <v>55463.033333333333</v>
      </c>
      <c r="G16" s="25">
        <f>'Rate Class Customer Model'!B18</f>
        <v>55921.837967914442</v>
      </c>
      <c r="H16" s="25">
        <f>'Rate Class Customer Model'!B19</f>
        <v>56560.571301247772</v>
      </c>
      <c r="I16" s="25">
        <f>'Rate Class Customer Model'!B20</f>
        <v>57271.5</v>
      </c>
      <c r="J16" s="25">
        <f>'Rate Class Customer Model'!B21</f>
        <v>57970.103375516119</v>
      </c>
      <c r="K16" s="25">
        <f>'Rate Class Customer Model'!B22</f>
        <v>58677.228383541995</v>
      </c>
    </row>
    <row r="17" spans="1:11" x14ac:dyDescent="0.2">
      <c r="A17" t="s">
        <v>52</v>
      </c>
      <c r="B17" s="25">
        <f>'Rate Class Energy Model'!H6</f>
        <v>476486462.39498103</v>
      </c>
      <c r="C17" s="53">
        <f>'Rate Class Energy Model'!H7</f>
        <v>478456723.38740706</v>
      </c>
      <c r="D17" s="25">
        <f>'Rate Class Energy Model'!H8</f>
        <v>479247117.86883599</v>
      </c>
      <c r="E17" s="25">
        <f>'Rate Class Energy Model'!H9</f>
        <v>464848342.57999998</v>
      </c>
      <c r="F17" s="25">
        <f>'Rate Class Energy Model'!H10</f>
        <v>477025968.10000002</v>
      </c>
      <c r="G17" s="25">
        <f>'Rate Class Energy Model'!H11</f>
        <v>486541295.97806096</v>
      </c>
      <c r="H17" s="25">
        <f>'Rate Class Energy Model'!H12</f>
        <v>479944151.9611001</v>
      </c>
      <c r="I17" s="25">
        <f>'Rate Class Energy Model'!H13</f>
        <v>453855074.99999994</v>
      </c>
      <c r="J17" s="25">
        <f>'Rate Class Energy Model'!H70</f>
        <v>453789900.748303</v>
      </c>
      <c r="K17" s="25">
        <f>'Rate Class Energy Model'!H71</f>
        <v>455917687.37380087</v>
      </c>
    </row>
    <row r="18" spans="1:11" x14ac:dyDescent="0.2">
      <c r="C18" s="53"/>
      <c r="F18" s="55"/>
      <c r="G18" s="55"/>
      <c r="I18" s="55"/>
      <c r="J18" s="55"/>
      <c r="K18" s="55"/>
    </row>
    <row r="19" spans="1:11" x14ac:dyDescent="0.2">
      <c r="A19" s="41" t="str">
        <f>'Rate Class Energy Model'!I2</f>
        <v>General Service &lt; 50 kW</v>
      </c>
      <c r="C19" s="220"/>
      <c r="D19" s="21"/>
      <c r="E19" s="21"/>
      <c r="F19" s="21"/>
      <c r="G19" s="6"/>
      <c r="H19" s="6"/>
      <c r="I19" s="6"/>
      <c r="J19" s="6"/>
      <c r="K19" s="6"/>
    </row>
    <row r="20" spans="1:11" ht="13.5" customHeight="1" x14ac:dyDescent="0.2">
      <c r="A20" t="s">
        <v>51</v>
      </c>
      <c r="B20" s="25">
        <f>'Rate Class Customer Model'!C13</f>
        <v>5893.3649999999998</v>
      </c>
      <c r="C20" s="6">
        <f>'Rate Class Customer Model'!C14</f>
        <v>5932.2793346659046</v>
      </c>
      <c r="D20" s="25">
        <f>'Rate Class Customer Model'!C15</f>
        <v>5980.4143346659048</v>
      </c>
      <c r="E20" s="25">
        <f>'Rate Class Customer Model'!C16</f>
        <v>6004.383517763541</v>
      </c>
      <c r="F20" s="25">
        <f>'Rate Class Customer Model'!C17</f>
        <v>6056.767035527082</v>
      </c>
      <c r="G20" s="25">
        <f>'Rate Class Customer Model'!C18</f>
        <v>6149.0998196068595</v>
      </c>
      <c r="H20" s="25">
        <f>'Rate Class Customer Model'!C19</f>
        <v>6240.7163018433184</v>
      </c>
      <c r="I20" s="25">
        <f>'Rate Class Customer Model'!C20</f>
        <v>6297.5</v>
      </c>
      <c r="J20" s="25">
        <f>'Rate Class Customer Model'!C21</f>
        <v>6373.6893471967605</v>
      </c>
      <c r="K20" s="25">
        <f>'Rate Class Customer Model'!C22</f>
        <v>6450.8004596378669</v>
      </c>
    </row>
    <row r="21" spans="1:11" x14ac:dyDescent="0.2">
      <c r="A21" t="s">
        <v>52</v>
      </c>
      <c r="B21" s="25">
        <f>'Rate Class Energy Model'!I6</f>
        <v>199237830.35864899</v>
      </c>
      <c r="C21" s="6">
        <f>'Rate Class Energy Model'!I7</f>
        <v>194492494.32360297</v>
      </c>
      <c r="D21" s="25">
        <f>'Rate Class Energy Model'!I8</f>
        <v>194297828.73600498</v>
      </c>
      <c r="E21" s="25">
        <f>'Rate Class Energy Model'!I9</f>
        <v>193717266.88</v>
      </c>
      <c r="F21" s="25">
        <f>'Rate Class Energy Model'!I10</f>
        <v>198149244.67199999</v>
      </c>
      <c r="G21" s="25">
        <f>'Rate Class Energy Model'!I11</f>
        <v>203100575.02300143</v>
      </c>
      <c r="H21" s="25">
        <f>'Rate Class Energy Model'!I12</f>
        <v>212807518.98150003</v>
      </c>
      <c r="I21" s="25">
        <f>'Rate Class Energy Model'!I13</f>
        <v>189005847.53</v>
      </c>
      <c r="J21" s="25">
        <f>'Rate Class Energy Model'!I70</f>
        <v>186565536.31280667</v>
      </c>
      <c r="K21" s="25">
        <f>'Rate Class Energy Model'!I71</f>
        <v>191662012.20038912</v>
      </c>
    </row>
    <row r="22" spans="1:11" x14ac:dyDescent="0.2">
      <c r="B22" s="25"/>
      <c r="C22" s="160"/>
      <c r="G22" s="55"/>
      <c r="I22" s="55"/>
      <c r="J22" s="55"/>
      <c r="K22" s="55"/>
    </row>
    <row r="23" spans="1:11" x14ac:dyDescent="0.2">
      <c r="A23" s="41" t="str">
        <f>'Rate Class Energy Model'!J2</f>
        <v>General Service &gt; 50 to 999 kW</v>
      </c>
      <c r="B23" s="25"/>
      <c r="C23" s="160"/>
      <c r="D23" s="21"/>
      <c r="E23" s="21"/>
      <c r="F23" s="21"/>
    </row>
    <row r="24" spans="1:11" x14ac:dyDescent="0.2">
      <c r="A24" t="s">
        <v>51</v>
      </c>
      <c r="B24" s="25">
        <f>'Rate Class Customer Model'!D13</f>
        <v>802.59165000000007</v>
      </c>
      <c r="C24" s="6">
        <f>'Rate Class Customer Model'!D14</f>
        <v>822.44998333333342</v>
      </c>
      <c r="D24" s="25">
        <f>'Rate Class Customer Model'!D15</f>
        <v>838.98333333333335</v>
      </c>
      <c r="E24" s="25">
        <f>'Rate Class Customer Model'!D16</f>
        <v>840.00026063386156</v>
      </c>
      <c r="F24" s="25">
        <f>'Rate Class Customer Model'!D17</f>
        <v>825.00052126772312</v>
      </c>
      <c r="G24" s="25">
        <f>'Rate Class Customer Model'!D18</f>
        <v>807.93707304671102</v>
      </c>
      <c r="H24" s="25">
        <f>'Rate Class Customer Model'!D19</f>
        <v>805.93681241284958</v>
      </c>
      <c r="I24" s="25">
        <f>'Rate Class Customer Model'!D20</f>
        <v>796</v>
      </c>
      <c r="J24" s="25">
        <f>'Rate Class Customer Model'!D21</f>
        <v>798.19667260588278</v>
      </c>
      <c r="K24" s="25">
        <f>'Rate Class Customer Model'!D22</f>
        <v>800.39940723505379</v>
      </c>
    </row>
    <row r="25" spans="1:11" x14ac:dyDescent="0.2">
      <c r="A25" t="s">
        <v>52</v>
      </c>
      <c r="B25" s="25">
        <f>'Rate Class Energy Model'!J6</f>
        <v>486523861.41307795</v>
      </c>
      <c r="C25" s="6">
        <f>'Rate Class Energy Model'!J7</f>
        <v>500487577.54214203</v>
      </c>
      <c r="D25" s="25">
        <f>'Rate Class Energy Model'!J8</f>
        <v>501135344.831294</v>
      </c>
      <c r="E25" s="25">
        <f>'Rate Class Energy Model'!J9</f>
        <v>518348767.14387101</v>
      </c>
      <c r="F25" s="25">
        <f>'Rate Class Energy Model'!J10</f>
        <v>494277241.77838707</v>
      </c>
      <c r="G25" s="25">
        <f>'Rate Class Energy Model'!J11</f>
        <v>485904145.62462068</v>
      </c>
      <c r="H25" s="25">
        <f>'Rate Class Energy Model'!J12</f>
        <v>484199963.40020001</v>
      </c>
      <c r="I25" s="25">
        <f>'Rate Class Energy Model'!J13</f>
        <v>487037521.93633008</v>
      </c>
      <c r="J25" s="25">
        <f>'Rate Class Energy Model'!J70</f>
        <v>487155103.89883274</v>
      </c>
      <c r="K25" s="25">
        <f>'Rate Class Energy Model'!J71</f>
        <v>487508783.298621</v>
      </c>
    </row>
    <row r="26" spans="1:11" x14ac:dyDescent="0.2">
      <c r="A26" t="s">
        <v>53</v>
      </c>
      <c r="B26" s="25">
        <f>'Rate Class Load Model'!B2</f>
        <v>1535991.72820355</v>
      </c>
      <c r="C26" s="6">
        <f>'Rate Class Load Model'!B3</f>
        <v>1559457.9765679198</v>
      </c>
      <c r="D26" s="25">
        <f>'Rate Class Load Model'!B4</f>
        <v>1578630.36979942</v>
      </c>
      <c r="E26" s="25">
        <f>'Rate Class Load Model'!B5</f>
        <v>1568192.8160256497</v>
      </c>
      <c r="F26" s="25">
        <f>'Rate Class Load Model'!B6</f>
        <v>1605303.1854654762</v>
      </c>
      <c r="G26" s="25">
        <f>'Rate Class Load Model'!B7</f>
        <v>1555819.3298522707</v>
      </c>
      <c r="H26" s="25">
        <f>'Rate Class Load Model'!B8</f>
        <v>1564560.6600000001</v>
      </c>
      <c r="I26" s="25">
        <f>'Rate Class Load Model'!B9</f>
        <v>1518753.3299999998</v>
      </c>
      <c r="J26" s="25">
        <f>'Rate Class Load Model'!B10</f>
        <v>1537442.2798401683</v>
      </c>
      <c r="K26" s="25">
        <f>'Rate Class Load Model'!B11</f>
        <v>1538558.4780661359</v>
      </c>
    </row>
    <row r="27" spans="1:11" x14ac:dyDescent="0.2">
      <c r="B27" s="25"/>
      <c r="C27" s="6"/>
      <c r="D27" s="25"/>
      <c r="E27" s="25"/>
      <c r="F27" s="25"/>
      <c r="G27" s="25"/>
      <c r="I27" s="25"/>
      <c r="J27" s="25"/>
      <c r="K27" s="25"/>
    </row>
    <row r="28" spans="1:11" x14ac:dyDescent="0.2">
      <c r="A28" s="41" t="str">
        <f>'Rate Class Energy Model'!K2</f>
        <v>General Service &gt; 1000 to 4999 kW</v>
      </c>
      <c r="B28" s="25"/>
      <c r="C28" s="160"/>
      <c r="E28" s="21"/>
      <c r="F28" s="21"/>
    </row>
    <row r="29" spans="1:11" x14ac:dyDescent="0.2">
      <c r="A29" t="s">
        <v>51</v>
      </c>
      <c r="B29" s="25">
        <f>'Rate Class Customer Model'!E13</f>
        <v>31</v>
      </c>
      <c r="C29" s="6">
        <f>'Rate Class Customer Model'!E14</f>
        <v>33</v>
      </c>
      <c r="D29" s="25">
        <f>'Rate Class Customer Model'!E15</f>
        <v>32</v>
      </c>
      <c r="E29" s="25">
        <f>'Rate Class Customer Model'!E16</f>
        <v>29.5</v>
      </c>
      <c r="F29" s="25">
        <f>'Rate Class Customer Model'!E17</f>
        <v>29</v>
      </c>
      <c r="G29" s="25">
        <f>'Rate Class Customer Model'!E18</f>
        <v>29</v>
      </c>
      <c r="H29" s="25">
        <f>'Rate Class Customer Model'!E19</f>
        <v>28.5</v>
      </c>
      <c r="I29" s="25">
        <f>'Rate Class Customer Model'!E20</f>
        <v>28</v>
      </c>
      <c r="J29" s="25">
        <f>'Rate Class Customer Model'!E21</f>
        <v>27.493472574956247</v>
      </c>
      <c r="K29" s="25">
        <f>'Rate Class Customer Model'!E22</f>
        <v>26.996108365352548</v>
      </c>
    </row>
    <row r="30" spans="1:11" x14ac:dyDescent="0.2">
      <c r="A30" t="s">
        <v>52</v>
      </c>
      <c r="B30" s="25">
        <f>'Rate Class Energy Model'!K6</f>
        <v>250459340.058624</v>
      </c>
      <c r="C30" s="6">
        <f>'Rate Class Energy Model'!K7</f>
        <v>269851932.18712997</v>
      </c>
      <c r="D30" s="25">
        <f>'Rate Class Energy Model'!K8</f>
        <v>256008218.77028799</v>
      </c>
      <c r="E30" s="25">
        <f>'Rate Class Energy Model'!K9</f>
        <v>270280542.79000002</v>
      </c>
      <c r="F30" s="25">
        <f>'Rate Class Energy Model'!K10</f>
        <v>263042175.85000002</v>
      </c>
      <c r="G30" s="25">
        <f>'Rate Class Energy Model'!K11</f>
        <v>263255329.52904668</v>
      </c>
      <c r="H30" s="25">
        <f>'Rate Class Energy Model'!K12</f>
        <v>261804628.41999996</v>
      </c>
      <c r="I30" s="25">
        <f>'Rate Class Energy Model'!K13</f>
        <v>241351905.12511182</v>
      </c>
      <c r="J30" s="25">
        <f>'Rate Class Energy Model'!K70</f>
        <v>234220609.72181344</v>
      </c>
      <c r="K30" s="25">
        <f>'Rate Class Energy Model'!K71</f>
        <v>228523285.78499964</v>
      </c>
    </row>
    <row r="31" spans="1:11" x14ac:dyDescent="0.2">
      <c r="A31" t="s">
        <v>53</v>
      </c>
      <c r="B31" s="25">
        <f>'Rate Class Load Model'!C2</f>
        <v>646503.53520000004</v>
      </c>
      <c r="C31" s="6">
        <f>'Rate Class Load Model'!C3</f>
        <v>659131.46674197295</v>
      </c>
      <c r="D31" s="25">
        <f>'Rate Class Load Model'!C4</f>
        <v>606301.92947526893</v>
      </c>
      <c r="E31" s="25">
        <f>'Rate Class Load Model'!C5</f>
        <v>586434.7699999999</v>
      </c>
      <c r="F31" s="25">
        <f>'Rate Class Load Model'!C6</f>
        <v>581849.28</v>
      </c>
      <c r="G31" s="25">
        <f>'Rate Class Load Model'!C7</f>
        <v>581152.97</v>
      </c>
      <c r="H31" s="25">
        <f>'Rate Class Load Model'!C8</f>
        <v>631904.10997964221</v>
      </c>
      <c r="I31" s="25">
        <f>'Rate Class Load Model'!C9</f>
        <v>574484.46259129199</v>
      </c>
      <c r="J31" s="25">
        <f>'Rate Class Load Model'!C10</f>
        <v>549696.5768787415</v>
      </c>
      <c r="K31" s="25">
        <f>'Rate Class Load Model'!C11</f>
        <v>536325.42448888335</v>
      </c>
    </row>
    <row r="32" spans="1:11" x14ac:dyDescent="0.2">
      <c r="C32" s="160"/>
      <c r="F32" s="25"/>
      <c r="G32" s="25"/>
      <c r="I32" s="25"/>
      <c r="J32" s="25"/>
      <c r="K32" s="25"/>
    </row>
    <row r="33" spans="1:11" x14ac:dyDescent="0.2">
      <c r="A33" s="41" t="str">
        <f>'Rate Class Energy Model'!L2</f>
        <v>Large User</v>
      </c>
      <c r="C33" s="160"/>
      <c r="D33" s="21"/>
      <c r="E33" s="21"/>
      <c r="F33" s="21"/>
      <c r="G33" s="25"/>
    </row>
    <row r="34" spans="1:11" x14ac:dyDescent="0.2">
      <c r="A34" t="s">
        <v>51</v>
      </c>
      <c r="B34" s="25">
        <f>'Rate Class Customer Model'!F13</f>
        <v>2</v>
      </c>
      <c r="C34" s="6">
        <f>'Rate Class Customer Model'!F14</f>
        <v>2</v>
      </c>
      <c r="D34" s="25">
        <f>'Rate Class Customer Model'!F15</f>
        <v>2</v>
      </c>
      <c r="E34" s="25">
        <f>'Rate Class Customer Model'!F16</f>
        <v>2.5</v>
      </c>
      <c r="F34" s="25">
        <f>'Rate Class Customer Model'!F17</f>
        <v>2.5</v>
      </c>
      <c r="G34" s="25">
        <f>'Rate Class Customer Model'!F18</f>
        <v>2</v>
      </c>
      <c r="H34" s="25">
        <f>'Rate Class Customer Model'!F19</f>
        <v>2</v>
      </c>
      <c r="I34" s="25">
        <f>'Rate Class Customer Model'!F20</f>
        <v>2</v>
      </c>
      <c r="J34" s="25">
        <f>'Rate Class Customer Model'!F21</f>
        <v>2</v>
      </c>
      <c r="K34" s="25">
        <f>'Rate Class Customer Model'!F22</f>
        <v>2</v>
      </c>
    </row>
    <row r="35" spans="1:11" x14ac:dyDescent="0.2">
      <c r="A35" t="s">
        <v>52</v>
      </c>
      <c r="B35" s="25">
        <f>'Rate Class Energy Model'!L6</f>
        <v>196557280.622706</v>
      </c>
      <c r="C35" s="6">
        <f>'Rate Class Energy Model'!L7</f>
        <v>169195800.19187</v>
      </c>
      <c r="D35" s="25">
        <f>'Rate Class Energy Model'!L8</f>
        <v>201189505.21250001</v>
      </c>
      <c r="E35" s="25">
        <f>'Rate Class Energy Model'!L9</f>
        <v>204906256.95999998</v>
      </c>
      <c r="F35" s="25">
        <f>'Rate Class Energy Model'!L10</f>
        <v>205265394.56999999</v>
      </c>
      <c r="G35" s="25">
        <f>'Rate Class Energy Model'!L11</f>
        <v>207374361.59</v>
      </c>
      <c r="H35" s="25">
        <f>'Rate Class Energy Model'!L12</f>
        <v>151250311.81999996</v>
      </c>
      <c r="I35" s="25">
        <f>'Rate Class Energy Model'!L13</f>
        <v>146226388.16</v>
      </c>
      <c r="J35" s="25">
        <f>'Rate Class Energy Model'!L70</f>
        <v>145628457.4468382</v>
      </c>
      <c r="K35" s="25">
        <f>'Rate Class Energy Model'!L71</f>
        <v>145141006.46077192</v>
      </c>
    </row>
    <row r="36" spans="1:11" x14ac:dyDescent="0.2">
      <c r="A36" t="s">
        <v>53</v>
      </c>
      <c r="B36" s="25">
        <f>'Rate Class Load Model'!D2</f>
        <v>421436.3223</v>
      </c>
      <c r="C36" s="6">
        <f>'Rate Class Load Model'!D3</f>
        <v>431698.8584427</v>
      </c>
      <c r="D36" s="25">
        <f>'Rate Class Load Model'!D4</f>
        <v>483777.43670654303</v>
      </c>
      <c r="E36" s="25">
        <f>'Rate Class Load Model'!D5</f>
        <v>425911.83</v>
      </c>
      <c r="F36" s="25">
        <f>'Rate Class Load Model'!D6</f>
        <v>457866.89653992082</v>
      </c>
      <c r="G36" s="25">
        <f>'Rate Class Load Model'!D7</f>
        <v>430086.51000000007</v>
      </c>
      <c r="H36" s="25">
        <f>'Rate Class Load Model'!D8</f>
        <v>358566.19</v>
      </c>
      <c r="I36" s="25">
        <f>'Rate Class Load Model'!D9</f>
        <v>348189.01999999996</v>
      </c>
      <c r="J36" s="25">
        <f>'Rate Class Load Model'!D10</f>
        <v>331944.32251332153</v>
      </c>
      <c r="K36" s="25">
        <f>'Rate Class Load Model'!D11</f>
        <v>361276.31069675618</v>
      </c>
    </row>
    <row r="37" spans="1:11" x14ac:dyDescent="0.2">
      <c r="B37" s="25"/>
      <c r="C37" s="160"/>
      <c r="F37" s="25"/>
      <c r="G37" s="25"/>
      <c r="I37" s="25"/>
      <c r="J37" s="25"/>
      <c r="K37" s="25"/>
    </row>
    <row r="38" spans="1:11" x14ac:dyDescent="0.2">
      <c r="A38" s="41" t="str">
        <f>'Rate Class Energy Model'!V2</f>
        <v>Direct Market Participant</v>
      </c>
      <c r="B38" s="25"/>
      <c r="C38" s="160"/>
      <c r="D38" s="21"/>
      <c r="E38" s="21"/>
      <c r="F38" s="21"/>
    </row>
    <row r="39" spans="1:11" x14ac:dyDescent="0.2">
      <c r="A39" t="s">
        <v>51</v>
      </c>
      <c r="B39" s="25">
        <f>'Rate Class Customer Model'!Q13</f>
        <v>4</v>
      </c>
      <c r="C39" s="25">
        <f>'Rate Class Customer Model'!Q14</f>
        <v>4</v>
      </c>
      <c r="D39" s="25">
        <f>'Rate Class Customer Model'!Q15</f>
        <v>4</v>
      </c>
      <c r="E39" s="25">
        <f>'Rate Class Customer Model'!Q16</f>
        <v>4</v>
      </c>
      <c r="F39" s="25">
        <f>'Rate Class Customer Model'!Q17</f>
        <v>4</v>
      </c>
      <c r="G39" s="25">
        <f>'Rate Class Customer Model'!Q18</f>
        <v>4</v>
      </c>
      <c r="H39" s="25">
        <f>'Rate Class Customer Model'!Q19</f>
        <v>4</v>
      </c>
      <c r="I39" s="25">
        <f>'Rate Class Customer Model'!Q20</f>
        <v>4</v>
      </c>
      <c r="J39" s="25">
        <f>'Rate Class Customer Model'!Q21</f>
        <v>4</v>
      </c>
      <c r="K39" s="25">
        <f>'Rate Class Customer Model'!Q22</f>
        <v>4</v>
      </c>
    </row>
    <row r="40" spans="1:11" x14ac:dyDescent="0.2">
      <c r="A40" t="s">
        <v>53</v>
      </c>
      <c r="B40" s="25">
        <f>'Rate Class Load Model'!N2</f>
        <v>75928.2</v>
      </c>
      <c r="C40" s="25">
        <f>'Rate Class Load Model'!N3</f>
        <v>81847.960000000006</v>
      </c>
      <c r="D40" s="25">
        <f>'Rate Class Load Model'!N4</f>
        <v>81650.759999999995</v>
      </c>
      <c r="E40" s="25">
        <f>'Rate Class Load Model'!N5</f>
        <v>73573.420000000013</v>
      </c>
      <c r="F40" s="25">
        <f>'Rate Class Load Model'!N6</f>
        <v>69660.58</v>
      </c>
      <c r="G40" s="25">
        <f>'Rate Class Load Model'!N7</f>
        <v>69115.460000000006</v>
      </c>
      <c r="H40" s="25">
        <f>'Rate Class Load Model'!N8</f>
        <v>70836.33</v>
      </c>
      <c r="I40" s="25">
        <f>'Rate Class Load Model'!N9</f>
        <v>67941.700000000012</v>
      </c>
      <c r="J40" s="25">
        <f>'Rate Class Load Model'!N10</f>
        <v>67941.700000000012</v>
      </c>
      <c r="K40" s="25">
        <f>'Rate Class Load Model'!N11</f>
        <v>67941.700000000012</v>
      </c>
    </row>
    <row r="41" spans="1:1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2">
      <c r="A42" s="41" t="str">
        <f>'Rate Class Energy Model'!M2</f>
        <v>Street Lights</v>
      </c>
      <c r="C42" s="160"/>
      <c r="D42" s="21"/>
      <c r="F42" s="21"/>
      <c r="I42" s="25"/>
    </row>
    <row r="43" spans="1:11" x14ac:dyDescent="0.2">
      <c r="A43" t="s">
        <v>54</v>
      </c>
      <c r="B43" s="25">
        <f>'Rate Class Customer Model'!G13</f>
        <v>15198.5</v>
      </c>
      <c r="C43" s="25">
        <f>'Rate Class Customer Model'!G14</f>
        <v>15263.5</v>
      </c>
      <c r="D43" s="25">
        <f>'Rate Class Customer Model'!G15</f>
        <v>15362</v>
      </c>
      <c r="E43" s="25">
        <f>'Rate Class Customer Model'!G16</f>
        <v>15453.073785272187</v>
      </c>
      <c r="F43" s="25">
        <f>'Rate Class Customer Model'!G17</f>
        <v>15512.073785272187</v>
      </c>
      <c r="G43" s="25">
        <f>'Rate Class Customer Model'!G18</f>
        <v>15538.5</v>
      </c>
      <c r="H43" s="25">
        <f>'Rate Class Customer Model'!G19</f>
        <v>15726</v>
      </c>
      <c r="I43" s="25">
        <f>'Rate Class Customer Model'!G20</f>
        <v>16024</v>
      </c>
      <c r="J43" s="25">
        <f>'Rate Class Customer Model'!G21</f>
        <v>16141.350826567697</v>
      </c>
      <c r="K43" s="25">
        <f>'Rate Class Customer Model'!G22</f>
        <v>16259.561065048532</v>
      </c>
    </row>
    <row r="44" spans="1:11" x14ac:dyDescent="0.2">
      <c r="A44" t="s">
        <v>52</v>
      </c>
      <c r="B44" s="25">
        <f>'Rate Class Energy Model'!M6</f>
        <v>11228686.4925451</v>
      </c>
      <c r="C44" s="25">
        <f>'Rate Class Energy Model'!M7</f>
        <v>11229392.51389375</v>
      </c>
      <c r="D44" s="25">
        <f>'Rate Class Energy Model'!M8</f>
        <v>11359958.941223141</v>
      </c>
      <c r="E44" s="25">
        <f>'Rate Class Energy Model'!M9</f>
        <v>11262943.219999999</v>
      </c>
      <c r="F44" s="25">
        <f>'Rate Class Energy Model'!M10</f>
        <v>11406115.66</v>
      </c>
      <c r="G44" s="25">
        <f>'Rate Class Energy Model'!M11</f>
        <v>11394265.718750002</v>
      </c>
      <c r="H44" s="25">
        <f>'Rate Class Energy Model'!M12</f>
        <v>11108606.15000003</v>
      </c>
      <c r="I44" s="25">
        <f>'Rate Class Energy Model'!M13</f>
        <v>8378434.2200000007</v>
      </c>
      <c r="J44" s="25">
        <f>'Rate Class Energy Model'!M70</f>
        <v>5151174.2704671035</v>
      </c>
      <c r="K44" s="25">
        <f>'Rate Class Energy Model'!M71</f>
        <v>3798280.8279070696</v>
      </c>
    </row>
    <row r="45" spans="1:11" x14ac:dyDescent="0.2">
      <c r="A45" t="s">
        <v>53</v>
      </c>
      <c r="B45" s="25">
        <f>'Rate Class Load Model'!E2</f>
        <v>31414.760000000002</v>
      </c>
      <c r="C45" s="25">
        <f>'Rate Class Load Model'!E3</f>
        <v>31402.7772498757</v>
      </c>
      <c r="D45" s="25">
        <f>'Rate Class Load Model'!E4</f>
        <v>31676.619901697199</v>
      </c>
      <c r="E45" s="25">
        <f>'Rate Class Load Model'!E5</f>
        <v>31771.761757714674</v>
      </c>
      <c r="F45" s="25">
        <f>'Rate Class Load Model'!E6</f>
        <v>31886.136091179094</v>
      </c>
      <c r="G45" s="25">
        <f>'Rate Class Load Model'!E7</f>
        <v>31872.978670269313</v>
      </c>
      <c r="H45" s="25">
        <f>'Rate Class Load Model'!E8</f>
        <v>31300.14</v>
      </c>
      <c r="I45" s="25">
        <f>'Rate Class Load Model'!E9</f>
        <v>24144.04</v>
      </c>
      <c r="J45" s="25">
        <f>'Rate Class Load Model'!E10</f>
        <v>14844.081169277064</v>
      </c>
      <c r="K45" s="25">
        <f>'Rate Class Load Model'!E11</f>
        <v>10945.463296866632</v>
      </c>
    </row>
    <row r="46" spans="1:11" x14ac:dyDescent="0.2">
      <c r="F46" s="25"/>
      <c r="G46" s="25"/>
      <c r="I46" s="25"/>
      <c r="J46" s="25"/>
      <c r="K46" s="25"/>
    </row>
    <row r="47" spans="1:11" x14ac:dyDescent="0.2">
      <c r="A47" s="41" t="str">
        <f>'Rate Class Energy Model'!N2</f>
        <v>Sentinel Lights</v>
      </c>
      <c r="C47" s="160"/>
      <c r="E47" s="21"/>
      <c r="I47" s="75"/>
    </row>
    <row r="48" spans="1:11" x14ac:dyDescent="0.2">
      <c r="A48" t="s">
        <v>54</v>
      </c>
      <c r="B48" s="25">
        <f>'Rate Class Customer Model'!H13</f>
        <v>219.19</v>
      </c>
      <c r="C48" s="6">
        <f>'Rate Class Customer Model'!H14</f>
        <v>189.12055555555554</v>
      </c>
      <c r="D48" s="25">
        <f>'Rate Class Customer Model'!H15</f>
        <v>176.89706230751005</v>
      </c>
      <c r="E48" s="25">
        <f>'Rate Class Customer Model'!H16</f>
        <v>190.6022269604359</v>
      </c>
      <c r="F48" s="25">
        <f>'Rate Class Customer Model'!H17</f>
        <v>188.52144041696278</v>
      </c>
      <c r="G48" s="25">
        <f>'Rate Class Customer Model'!H18</f>
        <v>188.78204217010187</v>
      </c>
      <c r="H48" s="25">
        <f>'Rate Class Customer Model'!H19</f>
        <v>181.02132196162046</v>
      </c>
      <c r="I48" s="25">
        <f>'Rate Class Customer Model'!H20</f>
        <v>168</v>
      </c>
      <c r="J48" s="25">
        <f>'Rate Class Customer Model'!H21</f>
        <v>168</v>
      </c>
      <c r="K48" s="25">
        <f>'Rate Class Customer Model'!H22</f>
        <v>168</v>
      </c>
    </row>
    <row r="49" spans="1:11" x14ac:dyDescent="0.2">
      <c r="A49" t="s">
        <v>52</v>
      </c>
      <c r="B49" s="25">
        <f>'Rate Class Energy Model'!N6</f>
        <v>175284.4</v>
      </c>
      <c r="C49" s="6">
        <f>'Rate Class Energy Model'!N7</f>
        <v>164006.01</v>
      </c>
      <c r="D49" s="25">
        <f>'Rate Class Energy Model'!N8</f>
        <v>178406.38999999998</v>
      </c>
      <c r="E49" s="25">
        <f>'Rate Class Energy Model'!N9</f>
        <v>152803.15</v>
      </c>
      <c r="F49" s="25">
        <f>'Rate Class Energy Model'!N10</f>
        <v>146515.24000000002</v>
      </c>
      <c r="G49" s="25">
        <f>'Rate Class Energy Model'!N11</f>
        <v>142708.41887585534</v>
      </c>
      <c r="H49" s="25">
        <f>'Rate Class Energy Model'!N12</f>
        <v>136701.00000000009</v>
      </c>
      <c r="I49" s="25">
        <f>'Rate Class Energy Model'!N13</f>
        <v>126989</v>
      </c>
      <c r="J49" s="25">
        <f>'Rate Class Energy Model'!N70</f>
        <v>126989.00000000001</v>
      </c>
      <c r="K49" s="25">
        <f>'Rate Class Energy Model'!N71</f>
        <v>126989.00000000001</v>
      </c>
    </row>
    <row r="50" spans="1:11" x14ac:dyDescent="0.2">
      <c r="A50" t="s">
        <v>53</v>
      </c>
      <c r="B50" s="25">
        <f>'Rate Class Load Model'!F2</f>
        <v>486.90111111111116</v>
      </c>
      <c r="C50" s="6">
        <f>'Rate Class Load Model'!F3</f>
        <v>228.22855967333334</v>
      </c>
      <c r="D50" s="25">
        <f>'Rate Class Load Model'!F4</f>
        <v>311.12235571111108</v>
      </c>
      <c r="E50" s="25">
        <f>'Rate Class Load Model'!F5</f>
        <v>306.93329242222217</v>
      </c>
      <c r="F50" s="25">
        <f>'Rate Class Load Model'!F6</f>
        <v>292.76845053333329</v>
      </c>
      <c r="G50" s="25">
        <f>'Rate Class Load Model'!F7</f>
        <v>288.48305517777777</v>
      </c>
      <c r="H50" s="25">
        <f>'Rate Class Load Model'!F8</f>
        <v>416.63902725875835</v>
      </c>
      <c r="I50" s="25">
        <f>'Rate Class Load Model'!F9</f>
        <v>342.92000000000007</v>
      </c>
      <c r="J50" s="25">
        <f>'Rate Class Load Model'!F10</f>
        <v>342.92000000000007</v>
      </c>
      <c r="K50" s="25">
        <f>'Rate Class Load Model'!F11</f>
        <v>342.92000000000007</v>
      </c>
    </row>
    <row r="51" spans="1:11" x14ac:dyDescent="0.2">
      <c r="B51"/>
      <c r="D51"/>
      <c r="E51"/>
      <c r="F51"/>
    </row>
    <row r="52" spans="1:11" x14ac:dyDescent="0.2">
      <c r="A52" s="41" t="str">
        <f>'Rate Class Energy Model'!O2</f>
        <v xml:space="preserve">Unmetered Loads </v>
      </c>
      <c r="C52" s="160"/>
      <c r="D52" s="21"/>
      <c r="E52" s="21"/>
      <c r="F52" s="21"/>
    </row>
    <row r="53" spans="1:11" x14ac:dyDescent="0.2">
      <c r="A53" t="s">
        <v>54</v>
      </c>
      <c r="B53" s="25">
        <f>'Rate Class Customer Model'!I13</f>
        <v>588.875</v>
      </c>
      <c r="C53" s="25">
        <f>'Rate Class Customer Model'!I14</f>
        <v>564.95000000000005</v>
      </c>
      <c r="D53" s="25">
        <f>'Rate Class Customer Model'!I15</f>
        <v>538.45000000000005</v>
      </c>
      <c r="E53" s="25">
        <f>'Rate Class Customer Model'!I16</f>
        <v>534</v>
      </c>
      <c r="F53" s="25">
        <f>'Rate Class Customer Model'!I17</f>
        <v>531</v>
      </c>
      <c r="G53" s="25">
        <f>'Rate Class Customer Model'!I18</f>
        <v>534</v>
      </c>
      <c r="H53" s="25">
        <f>'Rate Class Customer Model'!I19</f>
        <v>523</v>
      </c>
      <c r="I53" s="25">
        <f>'Rate Class Customer Model'!I20</f>
        <v>499</v>
      </c>
      <c r="J53" s="25">
        <f>'Rate Class Customer Model'!I21</f>
        <v>499</v>
      </c>
      <c r="K53" s="25">
        <f>'Rate Class Customer Model'!I22</f>
        <v>499</v>
      </c>
    </row>
    <row r="54" spans="1:11" x14ac:dyDescent="0.2">
      <c r="A54" t="s">
        <v>52</v>
      </c>
      <c r="B54" s="25">
        <f>'Rate Class Energy Model'!O6</f>
        <v>2609944.9105078499</v>
      </c>
      <c r="C54" s="25">
        <f>'Rate Class Energy Model'!O7</f>
        <v>2512918.5874618399</v>
      </c>
      <c r="D54" s="25">
        <f>'Rate Class Energy Model'!O8</f>
        <v>2457457.59674505</v>
      </c>
      <c r="E54" s="25">
        <f>'Rate Class Energy Model'!O9</f>
        <v>2430644.8189845476</v>
      </c>
      <c r="F54" s="25">
        <f>'Rate Class Energy Model'!O10</f>
        <v>2451441.9548110636</v>
      </c>
      <c r="G54" s="25">
        <f>'Rate Class Energy Model'!O11</f>
        <v>2413613.7725536497</v>
      </c>
      <c r="H54" s="25">
        <f>'Rate Class Energy Model'!O12</f>
        <v>2346837.5999999996</v>
      </c>
      <c r="I54" s="25">
        <f>'Rate Class Energy Model'!O13</f>
        <v>2273987.9970972422</v>
      </c>
      <c r="J54" s="25">
        <f>'Rate Class Energy Model'!O70</f>
        <v>2273987.9970972422</v>
      </c>
      <c r="K54" s="25">
        <f>'Rate Class Energy Model'!O71</f>
        <v>2273987.9970972422</v>
      </c>
    </row>
    <row r="55" spans="1:11" x14ac:dyDescent="0.2">
      <c r="B55"/>
      <c r="D55"/>
      <c r="E55"/>
      <c r="F55"/>
    </row>
    <row r="56" spans="1:11" x14ac:dyDescent="0.2">
      <c r="A56" s="41" t="s">
        <v>210</v>
      </c>
      <c r="C56" s="160"/>
      <c r="D56" s="21"/>
      <c r="E56" s="21"/>
      <c r="F56" s="21"/>
      <c r="G56" s="25"/>
      <c r="H56" s="25"/>
    </row>
    <row r="57" spans="1:11" x14ac:dyDescent="0.2">
      <c r="A57" s="112" t="s">
        <v>209</v>
      </c>
      <c r="B57" s="25">
        <f>'Rate Class Customer Model'!M13</f>
        <v>2</v>
      </c>
      <c r="C57" s="25">
        <f>'Rate Class Customer Model'!M14</f>
        <v>2</v>
      </c>
      <c r="D57" s="25">
        <f>'Rate Class Customer Model'!M15</f>
        <v>2</v>
      </c>
      <c r="E57" s="25">
        <f>'Rate Class Customer Model'!M16</f>
        <v>2</v>
      </c>
      <c r="F57" s="25">
        <f>'Rate Class Customer Model'!M17</f>
        <v>2</v>
      </c>
      <c r="G57" s="25">
        <f>'Rate Class Customer Model'!M18</f>
        <v>2</v>
      </c>
      <c r="H57" s="25">
        <f>'Rate Class Customer Model'!M19</f>
        <v>2</v>
      </c>
      <c r="I57" s="25">
        <f>'Rate Class Customer Model'!M20</f>
        <v>2</v>
      </c>
      <c r="J57" s="25">
        <f>'Rate Class Customer Model'!M21</f>
        <v>2</v>
      </c>
      <c r="K57" s="25">
        <f>'Rate Class Customer Model'!M22</f>
        <v>2</v>
      </c>
    </row>
    <row r="58" spans="1:11" x14ac:dyDescent="0.2">
      <c r="A58" s="112" t="s">
        <v>52</v>
      </c>
      <c r="B58" s="25">
        <f>'Rate Class Energy Model'!S6</f>
        <v>13614985.1197195</v>
      </c>
      <c r="C58" s="6">
        <f>'Rate Class Energy Model'!S7</f>
        <v>13478593.7449254</v>
      </c>
      <c r="D58" s="25">
        <f>'Rate Class Energy Model'!S8</f>
        <v>13008528.857421899</v>
      </c>
      <c r="E58" s="25">
        <f>'Rate Class Energy Model'!S9</f>
        <v>13176711.219999999</v>
      </c>
      <c r="F58" s="25">
        <f>'Rate Class Energy Model'!S10</f>
        <v>13845907.199999999</v>
      </c>
      <c r="G58" s="25">
        <f>'Rate Class Energy Model'!S11</f>
        <v>13548202.5</v>
      </c>
      <c r="H58" s="25">
        <f>'Rate Class Energy Model'!S12</f>
        <v>13027612.079999994</v>
      </c>
      <c r="I58" s="25">
        <f>'Rate Class Energy Model'!S13</f>
        <v>12605162.219999999</v>
      </c>
      <c r="J58" s="25">
        <f>'Rate Class Energy Model'!S70</f>
        <v>12605162.219999999</v>
      </c>
      <c r="K58" s="25">
        <f>'Rate Class Energy Model'!S71</f>
        <v>12605162.219999999</v>
      </c>
    </row>
    <row r="59" spans="1:11" x14ac:dyDescent="0.2">
      <c r="A59" s="112" t="s">
        <v>53</v>
      </c>
      <c r="B59" s="25">
        <f t="shared" ref="B59:K59" si="3">B105</f>
        <v>27708.199199999988</v>
      </c>
      <c r="C59" s="25">
        <f t="shared" si="3"/>
        <v>28171.380953131098</v>
      </c>
      <c r="D59" s="25">
        <f t="shared" si="3"/>
        <v>29053.063102722197</v>
      </c>
      <c r="E59" s="25">
        <f t="shared" si="3"/>
        <v>27808.589999999997</v>
      </c>
      <c r="F59" s="25">
        <f t="shared" si="3"/>
        <v>28706.47</v>
      </c>
      <c r="G59" s="25">
        <f t="shared" si="3"/>
        <v>28843.22000000003</v>
      </c>
      <c r="H59" s="25">
        <f>H105</f>
        <v>27465.539999999994</v>
      </c>
      <c r="I59" s="25">
        <f t="shared" si="3"/>
        <v>24387.435638304029</v>
      </c>
      <c r="J59" s="25">
        <f t="shared" si="3"/>
        <v>24387.435638304029</v>
      </c>
      <c r="K59" s="25">
        <f t="shared" si="3"/>
        <v>24387.435638304029</v>
      </c>
    </row>
    <row r="60" spans="1:11" x14ac:dyDescent="0.2">
      <c r="A60" s="112"/>
      <c r="B60" s="25"/>
      <c r="C60" s="25"/>
      <c r="D60" s="25"/>
      <c r="E60" s="25"/>
      <c r="F60" s="25"/>
      <c r="G60" s="25"/>
      <c r="I60" s="25"/>
      <c r="J60" s="25"/>
      <c r="K60" s="25"/>
    </row>
    <row r="61" spans="1:11" x14ac:dyDescent="0.2">
      <c r="A61" s="41" t="s">
        <v>211</v>
      </c>
      <c r="C61" s="160"/>
      <c r="D61" s="21"/>
      <c r="E61" s="21"/>
      <c r="F61" s="21"/>
      <c r="G61" s="25"/>
      <c r="H61" s="25"/>
    </row>
    <row r="62" spans="1:11" x14ac:dyDescent="0.2">
      <c r="A62" s="112" t="s">
        <v>209</v>
      </c>
      <c r="B62" s="25">
        <f>'Rate Class Customer Model'!P13</f>
        <v>1</v>
      </c>
      <c r="C62" s="25">
        <f>'Rate Class Customer Model'!P14</f>
        <v>1</v>
      </c>
      <c r="D62" s="25">
        <f>'Rate Class Customer Model'!P15</f>
        <v>1</v>
      </c>
      <c r="E62" s="25">
        <f>'Rate Class Customer Model'!P15</f>
        <v>1</v>
      </c>
      <c r="F62" s="25">
        <f>'Rate Class Customer Model'!P17</f>
        <v>1</v>
      </c>
      <c r="G62" s="25">
        <f>'Rate Class Customer Model'!P18</f>
        <v>1</v>
      </c>
      <c r="H62" s="25">
        <f>'Rate Class Customer Model'!P19</f>
        <v>1</v>
      </c>
      <c r="I62" s="25">
        <f>'Rate Class Customer Model'!P20</f>
        <v>1</v>
      </c>
      <c r="J62" s="25">
        <f>'Rate Class Customer Model'!P21</f>
        <v>1</v>
      </c>
      <c r="K62" s="25">
        <f>'Rate Class Customer Model'!P22</f>
        <v>1</v>
      </c>
    </row>
    <row r="63" spans="1:11" x14ac:dyDescent="0.2">
      <c r="A63" s="112" t="s">
        <v>52</v>
      </c>
      <c r="B63" s="25">
        <f>'Rate Class Energy Model'!U6</f>
        <v>0</v>
      </c>
      <c r="C63" s="25">
        <f>'Rate Class Energy Model'!U7</f>
        <v>0</v>
      </c>
      <c r="D63" s="25">
        <f>'Rate Class Energy Model'!U8</f>
        <v>0</v>
      </c>
      <c r="E63" s="25">
        <f>'Rate Class Energy Model'!U9</f>
        <v>45983609.929999992</v>
      </c>
      <c r="F63" s="25">
        <f>'Rate Class Energy Model'!U10</f>
        <v>58781039.110000007</v>
      </c>
      <c r="G63" s="25">
        <f>'Rate Class Energy Model'!U11</f>
        <v>60363735.780000001</v>
      </c>
      <c r="H63" s="25">
        <f>'Rate Class Energy Model'!U12</f>
        <v>61404043.760000005</v>
      </c>
      <c r="I63" s="25">
        <f>'Rate Class Energy Model'!U13</f>
        <v>58104381.490000002</v>
      </c>
      <c r="J63" s="25">
        <f>'Rate Class Energy Model'!U66</f>
        <v>58104381.490000002</v>
      </c>
      <c r="K63" s="25">
        <f>'Rate Class Energy Model'!U67</f>
        <v>58104381.490000002</v>
      </c>
    </row>
    <row r="64" spans="1:11" x14ac:dyDescent="0.2">
      <c r="A64" s="112" t="s">
        <v>53</v>
      </c>
      <c r="B64" s="25">
        <f t="shared" ref="B64:K64" si="4">B104</f>
        <v>73663.072638679005</v>
      </c>
      <c r="C64" s="25">
        <f t="shared" si="4"/>
        <v>78979.832576877903</v>
      </c>
      <c r="D64" s="25">
        <f t="shared" si="4"/>
        <v>70981.983230590806</v>
      </c>
      <c r="E64" s="25">
        <f t="shared" si="4"/>
        <v>92129.709999999992</v>
      </c>
      <c r="F64" s="25">
        <f t="shared" si="4"/>
        <v>106790</v>
      </c>
      <c r="G64" s="25">
        <f t="shared" si="4"/>
        <v>108928.78999999998</v>
      </c>
      <c r="H64" s="25">
        <f>H104</f>
        <v>121168.08</v>
      </c>
      <c r="I64" s="25">
        <f t="shared" si="4"/>
        <v>114656.88436169598</v>
      </c>
      <c r="J64" s="25">
        <f t="shared" si="4"/>
        <v>114656.88436169598</v>
      </c>
      <c r="K64" s="25">
        <f t="shared" si="4"/>
        <v>114656.88436169598</v>
      </c>
    </row>
    <row r="65" spans="1:11" x14ac:dyDescent="0.2">
      <c r="A65" s="112"/>
      <c r="C65" s="25"/>
      <c r="D65" s="25"/>
      <c r="E65" s="25"/>
      <c r="F65" s="25"/>
      <c r="G65" s="25"/>
      <c r="H65" s="25"/>
      <c r="J65" s="25"/>
      <c r="K65" s="25"/>
    </row>
    <row r="66" spans="1:11" x14ac:dyDescent="0.2">
      <c r="A66" s="41" t="s">
        <v>212</v>
      </c>
      <c r="D66" s="21"/>
      <c r="E66" s="21"/>
      <c r="F66" s="21"/>
      <c r="G66" s="25"/>
    </row>
    <row r="67" spans="1:11" x14ac:dyDescent="0.2">
      <c r="A67" s="112" t="s">
        <v>209</v>
      </c>
      <c r="B67" s="25">
        <f>'Rate Class Customer Model'!J13</f>
        <v>1</v>
      </c>
      <c r="C67" s="25">
        <f>'Rate Class Customer Model'!J14</f>
        <v>1</v>
      </c>
      <c r="D67" s="25">
        <f>'Rate Class Customer Model'!J15</f>
        <v>1</v>
      </c>
      <c r="E67" s="25">
        <f>'Rate Class Customer Model'!J16</f>
        <v>1</v>
      </c>
      <c r="F67" s="25">
        <f>'Rate Class Customer Model'!J17</f>
        <v>1</v>
      </c>
      <c r="G67" s="25">
        <f>'Rate Class Customer Model'!J18</f>
        <v>1</v>
      </c>
      <c r="H67" s="25">
        <f>'Rate Class Customer Model'!J19</f>
        <v>1</v>
      </c>
      <c r="I67" s="25">
        <f>'Rate Class Customer Model'!J20</f>
        <v>1</v>
      </c>
      <c r="J67" s="25">
        <f>'Rate Class Customer Model'!J21</f>
        <v>1</v>
      </c>
      <c r="K67" s="25">
        <f>'Rate Class Customer Model'!J22</f>
        <v>1</v>
      </c>
    </row>
    <row r="68" spans="1:11" x14ac:dyDescent="0.2">
      <c r="A68" s="112" t="s">
        <v>52</v>
      </c>
      <c r="B68" s="25">
        <f>'Rate Class Energy Model'!P6</f>
        <v>373339</v>
      </c>
      <c r="C68" s="25">
        <f>'Rate Class Energy Model'!P7</f>
        <v>373339</v>
      </c>
      <c r="D68" s="25">
        <f>'Rate Class Energy Model'!P8</f>
        <v>374823</v>
      </c>
      <c r="E68" s="25">
        <f>'Rate Class Energy Model'!P9</f>
        <v>356273</v>
      </c>
      <c r="F68" s="25">
        <f>'Rate Class Energy Model'!P10</f>
        <v>338022</v>
      </c>
      <c r="G68" s="25">
        <f>'Rate Class Energy Model'!P11</f>
        <v>352067.78</v>
      </c>
      <c r="H68" s="25">
        <f>'Rate Class Energy Model'!P12</f>
        <v>380114.44</v>
      </c>
      <c r="I68" s="25">
        <f>'Rate Class Energy Model'!P13</f>
        <v>347756.59287776717</v>
      </c>
      <c r="J68" s="25">
        <f>'Rate Class Energy Model'!P70</f>
        <v>347756.59287776717</v>
      </c>
      <c r="K68" s="25">
        <f>'Rate Class Energy Model'!P71</f>
        <v>347756.59287776717</v>
      </c>
    </row>
    <row r="69" spans="1:11" x14ac:dyDescent="0.2">
      <c r="A69" s="112" t="s">
        <v>53</v>
      </c>
      <c r="B69" s="25">
        <f>'Rate Class Load Model'!G2</f>
        <v>10.28</v>
      </c>
      <c r="C69" s="25">
        <f>'Rate Class Load Model'!G3</f>
        <v>44.33</v>
      </c>
      <c r="D69" s="25">
        <f>'Rate Class Load Model'!G4</f>
        <v>87.52000000000001</v>
      </c>
      <c r="E69" s="25">
        <f>'Rate Class Load Model'!G5</f>
        <v>31.049999999999997</v>
      </c>
      <c r="F69" s="25">
        <f>'Rate Class Load Model'!G6</f>
        <v>94.67</v>
      </c>
      <c r="G69" s="25">
        <f>'Rate Class Load Model'!G7</f>
        <v>95.46</v>
      </c>
      <c r="H69" s="25">
        <f>'Rate Class Load Model'!G8</f>
        <v>1313.24</v>
      </c>
      <c r="I69" s="25">
        <f>'Rate Class Load Model'!G9</f>
        <v>1074.96</v>
      </c>
      <c r="J69" s="25">
        <f>'Rate Class Load Model'!G10</f>
        <v>1074.96</v>
      </c>
      <c r="K69" s="25">
        <f>'Rate Class Load Model'!G11</f>
        <v>1074.96</v>
      </c>
    </row>
    <row r="71" spans="1:11" x14ac:dyDescent="0.2">
      <c r="A71" s="41" t="s">
        <v>213</v>
      </c>
      <c r="D71" s="21"/>
      <c r="E71" s="21"/>
      <c r="F71" s="21"/>
      <c r="G71" s="25"/>
      <c r="H71" s="25"/>
    </row>
    <row r="72" spans="1:11" x14ac:dyDescent="0.2">
      <c r="A72" s="112" t="s">
        <v>209</v>
      </c>
      <c r="B72" s="25">
        <f>'Rate Class Customer Model'!K13</f>
        <v>1</v>
      </c>
      <c r="C72" s="25">
        <f>'Rate Class Customer Model'!K14</f>
        <v>1</v>
      </c>
      <c r="D72" s="25">
        <f>'Rate Class Customer Model'!K15</f>
        <v>1</v>
      </c>
      <c r="E72" s="25">
        <f>'Rate Class Customer Model'!K16</f>
        <v>1</v>
      </c>
      <c r="F72" s="25">
        <f>'Rate Class Customer Model'!K17</f>
        <v>1</v>
      </c>
      <c r="G72" s="25">
        <f>'Rate Class Customer Model'!K18</f>
        <v>1</v>
      </c>
      <c r="H72" s="25">
        <f>'Rate Class Customer Model'!K19</f>
        <v>1</v>
      </c>
      <c r="I72" s="25">
        <f>'Rate Class Customer Model'!K20</f>
        <v>1</v>
      </c>
      <c r="J72" s="25">
        <f>'Rate Class Customer Model'!K21</f>
        <v>1</v>
      </c>
      <c r="K72" s="25">
        <f>'Rate Class Customer Model'!K22</f>
        <v>1</v>
      </c>
    </row>
    <row r="73" spans="1:11" x14ac:dyDescent="0.2">
      <c r="A73" s="112" t="s">
        <v>52</v>
      </c>
      <c r="B73" s="25">
        <f>'Rate Class Energy Model'!Q6</f>
        <v>13348829.459999999</v>
      </c>
      <c r="C73" s="25">
        <f>'Rate Class Energy Model'!Q7</f>
        <v>13695349.587000001</v>
      </c>
      <c r="D73" s="25">
        <f>'Rate Class Energy Model'!Q8</f>
        <v>9863706.6199999992</v>
      </c>
      <c r="E73" s="25">
        <f>'Rate Class Energy Model'!Q9</f>
        <v>13883197</v>
      </c>
      <c r="F73" s="25">
        <f>'Rate Class Energy Model'!Q10</f>
        <v>12996387</v>
      </c>
      <c r="G73" s="25">
        <f>'Rate Class Energy Model'!Q11</f>
        <v>13819341.6</v>
      </c>
      <c r="H73" s="25">
        <f>'Rate Class Energy Model'!Q12</f>
        <v>13560291.5</v>
      </c>
      <c r="I73" s="25">
        <f>'Rate Class Energy Model'!Q13</f>
        <v>12191720.381133871</v>
      </c>
      <c r="J73" s="25">
        <f>'Rate Class Energy Model'!Q70</f>
        <v>12191720.381133871</v>
      </c>
      <c r="K73" s="25">
        <f>'Rate Class Energy Model'!Q71</f>
        <v>12191720.381133871</v>
      </c>
    </row>
    <row r="74" spans="1:11" x14ac:dyDescent="0.2">
      <c r="A74" s="112" t="s">
        <v>53</v>
      </c>
      <c r="B74" s="25">
        <f>'Rate Class Load Model'!H2</f>
        <v>29199.89</v>
      </c>
      <c r="C74" s="25">
        <f>'Rate Class Load Model'!H3</f>
        <v>31127.55</v>
      </c>
      <c r="D74" s="25">
        <f>'Rate Class Load Model'!H4</f>
        <v>24429.269999999997</v>
      </c>
      <c r="E74" s="25">
        <f>'Rate Class Load Model'!H5</f>
        <v>31865.139999999996</v>
      </c>
      <c r="F74" s="25">
        <f>'Rate Class Load Model'!H6</f>
        <v>31822.170000000002</v>
      </c>
      <c r="G74" s="25">
        <f>'Rate Class Load Model'!H7</f>
        <v>30826.699999999997</v>
      </c>
      <c r="H74" s="25">
        <f>'Rate Class Load Model'!H8</f>
        <v>29427.999999999996</v>
      </c>
      <c r="I74" s="25">
        <f>'Rate Class Load Model'!H9</f>
        <v>29010.799999999999</v>
      </c>
      <c r="J74" s="25">
        <f>'Rate Class Load Model'!H10</f>
        <v>29994.605248481424</v>
      </c>
      <c r="K74" s="25">
        <f>'Rate Class Load Model'!H11</f>
        <v>29994.605248481424</v>
      </c>
    </row>
    <row r="76" spans="1:11" x14ac:dyDescent="0.2">
      <c r="A76" s="41" t="s">
        <v>214</v>
      </c>
      <c r="C76" s="160"/>
      <c r="D76" s="21"/>
      <c r="E76" s="21"/>
      <c r="F76" s="21"/>
      <c r="G76" s="25"/>
      <c r="H76" s="25"/>
    </row>
    <row r="77" spans="1:11" x14ac:dyDescent="0.2">
      <c r="A77" t="s">
        <v>51</v>
      </c>
      <c r="B77" s="25">
        <f>'Rate Class Customer Model'!L13</f>
        <v>4</v>
      </c>
      <c r="C77" s="25">
        <f>'Rate Class Customer Model'!L14</f>
        <v>4</v>
      </c>
      <c r="D77" s="25">
        <f>'Rate Class Customer Model'!L15</f>
        <v>4</v>
      </c>
      <c r="E77" s="25">
        <f>'Rate Class Customer Model'!L16</f>
        <v>4</v>
      </c>
      <c r="F77" s="25">
        <f>'Rate Class Customer Model'!L17</f>
        <v>4</v>
      </c>
      <c r="G77" s="25">
        <f>'Rate Class Customer Model'!L18</f>
        <v>4</v>
      </c>
      <c r="H77" s="25">
        <f>'Rate Class Customer Model'!L19</f>
        <v>4</v>
      </c>
      <c r="I77" s="25">
        <f>'Rate Class Customer Model'!L20</f>
        <v>4</v>
      </c>
      <c r="J77" s="25">
        <f>'Rate Class Customer Model'!L21</f>
        <v>4</v>
      </c>
      <c r="K77" s="25">
        <f>'Rate Class Customer Model'!L22</f>
        <v>4</v>
      </c>
    </row>
    <row r="78" spans="1:11" x14ac:dyDescent="0.2">
      <c r="A78" t="s">
        <v>52</v>
      </c>
      <c r="B78" s="25">
        <f>'Rate Class Energy Model'!R6</f>
        <v>50253229.850000001</v>
      </c>
      <c r="C78" s="25">
        <f>'Rate Class Energy Model'!R7</f>
        <v>51547773.450000003</v>
      </c>
      <c r="D78" s="25">
        <f>'Rate Class Energy Model'!R8</f>
        <v>52318961.540000007</v>
      </c>
      <c r="E78" s="25">
        <f>'Rate Class Energy Model'!R9</f>
        <v>52117101.93</v>
      </c>
      <c r="F78" s="25">
        <f>'Rate Class Energy Model'!R10</f>
        <v>51485741.349999994</v>
      </c>
      <c r="G78" s="25">
        <f>'Rate Class Energy Model'!R11</f>
        <v>62339455.030000001</v>
      </c>
      <c r="H78" s="25">
        <f>'Rate Class Energy Model'!R12</f>
        <v>46050289.200000003</v>
      </c>
      <c r="I78" s="25">
        <f>'Rate Class Energy Model'!R13</f>
        <v>43274121.534063838</v>
      </c>
      <c r="J78" s="55">
        <f>'Rate Class Energy Model'!R70</f>
        <v>43274121.534063838</v>
      </c>
      <c r="K78" s="55">
        <f>'Rate Class Energy Model'!R71</f>
        <v>43274121.534063838</v>
      </c>
    </row>
    <row r="79" spans="1:11" x14ac:dyDescent="0.2">
      <c r="A79" s="112" t="s">
        <v>218</v>
      </c>
      <c r="B79" s="25">
        <f>'Rate Class Load Model'!I2</f>
        <v>109926.40127449173</v>
      </c>
      <c r="C79" s="25">
        <f>'Rate Class Load Model'!I3</f>
        <v>117160.63801515776</v>
      </c>
      <c r="D79" s="25">
        <f>'Rate Class Load Model'!I4</f>
        <v>129577.45874038131</v>
      </c>
      <c r="E79" s="25">
        <f>'Rate Class Load Model'!I5</f>
        <v>119620.77246283546</v>
      </c>
      <c r="F79" s="25">
        <f>'Rate Class Load Model'!I6</f>
        <v>126064.88355692466</v>
      </c>
      <c r="G79" s="25">
        <f>'Rate Class Load Model'!I7</f>
        <v>139060.14729191593</v>
      </c>
      <c r="H79" s="25">
        <f>'Rate Class Load Model'!I8</f>
        <v>99936.488133577368</v>
      </c>
      <c r="I79" s="25">
        <f>'Rate Class Load Model'!I9</f>
        <v>102972.90667387019</v>
      </c>
      <c r="J79" s="25">
        <f>'Rate Class Load Model'!I10</f>
        <v>102972.90667387019</v>
      </c>
      <c r="K79" s="25">
        <f>'Rate Class Load Model'!I11</f>
        <v>102972.90667387019</v>
      </c>
    </row>
    <row r="81" spans="1:14" x14ac:dyDescent="0.2">
      <c r="A81" s="41" t="s">
        <v>12</v>
      </c>
      <c r="C81" s="21"/>
      <c r="E81" s="21"/>
      <c r="H81" s="114"/>
    </row>
    <row r="82" spans="1:14" x14ac:dyDescent="0.2">
      <c r="A82" t="s">
        <v>56</v>
      </c>
      <c r="B82" s="25">
        <f t="shared" ref="B82:H82" si="5">B77+B72+B67+B62+B57+B53+B48+B43+B39+B34+B29+B24+B20+B16</f>
        <v>75802.346649999992</v>
      </c>
      <c r="C82" s="25">
        <f t="shared" si="5"/>
        <v>76839.396421671961</v>
      </c>
      <c r="D82" s="25">
        <f t="shared" si="5"/>
        <v>77577.016278423893</v>
      </c>
      <c r="E82" s="25">
        <f t="shared" si="5"/>
        <v>78136.826457296687</v>
      </c>
      <c r="F82" s="25">
        <f t="shared" si="5"/>
        <v>78620.89611581729</v>
      </c>
      <c r="G82" s="25">
        <f t="shared" si="5"/>
        <v>79184.156902738119</v>
      </c>
      <c r="H82" s="25">
        <f t="shared" si="5"/>
        <v>80080.745737465564</v>
      </c>
      <c r="I82" s="25">
        <f t="shared" ref="I82:K82" si="6">I77+I72+I67+I62+I57+I53+I48+I43+I39+I34+I29+I24+I20+I16</f>
        <v>81099</v>
      </c>
      <c r="J82" s="25">
        <f t="shared" si="6"/>
        <v>81992.833694461413</v>
      </c>
      <c r="K82" s="25">
        <f t="shared" si="6"/>
        <v>82896.985423828795</v>
      </c>
    </row>
    <row r="83" spans="1:14" x14ac:dyDescent="0.2">
      <c r="A83" t="s">
        <v>52</v>
      </c>
      <c r="B83" s="25">
        <f>B78+B73+B68+B63+B58+B54+B49+B44+B35+B30+B25+B21+B17</f>
        <v>1700869074.0808105</v>
      </c>
      <c r="C83" s="25">
        <f t="shared" ref="C83:H83" si="7">C78+C73+C68+C63+C58+C54+C49+C44+C35+C30+C25+C21+C17</f>
        <v>1705485900.5254331</v>
      </c>
      <c r="D83" s="25">
        <f t="shared" si="7"/>
        <v>1721439858.3643131</v>
      </c>
      <c r="E83" s="25">
        <f t="shared" si="7"/>
        <v>1791464460.6228557</v>
      </c>
      <c r="F83" s="25">
        <f t="shared" si="7"/>
        <v>1789211194.485198</v>
      </c>
      <c r="G83" s="25">
        <f t="shared" si="7"/>
        <v>1810549098.3449092</v>
      </c>
      <c r="H83" s="25">
        <f t="shared" si="7"/>
        <v>1738021070.3127999</v>
      </c>
      <c r="I83" s="25">
        <f t="shared" ref="I83:K83" si="8">I78+I73+I68+I63+I58+I54+I49+I44+I35+I30+I25+I21+I17</f>
        <v>1654779291.1866148</v>
      </c>
      <c r="J83" s="25">
        <f t="shared" si="8"/>
        <v>1641434901.6142337</v>
      </c>
      <c r="K83" s="25">
        <f t="shared" si="8"/>
        <v>1641475175.1616626</v>
      </c>
    </row>
    <row r="84" spans="1:14" x14ac:dyDescent="0.2">
      <c r="A84" t="s">
        <v>55</v>
      </c>
      <c r="B84" s="25">
        <f t="shared" ref="B84:G84" si="9">B26+B31+B36+B40+B45+B50+B59+B64+B69+B74+B79</f>
        <v>2952269.2899278314</v>
      </c>
      <c r="C84" s="25">
        <f t="shared" si="9"/>
        <v>3019250.9991073082</v>
      </c>
      <c r="D84" s="25">
        <f t="shared" si="9"/>
        <v>3036477.5333123347</v>
      </c>
      <c r="E84" s="25">
        <f t="shared" si="9"/>
        <v>2957646.7935386221</v>
      </c>
      <c r="F84" s="25">
        <f t="shared" si="9"/>
        <v>3040337.0401040348</v>
      </c>
      <c r="G84" s="25">
        <f t="shared" si="9"/>
        <v>2976090.048869634</v>
      </c>
      <c r="H84" s="25">
        <f>H26+H31+H36+H40+H45+H50+H59+H64+H69+H74+H79</f>
        <v>2936895.4171404787</v>
      </c>
      <c r="I84" s="25">
        <f t="shared" ref="I84:K84" si="10">I26+I31+I36+I40+I45+I50+I59+I64+I69+I74+I79</f>
        <v>2805958.4592651618</v>
      </c>
      <c r="J84" s="25">
        <f t="shared" si="10"/>
        <v>2775298.6723238598</v>
      </c>
      <c r="K84" s="25">
        <f t="shared" si="10"/>
        <v>2788477.0884709931</v>
      </c>
    </row>
    <row r="85" spans="1:14" x14ac:dyDescent="0.2">
      <c r="C85" s="114"/>
      <c r="D85" s="21"/>
      <c r="E85" s="21"/>
      <c r="F85" s="21"/>
    </row>
    <row r="86" spans="1:14" x14ac:dyDescent="0.2">
      <c r="A86" t="s">
        <v>56</v>
      </c>
      <c r="B86" s="25">
        <f>'Rate Class Customer Model'!N13+'Rate Class Customer Model'!P13+'Rate Class Customer Model'!Q13</f>
        <v>75802.346649999992</v>
      </c>
      <c r="C86" s="25">
        <f>'Rate Class Customer Model'!N14+'Rate Class Customer Model'!P14+'Rate Class Customer Model'!Q14</f>
        <v>76839.396421671932</v>
      </c>
      <c r="D86" s="25">
        <f>'Rate Class Customer Model'!N15+'Rate Class Customer Model'!P15+'Rate Class Customer Model'!Q15</f>
        <v>77577.016278423907</v>
      </c>
      <c r="E86" s="25">
        <f>'Rate Class Customer Model'!N16+'Rate Class Customer Model'!P16+'Rate Class Customer Model'!Q16</f>
        <v>78136.826457296687</v>
      </c>
      <c r="F86" s="25">
        <f>'Rate Class Customer Model'!N17+'Rate Class Customer Model'!P17+'Rate Class Customer Model'!Q17</f>
        <v>78620.89611581729</v>
      </c>
      <c r="G86" s="25">
        <f>'Rate Class Customer Model'!N18+'Rate Class Customer Model'!P18+'Rate Class Customer Model'!Q18</f>
        <v>79184.156902738119</v>
      </c>
      <c r="H86" s="25">
        <f>'Rate Class Customer Model'!N19+'Rate Class Customer Model'!P19+'Rate Class Customer Model'!Q19</f>
        <v>80080.745737465564</v>
      </c>
      <c r="I86" s="25">
        <f>'Rate Class Customer Model'!N20+'Rate Class Customer Model'!P20+'Rate Class Customer Model'!Q20</f>
        <v>81099</v>
      </c>
      <c r="J86" s="25">
        <f>'Rate Class Customer Model'!N21+'Rate Class Customer Model'!P21+'Rate Class Customer Model'!Q21</f>
        <v>81992.833694461413</v>
      </c>
      <c r="K86" s="25">
        <f>'Rate Class Customer Model'!N22+'Rate Class Customer Model'!P22+'Rate Class Customer Model'!Q22</f>
        <v>82896.985423828795</v>
      </c>
    </row>
    <row r="87" spans="1:14" x14ac:dyDescent="0.2">
      <c r="A87" t="s">
        <v>52</v>
      </c>
      <c r="B87" s="25">
        <f>'Rate Class Energy Model'!G6+'Rate Class Energy Model'!U6</f>
        <v>1700869074.0808105</v>
      </c>
      <c r="C87" s="25">
        <f>'Rate Class Energy Model'!G7+'Rate Class Energy Model'!U7</f>
        <v>1705485900.5254331</v>
      </c>
      <c r="D87" s="25">
        <f>'Rate Class Energy Model'!G8+'Rate Class Energy Model'!U8</f>
        <v>1721439858.3643131</v>
      </c>
      <c r="E87" s="25">
        <f>'Rate Class Energy Model'!G9+'Rate Class Energy Model'!U9</f>
        <v>1791464460.6228559</v>
      </c>
      <c r="F87" s="25">
        <f>'Rate Class Energy Model'!G10+'Rate Class Energy Model'!U10</f>
        <v>1789211194.4851983</v>
      </c>
      <c r="G87" s="25">
        <f>'Rate Class Energy Model'!G11+'Rate Class Energy Model'!U11</f>
        <v>1810549098.3449092</v>
      </c>
      <c r="H87" s="25">
        <f>'Rate Class Energy Model'!G12+'Rate Class Energy Model'!U12</f>
        <v>1738021070.3128002</v>
      </c>
      <c r="I87" s="25">
        <f>'Rate Class Energy Model'!G13+'Rate Class Energy Model'!U13</f>
        <v>1654779291.1866148</v>
      </c>
      <c r="J87" s="25">
        <f>'Rate Class Energy Model'!T70+'Rate Class Energy Model'!U66</f>
        <v>1641434901.6142337</v>
      </c>
      <c r="K87" s="25">
        <f>'Rate Class Energy Model'!T71+'Rate Class Energy Model'!U67</f>
        <v>1641475175.1616626</v>
      </c>
      <c r="M87" s="25"/>
      <c r="N87" s="55"/>
    </row>
    <row r="88" spans="1:14" x14ac:dyDescent="0.2">
      <c r="A88" t="s">
        <v>55</v>
      </c>
      <c r="B88" s="25">
        <f>'Rate Class Load Model'!K2+'Rate Class Load Model'!N2</f>
        <v>2952269.2899278314</v>
      </c>
      <c r="C88" s="25">
        <f>'Rate Class Load Model'!K3+'Rate Class Load Model'!N3</f>
        <v>3019250.9991073082</v>
      </c>
      <c r="D88" s="25">
        <f>'Rate Class Load Model'!K4+'Rate Class Load Model'!N4</f>
        <v>3036477.5333123347</v>
      </c>
      <c r="E88" s="25">
        <f>'Rate Class Load Model'!K5+'Rate Class Load Model'!N5</f>
        <v>2957646.7935386221</v>
      </c>
      <c r="F88" s="25">
        <f>'Rate Class Load Model'!K6+'Rate Class Load Model'!N6</f>
        <v>3040337.0401040348</v>
      </c>
      <c r="G88" s="25">
        <f>'Rate Class Load Model'!K7+'Rate Class Load Model'!N7</f>
        <v>2976090.048869634</v>
      </c>
      <c r="H88" s="25">
        <f>'Rate Class Load Model'!K8+'Rate Class Load Model'!N8</f>
        <v>2936895.4171404787</v>
      </c>
      <c r="I88" s="25">
        <f>'Rate Class Load Model'!K9+'Rate Class Load Model'!N9</f>
        <v>2805958.4592651618</v>
      </c>
      <c r="J88" s="25">
        <f>'Rate Class Load Model'!K10+'Rate Class Load Model'!N10</f>
        <v>2775298.6723238598</v>
      </c>
      <c r="K88" s="25">
        <f>'Rate Class Load Model'!K11+'Rate Class Load Model'!N11</f>
        <v>2788477.0884709931</v>
      </c>
    </row>
    <row r="90" spans="1:14" hidden="1" x14ac:dyDescent="0.2">
      <c r="A90" t="s">
        <v>56</v>
      </c>
      <c r="C90" s="30"/>
      <c r="I90" s="25" t="e">
        <f>#REF!</f>
        <v>#REF!</v>
      </c>
      <c r="J90" s="25" t="e">
        <f>#REF!</f>
        <v>#REF!</v>
      </c>
      <c r="K90" s="25" t="e">
        <f>#REF!</f>
        <v>#REF!</v>
      </c>
    </row>
    <row r="91" spans="1:14" hidden="1" x14ac:dyDescent="0.2">
      <c r="A91" t="s">
        <v>52</v>
      </c>
      <c r="C91" s="30"/>
      <c r="I91" s="25" t="e">
        <f>#REF!</f>
        <v>#REF!</v>
      </c>
      <c r="J91" s="25" t="e">
        <f>#REF!</f>
        <v>#REF!</v>
      </c>
      <c r="K91" s="25" t="e">
        <f>#REF!</f>
        <v>#REF!</v>
      </c>
    </row>
    <row r="92" spans="1:14" hidden="1" x14ac:dyDescent="0.2">
      <c r="A92" t="s">
        <v>55</v>
      </c>
      <c r="C92" s="30"/>
      <c r="I92" s="25" t="e">
        <f>#REF!</f>
        <v>#REF!</v>
      </c>
      <c r="J92" s="25" t="e">
        <f>#REF!</f>
        <v>#REF!</v>
      </c>
      <c r="K92" s="25" t="e">
        <f>#REF!</f>
        <v>#REF!</v>
      </c>
    </row>
    <row r="93" spans="1:14" hidden="1" x14ac:dyDescent="0.2">
      <c r="C93" s="30"/>
    </row>
    <row r="94" spans="1:14" hidden="1" x14ac:dyDescent="0.2">
      <c r="A94" t="s">
        <v>56</v>
      </c>
      <c r="C94" s="30"/>
      <c r="I94" s="25" t="e">
        <f>#REF!-I90</f>
        <v>#REF!</v>
      </c>
      <c r="J94" s="25" t="e">
        <f>#REF!-J90</f>
        <v>#REF!</v>
      </c>
      <c r="K94" s="25" t="e">
        <f>#REF!-K90</f>
        <v>#REF!</v>
      </c>
    </row>
    <row r="95" spans="1:14" hidden="1" x14ac:dyDescent="0.2">
      <c r="A95" t="s">
        <v>52</v>
      </c>
      <c r="C95" s="30"/>
      <c r="I95" s="25" t="e">
        <f>#REF!-I91</f>
        <v>#REF!</v>
      </c>
      <c r="J95" s="25" t="e">
        <f>#REF!-J91</f>
        <v>#REF!</v>
      </c>
      <c r="K95" s="25" t="e">
        <f>#REF!-K91</f>
        <v>#REF!</v>
      </c>
    </row>
    <row r="96" spans="1:14" hidden="1" x14ac:dyDescent="0.2">
      <c r="A96" t="s">
        <v>55</v>
      </c>
      <c r="C96" s="30"/>
      <c r="I96" s="25" t="e">
        <f>#REF!-I92</f>
        <v>#REF!</v>
      </c>
      <c r="J96" s="25" t="e">
        <f>#REF!-J92</f>
        <v>#REF!</v>
      </c>
      <c r="K96" s="25" t="e">
        <f>#REF!-K92</f>
        <v>#REF!</v>
      </c>
    </row>
    <row r="97" spans="1:13" hidden="1" x14ac:dyDescent="0.2">
      <c r="C97" s="30"/>
    </row>
    <row r="98" spans="1:13" x14ac:dyDescent="0.2">
      <c r="A98" s="112" t="s">
        <v>19</v>
      </c>
    </row>
    <row r="99" spans="1:13" x14ac:dyDescent="0.2">
      <c r="A99" t="s">
        <v>56</v>
      </c>
      <c r="B99" s="25">
        <f>B82-B86</f>
        <v>0</v>
      </c>
      <c r="C99" s="25">
        <f t="shared" ref="C99:H99" si="11">C82-C86</f>
        <v>0</v>
      </c>
      <c r="D99" s="25">
        <f t="shared" si="11"/>
        <v>0</v>
      </c>
      <c r="E99" s="25">
        <f t="shared" si="11"/>
        <v>0</v>
      </c>
      <c r="F99" s="25">
        <f t="shared" si="11"/>
        <v>0</v>
      </c>
      <c r="G99" s="25">
        <f t="shared" si="11"/>
        <v>0</v>
      </c>
      <c r="H99" s="25">
        <f t="shared" si="11"/>
        <v>0</v>
      </c>
      <c r="I99" s="25">
        <f t="shared" ref="I99:K99" si="12">I82-I86</f>
        <v>0</v>
      </c>
      <c r="J99" s="25">
        <f t="shared" si="12"/>
        <v>0</v>
      </c>
      <c r="K99" s="25">
        <f t="shared" si="12"/>
        <v>0</v>
      </c>
    </row>
    <row r="100" spans="1:13" x14ac:dyDescent="0.2">
      <c r="A100" t="s">
        <v>52</v>
      </c>
      <c r="B100" s="25">
        <f>B83-B87</f>
        <v>0</v>
      </c>
      <c r="C100" s="25">
        <f t="shared" ref="C100:H100" si="13">C83-C87</f>
        <v>0</v>
      </c>
      <c r="D100" s="25">
        <f t="shared" si="13"/>
        <v>0</v>
      </c>
      <c r="E100" s="25">
        <f t="shared" si="13"/>
        <v>0</v>
      </c>
      <c r="F100" s="25">
        <f t="shared" si="13"/>
        <v>0</v>
      </c>
      <c r="G100" s="25">
        <f t="shared" si="13"/>
        <v>0</v>
      </c>
      <c r="H100" s="25">
        <f t="shared" si="13"/>
        <v>0</v>
      </c>
      <c r="I100" s="25">
        <f t="shared" ref="I100:K100" si="14">I83-I87</f>
        <v>0</v>
      </c>
      <c r="J100" s="25">
        <f t="shared" si="14"/>
        <v>0</v>
      </c>
      <c r="K100" s="25">
        <f t="shared" si="14"/>
        <v>0</v>
      </c>
    </row>
    <row r="101" spans="1:13" x14ac:dyDescent="0.2">
      <c r="A101" t="s">
        <v>55</v>
      </c>
      <c r="B101" s="25">
        <f>B84-B88</f>
        <v>0</v>
      </c>
      <c r="C101" s="25">
        <f t="shared" ref="C101:G101" si="15">C84-C88</f>
        <v>0</v>
      </c>
      <c r="D101" s="25">
        <f t="shared" si="15"/>
        <v>0</v>
      </c>
      <c r="E101" s="25">
        <f t="shared" si="15"/>
        <v>0</v>
      </c>
      <c r="F101" s="25">
        <f t="shared" si="15"/>
        <v>0</v>
      </c>
      <c r="G101" s="25">
        <f t="shared" si="15"/>
        <v>0</v>
      </c>
      <c r="H101" s="25">
        <f>H84-H88</f>
        <v>0</v>
      </c>
      <c r="I101" s="25">
        <f t="shared" ref="I101:K101" si="16">I84-I88</f>
        <v>0</v>
      </c>
      <c r="J101" s="25">
        <f t="shared" si="16"/>
        <v>0</v>
      </c>
      <c r="K101" s="25">
        <f t="shared" si="16"/>
        <v>0</v>
      </c>
    </row>
    <row r="103" spans="1:13" x14ac:dyDescent="0.2">
      <c r="A103" t="s">
        <v>67</v>
      </c>
      <c r="C103" s="30"/>
    </row>
    <row r="104" spans="1:13" x14ac:dyDescent="0.2">
      <c r="A104" t="s">
        <v>68</v>
      </c>
      <c r="B104" s="221">
        <v>73663.072638679005</v>
      </c>
      <c r="C104" s="222">
        <v>78979.832576877903</v>
      </c>
      <c r="D104" s="222">
        <v>70981.983230590806</v>
      </c>
      <c r="E104" s="221">
        <v>92129.709999999992</v>
      </c>
      <c r="F104" s="221">
        <v>106790</v>
      </c>
      <c r="G104" s="221">
        <v>108928.78999999998</v>
      </c>
      <c r="H104" s="221">
        <v>121168.08</v>
      </c>
      <c r="I104" s="221">
        <f>H104*'Rate Class Energy Model'!U13/'Rate Class Energy Model'!U12</f>
        <v>114656.88436169598</v>
      </c>
      <c r="J104" s="221">
        <f t="shared" ref="J104:K104" si="17">I104</f>
        <v>114656.88436169598</v>
      </c>
      <c r="K104" s="221">
        <f t="shared" si="17"/>
        <v>114656.88436169598</v>
      </c>
    </row>
    <row r="105" spans="1:13" x14ac:dyDescent="0.2">
      <c r="A105" t="s">
        <v>69</v>
      </c>
      <c r="B105" s="221">
        <f t="shared" ref="B105:K105" si="18">B106-B104</f>
        <v>27708.199199999988</v>
      </c>
      <c r="C105" s="221">
        <f t="shared" si="18"/>
        <v>28171.380953131098</v>
      </c>
      <c r="D105" s="221">
        <f t="shared" si="18"/>
        <v>29053.063102722197</v>
      </c>
      <c r="E105" s="221">
        <f t="shared" si="18"/>
        <v>27808.589999999997</v>
      </c>
      <c r="F105" s="221">
        <f t="shared" si="18"/>
        <v>28706.47</v>
      </c>
      <c r="G105" s="221">
        <f t="shared" si="18"/>
        <v>28843.22000000003</v>
      </c>
      <c r="H105" s="221">
        <f t="shared" si="18"/>
        <v>27465.539999999994</v>
      </c>
      <c r="I105" s="221">
        <f t="shared" si="18"/>
        <v>24387.435638304029</v>
      </c>
      <c r="J105" s="221">
        <f t="shared" si="18"/>
        <v>24387.435638304029</v>
      </c>
      <c r="K105" s="221">
        <f t="shared" si="18"/>
        <v>24387.435638304029</v>
      </c>
    </row>
    <row r="106" spans="1:13" x14ac:dyDescent="0.2">
      <c r="A106" s="112" t="s">
        <v>20</v>
      </c>
      <c r="B106" s="77">
        <f>'Rate Class Load Model'!J2</f>
        <v>101371.27183867899</v>
      </c>
      <c r="C106" s="77">
        <f>'Rate Class Load Model'!J3</f>
        <v>107151.213530009</v>
      </c>
      <c r="D106" s="77">
        <f>'Rate Class Load Model'!J4</f>
        <v>100035.046333313</v>
      </c>
      <c r="E106" s="77">
        <f>'Rate Class Load Model'!J5</f>
        <v>119938.29999999999</v>
      </c>
      <c r="F106" s="77">
        <f>'Rate Class Load Model'!J6</f>
        <v>135496.47</v>
      </c>
      <c r="G106" s="77">
        <f>'Rate Class Load Model'!J7</f>
        <v>137772.01</v>
      </c>
      <c r="H106" s="77">
        <f>'Rate Class Load Model'!J8</f>
        <v>148633.62</v>
      </c>
      <c r="I106" s="77">
        <f>'Rate Class Load Model'!J9</f>
        <v>139044.32</v>
      </c>
      <c r="J106" s="77">
        <f>'Rate Class Load Model'!J10</f>
        <v>139044.32</v>
      </c>
      <c r="K106" s="77">
        <f>'Rate Class Load Model'!J11</f>
        <v>139044.32</v>
      </c>
    </row>
    <row r="107" spans="1:13" x14ac:dyDescent="0.2">
      <c r="A107" s="112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</row>
    <row r="108" spans="1:13" x14ac:dyDescent="0.2">
      <c r="A108" s="41" t="s">
        <v>216</v>
      </c>
    </row>
    <row r="109" spans="1:13" x14ac:dyDescent="0.2">
      <c r="A109" t="s">
        <v>56</v>
      </c>
      <c r="B109" s="25">
        <f>'Summary BCP'!B57+'Summary CND'!B58</f>
        <v>75802.346650000007</v>
      </c>
      <c r="C109" s="25">
        <f>'Summary BCP'!C57+'Summary CND'!C58</f>
        <v>76839.396421671947</v>
      </c>
      <c r="D109" s="25">
        <f>'Summary BCP'!D57+'Summary CND'!D58</f>
        <v>77577.016278423907</v>
      </c>
      <c r="E109" s="25">
        <f>'Summary BCP'!E57+'Summary CND'!E58</f>
        <v>78136.826457296687</v>
      </c>
      <c r="F109" s="25">
        <f>'Summary BCP'!F57+'Summary CND'!F58</f>
        <v>78620.89611581729</v>
      </c>
      <c r="G109" s="25">
        <f>'Summary BCP'!G57+'Summary CND'!G58</f>
        <v>79184.156902738105</v>
      </c>
      <c r="H109" s="25">
        <f>'Summary BCP'!H57+'Summary CND'!H58</f>
        <v>80080.745737465564</v>
      </c>
      <c r="I109" s="25">
        <f>'Summary BCP'!I57+'Summary CND'!I58</f>
        <v>81099</v>
      </c>
      <c r="J109" s="25">
        <f>'Summary BCP'!J57+'Summary CND'!J58</f>
        <v>81992.833694461413</v>
      </c>
      <c r="K109" s="25">
        <f>'Summary BCP'!K57+'Summary CND'!K58</f>
        <v>82896.98542382881</v>
      </c>
    </row>
    <row r="110" spans="1:13" x14ac:dyDescent="0.2">
      <c r="A110" t="s">
        <v>52</v>
      </c>
      <c r="B110" s="25">
        <f>'Summary BCP'!B58+'Summary CND'!B59</f>
        <v>1700869074.0808105</v>
      </c>
      <c r="C110" s="25">
        <f>'Summary BCP'!C58+'Summary CND'!C59</f>
        <v>1705485900.5254333</v>
      </c>
      <c r="D110" s="25">
        <f>'Summary BCP'!D58+'Summary CND'!D59</f>
        <v>1721439858.3643131</v>
      </c>
      <c r="E110" s="25">
        <f>'Summary BCP'!E58+'Summary CND'!E59</f>
        <v>1791464460.6228554</v>
      </c>
      <c r="F110" s="25">
        <f>'Summary BCP'!F58+'Summary CND'!F59</f>
        <v>1789211194.485198</v>
      </c>
      <c r="G110" s="25">
        <f>'Summary BCP'!G58+'Summary CND'!G59</f>
        <v>1810549098.3449092</v>
      </c>
      <c r="H110" s="25">
        <f>'Summary BCP'!H58+'Summary CND'!H59</f>
        <v>1738021070.3128002</v>
      </c>
      <c r="I110" s="25">
        <f>'Summary BCP'!I58+'Summary CND'!I59</f>
        <v>1654779291.1866148</v>
      </c>
      <c r="J110" s="25">
        <f>'Summary BCP'!J58+'Summary CND'!J59</f>
        <v>1641434901.614234</v>
      </c>
      <c r="K110" s="25">
        <f>'Summary BCP'!K58+'Summary CND'!K59</f>
        <v>1641475175.1616623</v>
      </c>
    </row>
    <row r="111" spans="1:13" x14ac:dyDescent="0.2">
      <c r="A111" t="s">
        <v>55</v>
      </c>
      <c r="B111" s="25">
        <f>'Summary BCP'!B59+'Summary CND'!B60</f>
        <v>2952269.2899278323</v>
      </c>
      <c r="C111" s="25">
        <f>'Summary BCP'!C59+'Summary CND'!C60</f>
        <v>3019250.9991073082</v>
      </c>
      <c r="D111" s="25">
        <f>'Summary BCP'!D59+'Summary CND'!D60</f>
        <v>3036477.5333123347</v>
      </c>
      <c r="E111" s="25">
        <f>'Summary BCP'!E59+'Summary CND'!E60</f>
        <v>2957646.7935386216</v>
      </c>
      <c r="F111" s="25">
        <f>'Summary BCP'!F59+'Summary CND'!F60</f>
        <v>3040337.0401040344</v>
      </c>
      <c r="G111" s="25">
        <f>'Summary BCP'!G59+'Summary CND'!G60</f>
        <v>2976090.0488696336</v>
      </c>
      <c r="H111" s="25">
        <f>'Summary BCP'!H59+'Summary CND'!H60</f>
        <v>2936895.4171404783</v>
      </c>
      <c r="I111" s="25">
        <f>'Summary BCP'!I59+'Summary CND'!I60</f>
        <v>2805958.4592651622</v>
      </c>
      <c r="J111" s="25">
        <f>'Summary BCP'!J59+'Summary CND'!J60</f>
        <v>2775298.6723238602</v>
      </c>
      <c r="K111" s="25">
        <f>'Summary BCP'!K59+'Summary CND'!K60</f>
        <v>2788477.0884709936</v>
      </c>
      <c r="M111" s="55"/>
    </row>
    <row r="112" spans="1:13" x14ac:dyDescent="0.2">
      <c r="B112" s="25"/>
      <c r="C112" s="25"/>
      <c r="D112" s="25"/>
      <c r="E112" s="25"/>
      <c r="F112" s="25"/>
      <c r="G112" s="25"/>
      <c r="I112" s="25"/>
      <c r="J112" s="25"/>
      <c r="K112" s="25"/>
    </row>
    <row r="113" spans="1:11" x14ac:dyDescent="0.2">
      <c r="A113" s="112" t="s">
        <v>19</v>
      </c>
    </row>
    <row r="114" spans="1:11" x14ac:dyDescent="0.2">
      <c r="A114" t="s">
        <v>56</v>
      </c>
      <c r="B114" s="25">
        <f>B86-B109</f>
        <v>0</v>
      </c>
      <c r="C114" s="25">
        <f t="shared" ref="C114:K114" si="19">C86-C109</f>
        <v>0</v>
      </c>
      <c r="D114" s="25">
        <f t="shared" si="19"/>
        <v>0</v>
      </c>
      <c r="E114" s="25">
        <f t="shared" si="19"/>
        <v>0</v>
      </c>
      <c r="F114" s="25">
        <f t="shared" si="19"/>
        <v>0</v>
      </c>
      <c r="G114" s="25">
        <f t="shared" si="19"/>
        <v>0</v>
      </c>
      <c r="H114" s="25">
        <f t="shared" si="19"/>
        <v>0</v>
      </c>
      <c r="I114" s="25">
        <f t="shared" si="19"/>
        <v>0</v>
      </c>
      <c r="J114" s="25">
        <f t="shared" si="19"/>
        <v>0</v>
      </c>
      <c r="K114" s="25">
        <f t="shared" si="19"/>
        <v>0</v>
      </c>
    </row>
    <row r="115" spans="1:11" x14ac:dyDescent="0.2">
      <c r="A115" t="s">
        <v>52</v>
      </c>
      <c r="B115" s="25">
        <f>B87-B110</f>
        <v>0</v>
      </c>
      <c r="C115" s="25">
        <f t="shared" ref="C115:K115" si="20">C87-C110</f>
        <v>0</v>
      </c>
      <c r="D115" s="25">
        <f t="shared" si="20"/>
        <v>0</v>
      </c>
      <c r="E115" s="25">
        <f t="shared" si="20"/>
        <v>0</v>
      </c>
      <c r="F115" s="25">
        <f t="shared" si="20"/>
        <v>0</v>
      </c>
      <c r="G115" s="25">
        <f t="shared" si="20"/>
        <v>0</v>
      </c>
      <c r="H115" s="25">
        <f t="shared" si="20"/>
        <v>0</v>
      </c>
      <c r="I115" s="25">
        <f t="shared" si="20"/>
        <v>0</v>
      </c>
      <c r="J115" s="25">
        <f t="shared" si="20"/>
        <v>0</v>
      </c>
      <c r="K115" s="25">
        <f t="shared" si="20"/>
        <v>0</v>
      </c>
    </row>
    <row r="116" spans="1:11" x14ac:dyDescent="0.2">
      <c r="A116" t="s">
        <v>55</v>
      </c>
      <c r="B116" s="25">
        <f>B88-B111</f>
        <v>0</v>
      </c>
      <c r="C116" s="25">
        <f t="shared" ref="C116:K116" si="21">C88-C111</f>
        <v>0</v>
      </c>
      <c r="D116" s="25">
        <f t="shared" si="21"/>
        <v>0</v>
      </c>
      <c r="E116" s="25">
        <f t="shared" si="21"/>
        <v>0</v>
      </c>
      <c r="F116" s="25">
        <f t="shared" si="21"/>
        <v>0</v>
      </c>
      <c r="G116" s="25">
        <f t="shared" si="21"/>
        <v>0</v>
      </c>
      <c r="H116" s="25">
        <f>H88-H111</f>
        <v>0</v>
      </c>
      <c r="I116" s="25">
        <f t="shared" si="21"/>
        <v>0</v>
      </c>
      <c r="J116" s="25">
        <f t="shared" si="21"/>
        <v>0</v>
      </c>
      <c r="K116" s="25">
        <f t="shared" si="21"/>
        <v>0</v>
      </c>
    </row>
    <row r="119" spans="1:11" x14ac:dyDescent="0.2">
      <c r="A119" t="s">
        <v>222</v>
      </c>
      <c r="B119" s="6">
        <f t="shared" ref="B119:G119" si="22">B109-B53-B48-B43</f>
        <v>59795.781650000004</v>
      </c>
      <c r="C119" s="6">
        <f t="shared" si="22"/>
        <v>60821.8258661164</v>
      </c>
      <c r="D119" s="6">
        <f t="shared" si="22"/>
        <v>61499.669216116396</v>
      </c>
      <c r="E119" s="6">
        <f t="shared" si="22"/>
        <v>61959.150445064071</v>
      </c>
      <c r="F119" s="6">
        <f t="shared" si="22"/>
        <v>62389.300890128136</v>
      </c>
      <c r="G119" s="6">
        <f t="shared" si="22"/>
        <v>62922.874860568001</v>
      </c>
      <c r="H119" s="6">
        <f>H109-H53-H48-H43</f>
        <v>63650.724415503937</v>
      </c>
      <c r="I119" s="6">
        <f t="shared" ref="I119:K119" si="23">I109-I53-I48-I43</f>
        <v>64408</v>
      </c>
      <c r="J119" s="6">
        <f t="shared" si="23"/>
        <v>65184.482867893719</v>
      </c>
      <c r="K119" s="6">
        <f t="shared" si="23"/>
        <v>65970.424358780278</v>
      </c>
    </row>
  </sheetData>
  <phoneticPr fontId="0" type="noConversion"/>
  <pageMargins left="0.38" right="0.75" top="0.73" bottom="0.74" header="0.5" footer="0.5"/>
  <pageSetup scale="74" fitToHeight="2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workbookViewId="0">
      <selection activeCell="D22" sqref="D22"/>
    </sheetView>
  </sheetViews>
  <sheetFormatPr defaultRowHeight="12.75" x14ac:dyDescent="0.2"/>
  <cols>
    <col min="1" max="1" width="43.28515625" customWidth="1"/>
    <col min="2" max="2" width="14" style="71" bestFit="1" customWidth="1"/>
    <col min="3" max="3" width="14" bestFit="1" customWidth="1"/>
    <col min="4" max="6" width="12.7109375" style="30" bestFit="1" customWidth="1"/>
    <col min="7" max="8" width="12.7109375" bestFit="1" customWidth="1"/>
    <col min="9" max="9" width="12.5703125" customWidth="1"/>
    <col min="10" max="11" width="12.7109375" bestFit="1" customWidth="1"/>
  </cols>
  <sheetData>
    <row r="1" spans="1:11" ht="15.75" x14ac:dyDescent="0.25">
      <c r="A1" s="42" t="s">
        <v>199</v>
      </c>
      <c r="B1" s="30"/>
    </row>
    <row r="2" spans="1:11" x14ac:dyDescent="0.2">
      <c r="B2" s="30"/>
    </row>
    <row r="3" spans="1:11" x14ac:dyDescent="0.2">
      <c r="B3" s="113" t="s">
        <v>73</v>
      </c>
      <c r="C3" s="44" t="s">
        <v>72</v>
      </c>
      <c r="D3" s="113" t="s">
        <v>71</v>
      </c>
      <c r="E3" s="44" t="s">
        <v>173</v>
      </c>
      <c r="F3" s="44" t="s">
        <v>174</v>
      </c>
      <c r="G3" s="113" t="s">
        <v>175</v>
      </c>
      <c r="H3" s="113" t="s">
        <v>176</v>
      </c>
      <c r="I3" s="113" t="s">
        <v>202</v>
      </c>
      <c r="J3" s="44" t="s">
        <v>177</v>
      </c>
      <c r="K3" s="44" t="s">
        <v>178</v>
      </c>
    </row>
    <row r="4" spans="1:11" x14ac:dyDescent="0.2">
      <c r="A4" s="17" t="s">
        <v>57</v>
      </c>
      <c r="B4" s="27">
        <v>291433060</v>
      </c>
      <c r="C4" s="27">
        <v>293737263</v>
      </c>
      <c r="D4" s="27">
        <v>293429507</v>
      </c>
      <c r="E4" s="27">
        <v>301042483</v>
      </c>
      <c r="F4" s="27">
        <v>303815429</v>
      </c>
      <c r="G4" s="27">
        <v>293516037.00000006</v>
      </c>
      <c r="H4" s="27">
        <v>298126493</v>
      </c>
      <c r="I4" s="27">
        <f>'Purchased Power Model'!E161</f>
        <v>286507171.5518769</v>
      </c>
    </row>
    <row r="5" spans="1:11" x14ac:dyDescent="0.2">
      <c r="B5" s="113"/>
      <c r="C5" s="44"/>
      <c r="D5" s="113"/>
      <c r="E5" s="44"/>
      <c r="F5" s="44"/>
      <c r="G5" s="113"/>
      <c r="H5" s="113"/>
    </row>
    <row r="6" spans="1:11" x14ac:dyDescent="0.2">
      <c r="A6" s="17" t="s">
        <v>118</v>
      </c>
      <c r="B6" s="6">
        <v>271869208.26999998</v>
      </c>
      <c r="C6" s="6">
        <v>278419409.917</v>
      </c>
      <c r="D6" s="25">
        <v>273767432.33925796</v>
      </c>
      <c r="E6" s="25">
        <v>282638929.30000001</v>
      </c>
      <c r="F6" s="25">
        <v>284646658.80200005</v>
      </c>
      <c r="G6" s="25">
        <v>285243240.10868824</v>
      </c>
      <c r="H6" s="25">
        <v>288991554.07593203</v>
      </c>
      <c r="I6" s="25">
        <f>SUM('Rate Class Energy Model'!H37:R37)</f>
        <v>270576406.03905129</v>
      </c>
    </row>
    <row r="7" spans="1:11" x14ac:dyDescent="0.2">
      <c r="A7" s="17"/>
      <c r="B7" s="30"/>
      <c r="C7" s="160"/>
      <c r="H7" s="25"/>
    </row>
    <row r="8" spans="1:11" ht="15.75" x14ac:dyDescent="0.25">
      <c r="A8" s="42" t="s">
        <v>59</v>
      </c>
      <c r="B8" s="30"/>
      <c r="C8" s="160"/>
      <c r="D8" s="21"/>
      <c r="F8" s="21"/>
    </row>
    <row r="9" spans="1:11" x14ac:dyDescent="0.2">
      <c r="A9" s="41" t="s">
        <v>1</v>
      </c>
      <c r="B9" s="30"/>
      <c r="C9" s="160"/>
      <c r="D9" s="21"/>
      <c r="E9" s="21"/>
      <c r="F9" s="21"/>
    </row>
    <row r="10" spans="1:11" x14ac:dyDescent="0.2">
      <c r="A10" t="s">
        <v>51</v>
      </c>
      <c r="B10" s="25">
        <v>8133.3250000000007</v>
      </c>
      <c r="C10" s="25">
        <v>8238.5965481171552</v>
      </c>
      <c r="D10" s="25">
        <v>8349.7715481171545</v>
      </c>
      <c r="E10" s="25">
        <v>8431.7666666666664</v>
      </c>
      <c r="F10" s="25">
        <v>8519.5333333333347</v>
      </c>
      <c r="G10" s="25">
        <v>8599.8379679144382</v>
      </c>
      <c r="H10" s="25">
        <v>8731.0713012477718</v>
      </c>
      <c r="I10" s="25">
        <f>AVERAGE('Rate Class Customer Model'!B79:B80)</f>
        <v>8895.5</v>
      </c>
      <c r="J10" s="25">
        <f>I10/Summary!I16*Summary!J16</f>
        <v>9004.0081816768143</v>
      </c>
      <c r="K10" s="25">
        <f>I10/Summary!I16*Summary!K16</f>
        <v>9113.8399567987199</v>
      </c>
    </row>
    <row r="11" spans="1:11" x14ac:dyDescent="0.2">
      <c r="A11" t="s">
        <v>52</v>
      </c>
      <c r="B11" s="25">
        <v>80219627</v>
      </c>
      <c r="C11" s="25">
        <v>81900003.020000011</v>
      </c>
      <c r="D11" s="25">
        <v>79659539.737000003</v>
      </c>
      <c r="E11" s="25">
        <v>79931655.050000012</v>
      </c>
      <c r="F11" s="25">
        <v>81545698.020000011</v>
      </c>
      <c r="G11" s="25">
        <v>85209274.018060982</v>
      </c>
      <c r="H11" s="25">
        <f>'Rate Class Energy Model'!H36</f>
        <v>83373122.232199997</v>
      </c>
      <c r="I11" s="25">
        <f>'Rate Class Energy Model'!H37</f>
        <v>79607416.689999983</v>
      </c>
      <c r="J11" s="25">
        <f>J10/Summary!J16*Summary!J17</f>
        <v>70483365.410483912</v>
      </c>
      <c r="K11" s="25">
        <f>K10/Summary!K16*Summary!K17</f>
        <v>70813856.595927224</v>
      </c>
    </row>
    <row r="12" spans="1:11" x14ac:dyDescent="0.2">
      <c r="B12" s="30"/>
    </row>
    <row r="13" spans="1:11" x14ac:dyDescent="0.2">
      <c r="A13" s="41" t="s">
        <v>138</v>
      </c>
      <c r="B13" s="30"/>
      <c r="C13" s="220"/>
      <c r="D13" s="21"/>
      <c r="E13" s="21"/>
      <c r="F13" s="21"/>
      <c r="G13" s="25"/>
    </row>
    <row r="14" spans="1:11" ht="13.5" customHeight="1" x14ac:dyDescent="0.2">
      <c r="A14" t="s">
        <v>51</v>
      </c>
      <c r="B14" s="25">
        <v>1289.365</v>
      </c>
      <c r="C14" s="6">
        <v>1302.779334665905</v>
      </c>
      <c r="D14" s="25">
        <v>1319.414334665905</v>
      </c>
      <c r="E14" s="25">
        <v>1308.383517763541</v>
      </c>
      <c r="F14" s="25">
        <v>1297.767035527082</v>
      </c>
      <c r="G14" s="25">
        <v>1297.599819606859</v>
      </c>
      <c r="H14" s="25">
        <v>1319.716301843318</v>
      </c>
      <c r="I14" s="25">
        <f>AVERAGE('Rate Class Customer Model'!C79:C80)</f>
        <v>1339</v>
      </c>
      <c r="J14" s="25">
        <f>I14/Summary!I20*Summary!J20</f>
        <v>1355.1996881137693</v>
      </c>
      <c r="K14" s="25">
        <f>I14/Summary!I20*Summary!K20</f>
        <v>1371.5953656935458</v>
      </c>
    </row>
    <row r="15" spans="1:11" x14ac:dyDescent="0.2">
      <c r="A15" t="s">
        <v>52</v>
      </c>
      <c r="B15" s="25">
        <v>35757937.539999999</v>
      </c>
      <c r="C15" s="6">
        <v>36170425.079999998</v>
      </c>
      <c r="D15" s="25">
        <v>35702794.359999992</v>
      </c>
      <c r="E15" s="25">
        <v>37126640.460000001</v>
      </c>
      <c r="F15" s="25">
        <v>37605273.952</v>
      </c>
      <c r="G15" s="25">
        <v>35949071.403001435</v>
      </c>
      <c r="H15" s="25">
        <f>'Rate Class Energy Model'!I36</f>
        <v>42681652.129600003</v>
      </c>
      <c r="I15" s="25">
        <f>'Rate Class Energy Model'!I37</f>
        <v>36754537.07</v>
      </c>
      <c r="J15" s="25">
        <f>J14/Summary!J20*Summary!J21</f>
        <v>39668321.258094184</v>
      </c>
      <c r="K15" s="25">
        <f>K14/Summary!K20*Summary!K21</f>
        <v>40751954.638558321</v>
      </c>
    </row>
    <row r="16" spans="1:11" x14ac:dyDescent="0.2">
      <c r="B16" s="25"/>
      <c r="C16" s="160"/>
    </row>
    <row r="17" spans="1:11" x14ac:dyDescent="0.2">
      <c r="A17" s="41" t="s">
        <v>139</v>
      </c>
      <c r="B17" s="25"/>
      <c r="C17" s="160"/>
      <c r="D17" s="21"/>
      <c r="E17" s="21"/>
      <c r="F17" s="21"/>
    </row>
    <row r="18" spans="1:11" x14ac:dyDescent="0.2">
      <c r="A18" t="s">
        <v>51</v>
      </c>
      <c r="B18" s="25">
        <v>94.591650000000001</v>
      </c>
      <c r="C18" s="6">
        <v>98.949983333333336</v>
      </c>
      <c r="D18" s="25">
        <v>102.48333333333333</v>
      </c>
      <c r="E18" s="25">
        <v>104.00026063386156</v>
      </c>
      <c r="F18" s="25">
        <v>106.0005212677231</v>
      </c>
      <c r="G18" s="25">
        <v>112.00031219088362</v>
      </c>
      <c r="H18" s="25">
        <v>113.00005155702206</v>
      </c>
      <c r="I18" s="25">
        <f>AVERAGE('Rate Class Customer Model'!D79:D80)</f>
        <v>107.5</v>
      </c>
      <c r="J18" s="25">
        <f>I18/Summary!I24*Summary!J24</f>
        <v>107.79666118735226</v>
      </c>
      <c r="K18" s="25">
        <f>I18/Summary!I24*Summary!K24</f>
        <v>108.09414105247271</v>
      </c>
    </row>
    <row r="19" spans="1:11" x14ac:dyDescent="0.2">
      <c r="A19" t="s">
        <v>52</v>
      </c>
      <c r="B19" s="25">
        <f>'Rate Class Energy Model'!J30</f>
        <v>60010105.849999994</v>
      </c>
      <c r="C19" s="6">
        <f>'Rate Class Energy Model'!J31</f>
        <v>63328541.460000016</v>
      </c>
      <c r="D19" s="25">
        <f>'Rate Class Energy Model'!J32</f>
        <v>63734065.342257977</v>
      </c>
      <c r="E19" s="25">
        <f>'Rate Class Energy Model'!J33</f>
        <v>65991244.699999988</v>
      </c>
      <c r="F19" s="25">
        <f>'Rate Class Energy Model'!J34</f>
        <v>67781850.810000002</v>
      </c>
      <c r="G19" s="25">
        <f>'Rate Class Energy Model'!J35</f>
        <v>49488193.210000008</v>
      </c>
      <c r="H19" s="25">
        <f>'Rate Class Energy Model'!J36</f>
        <v>68085065.344599992</v>
      </c>
      <c r="I19" s="25">
        <f>'Rate Class Energy Model'!J37</f>
        <v>62964841.97848893</v>
      </c>
      <c r="J19" s="25">
        <f>J18/Summary!J24*Summary!J25</f>
        <v>65790419.182317227</v>
      </c>
      <c r="K19" s="25">
        <f>K18/Summary!K24*Summary!K25</f>
        <v>65838183.674122803</v>
      </c>
    </row>
    <row r="20" spans="1:11" x14ac:dyDescent="0.2">
      <c r="A20" t="s">
        <v>53</v>
      </c>
      <c r="B20" s="25">
        <v>241128.67600000001</v>
      </c>
      <c r="C20" s="6">
        <v>227626.94</v>
      </c>
      <c r="D20" s="25">
        <v>227978.95999999996</v>
      </c>
      <c r="E20" s="25">
        <v>232197.73000000004</v>
      </c>
      <c r="F20" s="25">
        <v>241040.01</v>
      </c>
      <c r="G20" s="25">
        <v>223089.79</v>
      </c>
      <c r="H20" s="25">
        <f>'Rate Class Load Model'!B30</f>
        <v>237320.32999999996</v>
      </c>
      <c r="I20" s="25">
        <f>'Rate Class Load Model'!B31</f>
        <v>223543.93999999997</v>
      </c>
      <c r="J20" s="25">
        <f>J18/Summary!J24*Summary!J26</f>
        <v>207631.96618444481</v>
      </c>
      <c r="K20" s="25">
        <f>K18/Summary!K24*Summary!K26</f>
        <v>207782.70903531357</v>
      </c>
    </row>
    <row r="21" spans="1:11" x14ac:dyDescent="0.2">
      <c r="B21" s="30"/>
      <c r="C21" s="160"/>
    </row>
    <row r="22" spans="1:11" x14ac:dyDescent="0.2">
      <c r="A22" s="41" t="s">
        <v>140</v>
      </c>
      <c r="B22" s="25"/>
      <c r="C22" s="160"/>
      <c r="E22" s="21"/>
      <c r="F22" s="21"/>
    </row>
    <row r="23" spans="1:11" x14ac:dyDescent="0.2">
      <c r="A23" t="s">
        <v>51</v>
      </c>
      <c r="B23" s="25">
        <v>5</v>
      </c>
      <c r="C23" s="6">
        <v>5</v>
      </c>
      <c r="D23" s="25">
        <v>5</v>
      </c>
      <c r="E23" s="25">
        <v>5</v>
      </c>
      <c r="F23" s="25">
        <v>5</v>
      </c>
      <c r="G23" s="25">
        <v>5.5</v>
      </c>
      <c r="H23" s="25">
        <v>6</v>
      </c>
      <c r="I23" s="25">
        <f>AVERAGE('Rate Class Customer Model'!E79:E80)</f>
        <v>6</v>
      </c>
      <c r="J23" s="25">
        <f>I23/Summary!I29*Summary!J29</f>
        <v>5.8914584089191955</v>
      </c>
      <c r="K23" s="25">
        <f>I23/Summary!I29*Summary!K29</f>
        <v>5.7848803640041169</v>
      </c>
    </row>
    <row r="24" spans="1:11" x14ac:dyDescent="0.2">
      <c r="A24" t="s">
        <v>52</v>
      </c>
      <c r="B24" s="25">
        <v>29541671.599999994</v>
      </c>
      <c r="C24" s="6">
        <v>29084757.309999999</v>
      </c>
      <c r="D24" s="25">
        <v>29778279.600000001</v>
      </c>
      <c r="E24" s="25">
        <v>30941352.619999997</v>
      </c>
      <c r="F24" s="25">
        <v>30595621.239999998</v>
      </c>
      <c r="G24" s="25">
        <v>35805421.270000003</v>
      </c>
      <c r="H24" s="25">
        <f>'Rate Class Energy Model'!K36</f>
        <v>38677613.350000001</v>
      </c>
      <c r="I24" s="25">
        <f>'Rate Class Energy Model'!K37</f>
        <v>34140289.052486897</v>
      </c>
      <c r="J24" s="25">
        <f>J23/Summary!J29*Summary!J30</f>
        <v>50190130.654674307</v>
      </c>
      <c r="K24" s="25">
        <f>K23/Summary!K29*Summary!K30</f>
        <v>48969275.52535706</v>
      </c>
    </row>
    <row r="25" spans="1:11" x14ac:dyDescent="0.2">
      <c r="A25" t="s">
        <v>53</v>
      </c>
      <c r="B25" s="25">
        <v>76443.81</v>
      </c>
      <c r="C25" s="6">
        <v>76748.86</v>
      </c>
      <c r="D25" s="25">
        <v>78355.210000000006</v>
      </c>
      <c r="E25" s="25">
        <v>83762.219999999987</v>
      </c>
      <c r="F25" s="25">
        <v>82926.66</v>
      </c>
      <c r="G25" s="25">
        <v>95927.03</v>
      </c>
      <c r="H25" s="25">
        <f>'Rate Class Load Model'!C30</f>
        <v>102692.34997964223</v>
      </c>
      <c r="I25" s="25">
        <f>'Rate Class Load Model'!C31</f>
        <v>107785.29259129196</v>
      </c>
      <c r="J25" s="25">
        <f>J23/Summary!J29*Summary!J31</f>
        <v>117792.12361687317</v>
      </c>
      <c r="K25" s="25">
        <f>K23/Summary!K29*Summary!K31</f>
        <v>114926.87667618928</v>
      </c>
    </row>
    <row r="26" spans="1:11" x14ac:dyDescent="0.2">
      <c r="B26" s="30"/>
      <c r="C26" s="160"/>
    </row>
    <row r="27" spans="1:11" x14ac:dyDescent="0.2">
      <c r="A27" s="41" t="s">
        <v>66</v>
      </c>
      <c r="B27" s="30"/>
      <c r="C27" s="160"/>
      <c r="D27" s="21"/>
      <c r="E27" s="21"/>
      <c r="F27" s="21"/>
    </row>
    <row r="28" spans="1:11" x14ac:dyDescent="0.2">
      <c r="A28" t="s">
        <v>54</v>
      </c>
      <c r="B28" s="25">
        <v>2640</v>
      </c>
      <c r="C28" s="6">
        <v>2640</v>
      </c>
      <c r="D28" s="25">
        <v>2640</v>
      </c>
      <c r="E28" s="25">
        <v>2640</v>
      </c>
      <c r="F28" s="25">
        <v>2640</v>
      </c>
      <c r="G28" s="25">
        <v>2640</v>
      </c>
      <c r="H28" s="25">
        <v>2783.5</v>
      </c>
      <c r="I28" s="25">
        <f>AVERAGE('Rate Class Customer Model'!G79:G80)</f>
        <v>2929.5</v>
      </c>
      <c r="J28" s="25">
        <f>I28/Summary!I43*Summary!J43</f>
        <v>2950.9540218690759</v>
      </c>
      <c r="K28" s="25">
        <f>I28/Summary!I43*Summary!K43</f>
        <v>2972.5651610122118</v>
      </c>
    </row>
    <row r="29" spans="1:11" x14ac:dyDescent="0.2">
      <c r="A29" t="s">
        <v>52</v>
      </c>
      <c r="B29" s="25">
        <v>1709480.57</v>
      </c>
      <c r="C29" s="6">
        <v>1709907.0000000002</v>
      </c>
      <c r="D29" s="25">
        <v>1714787.7500000002</v>
      </c>
      <c r="E29" s="25">
        <v>1696593.3900000004</v>
      </c>
      <c r="F29" s="25">
        <v>1709481.1900000002</v>
      </c>
      <c r="G29" s="25">
        <v>1697632.3787499999</v>
      </c>
      <c r="H29" s="25">
        <f>'Rate Class Energy Model'!M36</f>
        <v>1461959.2800000047</v>
      </c>
      <c r="I29" s="25">
        <f>'Rate Class Energy Model'!M37</f>
        <v>750581.73999999987</v>
      </c>
      <c r="J29" s="25">
        <f>I29/Summary!I44*Summary!J44</f>
        <v>461467.7689706118</v>
      </c>
      <c r="K29" s="25">
        <f>I29/Summary!I44*Summary!K44</f>
        <v>340268.85668132966</v>
      </c>
    </row>
    <row r="30" spans="1:11" x14ac:dyDescent="0.2">
      <c r="A30" t="s">
        <v>53</v>
      </c>
      <c r="B30" s="25">
        <v>4801.0200000000004</v>
      </c>
      <c r="C30" s="25">
        <v>4798.75</v>
      </c>
      <c r="D30" s="25">
        <v>4800.46</v>
      </c>
      <c r="E30" s="25">
        <v>4801.3200000000006</v>
      </c>
      <c r="F30" s="25">
        <v>4801.3200000000006</v>
      </c>
      <c r="G30" s="25">
        <v>4775.62</v>
      </c>
      <c r="H30" s="25">
        <f>'Rate Class Load Model'!E30</f>
        <v>4411.3</v>
      </c>
      <c r="I30" s="25">
        <f>'Rate Class Load Model'!E31</f>
        <v>2314.3699999999994</v>
      </c>
      <c r="J30" s="25">
        <f>I30/Summary!I45*Summary!J45</f>
        <v>1422.9058656189995</v>
      </c>
      <c r="K30" s="25">
        <f>I30/Summary!I45*Summary!K45</f>
        <v>1049.1968987116165</v>
      </c>
    </row>
    <row r="31" spans="1:11" x14ac:dyDescent="0.2">
      <c r="B31"/>
      <c r="D31"/>
      <c r="E31"/>
      <c r="F31"/>
    </row>
    <row r="32" spans="1:11" x14ac:dyDescent="0.2">
      <c r="A32" s="41" t="s">
        <v>195</v>
      </c>
      <c r="B32" s="30"/>
      <c r="C32" s="160"/>
      <c r="D32" s="21"/>
      <c r="E32" s="21"/>
      <c r="F32" s="21"/>
    </row>
    <row r="33" spans="1:11" x14ac:dyDescent="0.2">
      <c r="A33" t="s">
        <v>54</v>
      </c>
      <c r="B33" s="25">
        <f>Summary!B48</f>
        <v>219.19</v>
      </c>
      <c r="C33" s="25">
        <f>Summary!C48</f>
        <v>189.12055555555554</v>
      </c>
      <c r="D33" s="25">
        <f>Summary!D48</f>
        <v>176.89706230751005</v>
      </c>
      <c r="E33" s="25">
        <f>Summary!E48</f>
        <v>190.6022269604359</v>
      </c>
      <c r="F33" s="25">
        <f>Summary!F48</f>
        <v>188.52144041696278</v>
      </c>
      <c r="G33" s="25">
        <f>Summary!G48</f>
        <v>188.78204217010187</v>
      </c>
      <c r="H33" s="25">
        <f>Summary!H48</f>
        <v>181.02132196162046</v>
      </c>
      <c r="I33" s="25">
        <f>Summary!I48</f>
        <v>168</v>
      </c>
      <c r="J33" s="25">
        <f>Summary!J48</f>
        <v>168</v>
      </c>
      <c r="K33" s="25">
        <f>Summary!K48</f>
        <v>168</v>
      </c>
    </row>
    <row r="34" spans="1:11" x14ac:dyDescent="0.2">
      <c r="A34" t="s">
        <v>52</v>
      </c>
      <c r="B34" s="25">
        <f>Summary!B49</f>
        <v>175284.4</v>
      </c>
      <c r="C34" s="25">
        <f>Summary!C49</f>
        <v>164006.01</v>
      </c>
      <c r="D34" s="25">
        <f>Summary!D49</f>
        <v>178406.38999999998</v>
      </c>
      <c r="E34" s="25">
        <f>Summary!E49</f>
        <v>152803.15</v>
      </c>
      <c r="F34" s="25">
        <f>Summary!F49</f>
        <v>146515.24000000002</v>
      </c>
      <c r="G34" s="25">
        <f>Summary!G49</f>
        <v>142708.41887585534</v>
      </c>
      <c r="H34" s="25">
        <f>Summary!H49</f>
        <v>136701.00000000009</v>
      </c>
      <c r="I34" s="25">
        <f>Summary!I49</f>
        <v>126989</v>
      </c>
      <c r="J34" s="25">
        <f>Summary!J49</f>
        <v>126989.00000000001</v>
      </c>
      <c r="K34" s="25">
        <f>Summary!K49</f>
        <v>126989.00000000001</v>
      </c>
    </row>
    <row r="35" spans="1:11" x14ac:dyDescent="0.2">
      <c r="A35" t="s">
        <v>53</v>
      </c>
      <c r="B35" s="25">
        <f>Summary!B50</f>
        <v>486.90111111111116</v>
      </c>
      <c r="C35" s="25">
        <f>Summary!C50</f>
        <v>228.22855967333334</v>
      </c>
      <c r="D35" s="25">
        <f>Summary!D50</f>
        <v>311.12235571111108</v>
      </c>
      <c r="E35" s="25">
        <f>Summary!E50</f>
        <v>306.93329242222217</v>
      </c>
      <c r="F35" s="25">
        <f>Summary!F50</f>
        <v>292.76845053333329</v>
      </c>
      <c r="G35" s="25">
        <f>Summary!G50</f>
        <v>288.48305517777777</v>
      </c>
      <c r="H35" s="25">
        <f>Summary!H50</f>
        <v>416.63902725875835</v>
      </c>
      <c r="I35" s="25">
        <f>Summary!I50</f>
        <v>342.92000000000007</v>
      </c>
      <c r="J35" s="25">
        <f>Summary!J50</f>
        <v>342.92000000000007</v>
      </c>
      <c r="K35" s="25">
        <f>Summary!K50</f>
        <v>342.92000000000007</v>
      </c>
    </row>
    <row r="36" spans="1:11" x14ac:dyDescent="0.2">
      <c r="B36"/>
      <c r="D36"/>
      <c r="E36"/>
      <c r="F36"/>
    </row>
    <row r="37" spans="1:11" x14ac:dyDescent="0.2">
      <c r="A37" s="41" t="s">
        <v>2</v>
      </c>
      <c r="B37" s="30"/>
      <c r="C37" s="160"/>
      <c r="D37" s="21"/>
      <c r="E37" s="21"/>
      <c r="F37" s="21"/>
    </row>
    <row r="38" spans="1:11" x14ac:dyDescent="0.2">
      <c r="A38" t="s">
        <v>54</v>
      </c>
      <c r="B38" s="25">
        <v>51.375</v>
      </c>
      <c r="C38" s="6">
        <v>50.45</v>
      </c>
      <c r="D38" s="25">
        <v>47.95</v>
      </c>
      <c r="E38" s="25">
        <v>47.5</v>
      </c>
      <c r="F38" s="25">
        <v>49</v>
      </c>
      <c r="G38" s="25">
        <v>49</v>
      </c>
      <c r="H38" s="25">
        <v>48</v>
      </c>
      <c r="I38" s="25">
        <f>AVERAGE('Rate Class Customer Model'!I79:I80)</f>
        <v>47</v>
      </c>
      <c r="J38" s="25">
        <f>I38/Summary!I53*Summary!J53</f>
        <v>47</v>
      </c>
      <c r="K38" s="25">
        <f>I38/Summary!I53*Summary!K53</f>
        <v>47</v>
      </c>
    </row>
    <row r="39" spans="1:11" x14ac:dyDescent="0.2">
      <c r="A39" t="s">
        <v>52</v>
      </c>
      <c r="B39" s="25">
        <v>479703</v>
      </c>
      <c r="C39" s="6">
        <v>445308</v>
      </c>
      <c r="D39" s="25">
        <v>442068</v>
      </c>
      <c r="E39" s="25">
        <v>442068</v>
      </c>
      <c r="F39" s="25">
        <v>442068</v>
      </c>
      <c r="G39" s="25">
        <v>440075</v>
      </c>
      <c r="H39" s="25">
        <f>'Rate Class Energy Model'!O36</f>
        <v>420657.60000000033</v>
      </c>
      <c r="I39" s="25">
        <f>'Rate Class Energy Model'!O37</f>
        <v>418152</v>
      </c>
      <c r="J39" s="25">
        <f>J38/Summary!J53*Summary!J54</f>
        <v>214183.23820354787</v>
      </c>
      <c r="K39" s="25">
        <f>K38/Summary!K53*Summary!K54</f>
        <v>214183.23820354787</v>
      </c>
    </row>
    <row r="40" spans="1:11" x14ac:dyDescent="0.2">
      <c r="B40" s="25"/>
      <c r="C40" s="160"/>
      <c r="I40" s="25"/>
      <c r="J40" s="25"/>
      <c r="K40" s="25"/>
    </row>
    <row r="41" spans="1:11" x14ac:dyDescent="0.2">
      <c r="A41" s="41" t="str">
        <f>Summary!A66</f>
        <v>Embedded Distributor - Brantford Power, BCP</v>
      </c>
      <c r="B41" s="30"/>
      <c r="C41" s="160"/>
      <c r="D41" s="21"/>
      <c r="E41" s="21"/>
      <c r="F41" s="21"/>
      <c r="G41" s="25"/>
      <c r="H41" s="25"/>
    </row>
    <row r="42" spans="1:11" x14ac:dyDescent="0.2">
      <c r="A42" t="str">
        <f>Summary!A67</f>
        <v xml:space="preserve">  Customers </v>
      </c>
      <c r="B42" s="25">
        <f>Summary!B67</f>
        <v>1</v>
      </c>
      <c r="C42" s="25">
        <f>Summary!C67</f>
        <v>1</v>
      </c>
      <c r="D42" s="25">
        <f>Summary!D67</f>
        <v>1</v>
      </c>
      <c r="E42" s="25">
        <f>Summary!E67</f>
        <v>1</v>
      </c>
      <c r="F42" s="25">
        <f>Summary!F67</f>
        <v>1</v>
      </c>
      <c r="G42" s="25">
        <f>Summary!G67</f>
        <v>1</v>
      </c>
      <c r="H42" s="25">
        <f>Summary!H67</f>
        <v>1</v>
      </c>
      <c r="I42" s="25">
        <f>Summary!I67</f>
        <v>1</v>
      </c>
      <c r="J42" s="25">
        <f>Summary!J67</f>
        <v>1</v>
      </c>
      <c r="K42" s="25">
        <f>Summary!K67</f>
        <v>1</v>
      </c>
    </row>
    <row r="43" spans="1:11" x14ac:dyDescent="0.2">
      <c r="A43" t="str">
        <f>Summary!A68</f>
        <v xml:space="preserve">  kWh</v>
      </c>
      <c r="B43" s="25">
        <f>Summary!B68</f>
        <v>373339</v>
      </c>
      <c r="C43" s="25">
        <f>Summary!C68</f>
        <v>373339</v>
      </c>
      <c r="D43" s="25">
        <f>Summary!D68</f>
        <v>374823</v>
      </c>
      <c r="E43" s="25">
        <f>Summary!E68</f>
        <v>356273</v>
      </c>
      <c r="F43" s="25">
        <f>Summary!F68</f>
        <v>338022</v>
      </c>
      <c r="G43" s="25">
        <f>Summary!G68</f>
        <v>352067.78</v>
      </c>
      <c r="H43" s="25">
        <f>Summary!H68</f>
        <v>380114.44</v>
      </c>
      <c r="I43" s="25">
        <f>Summary!I68</f>
        <v>347756.59287776717</v>
      </c>
      <c r="J43" s="25">
        <f>Summary!J68</f>
        <v>347756.59287776717</v>
      </c>
      <c r="K43" s="25">
        <f>Summary!K68</f>
        <v>347756.59287776717</v>
      </c>
    </row>
    <row r="44" spans="1:11" x14ac:dyDescent="0.2">
      <c r="A44" t="str">
        <f>Summary!A69</f>
        <v xml:space="preserve">  kW</v>
      </c>
      <c r="B44" s="25">
        <f>Summary!B69</f>
        <v>10.28</v>
      </c>
      <c r="C44" s="25">
        <f>Summary!C69</f>
        <v>44.33</v>
      </c>
      <c r="D44" s="25">
        <f>Summary!D69</f>
        <v>87.52000000000001</v>
      </c>
      <c r="E44" s="25">
        <f>Summary!E69</f>
        <v>31.049999999999997</v>
      </c>
      <c r="F44" s="25">
        <f>Summary!F69</f>
        <v>94.67</v>
      </c>
      <c r="G44" s="25">
        <f>Summary!G69</f>
        <v>95.46</v>
      </c>
      <c r="H44" s="25">
        <f>Summary!H69</f>
        <v>1313.24</v>
      </c>
      <c r="I44" s="25">
        <f>Summary!I69</f>
        <v>1074.96</v>
      </c>
      <c r="J44" s="25">
        <f>Summary!J69</f>
        <v>1074.96</v>
      </c>
      <c r="K44" s="25">
        <f>Summary!K69</f>
        <v>1074.96</v>
      </c>
    </row>
    <row r="45" spans="1:11" x14ac:dyDescent="0.2">
      <c r="B45" s="30"/>
      <c r="C45" s="21"/>
    </row>
    <row r="46" spans="1:11" x14ac:dyDescent="0.2">
      <c r="A46" s="41" t="str">
        <f>Summary!A71</f>
        <v>Embedded Distributor - Hydro One #1, BCP</v>
      </c>
      <c r="B46" s="30"/>
      <c r="C46" s="21"/>
      <c r="H46" s="25"/>
    </row>
    <row r="47" spans="1:11" x14ac:dyDescent="0.2">
      <c r="A47" t="str">
        <f>Summary!A72</f>
        <v xml:space="preserve">  Customers </v>
      </c>
      <c r="B47" s="25">
        <f>Summary!B72</f>
        <v>1</v>
      </c>
      <c r="C47" s="25">
        <f>Summary!C72</f>
        <v>1</v>
      </c>
      <c r="D47" s="25">
        <f>Summary!D72</f>
        <v>1</v>
      </c>
      <c r="E47" s="25">
        <f>Summary!E72</f>
        <v>1</v>
      </c>
      <c r="F47" s="25">
        <f>Summary!F72</f>
        <v>1</v>
      </c>
      <c r="G47" s="25">
        <f>Summary!G72</f>
        <v>1</v>
      </c>
      <c r="H47" s="25">
        <f>Summary!H72</f>
        <v>1</v>
      </c>
      <c r="I47" s="25">
        <f>Summary!I72</f>
        <v>1</v>
      </c>
      <c r="J47" s="25">
        <f>Summary!J72</f>
        <v>1</v>
      </c>
      <c r="K47" s="25">
        <f>Summary!K72</f>
        <v>1</v>
      </c>
    </row>
    <row r="48" spans="1:11" x14ac:dyDescent="0.2">
      <c r="A48" t="str">
        <f>Summary!A73</f>
        <v xml:space="preserve">  kWh</v>
      </c>
      <c r="B48" s="25">
        <f>Summary!B73</f>
        <v>13348829.459999999</v>
      </c>
      <c r="C48" s="25">
        <f>Summary!C73</f>
        <v>13695349.587000001</v>
      </c>
      <c r="D48" s="25">
        <f>Summary!D73</f>
        <v>9863706.6199999992</v>
      </c>
      <c r="E48" s="25">
        <f>Summary!E73</f>
        <v>13883197</v>
      </c>
      <c r="F48" s="25">
        <f>Summary!F73</f>
        <v>12996387</v>
      </c>
      <c r="G48" s="25">
        <f>Summary!G73</f>
        <v>13819341.6</v>
      </c>
      <c r="H48" s="25">
        <f>Summary!H73</f>
        <v>13560291.5</v>
      </c>
      <c r="I48" s="25">
        <f>Summary!I73</f>
        <v>12191720.381133871</v>
      </c>
      <c r="J48" s="25">
        <f>Summary!J73</f>
        <v>12191720.381133871</v>
      </c>
      <c r="K48" s="25">
        <f>Summary!K73</f>
        <v>12191720.381133871</v>
      </c>
    </row>
    <row r="49" spans="1:11" x14ac:dyDescent="0.2">
      <c r="A49" t="str">
        <f>Summary!A74</f>
        <v xml:space="preserve">  kW</v>
      </c>
      <c r="B49" s="25">
        <f>Summary!B74</f>
        <v>29199.89</v>
      </c>
      <c r="C49" s="25">
        <f>Summary!C74</f>
        <v>31127.55</v>
      </c>
      <c r="D49" s="25">
        <f>Summary!D74</f>
        <v>24429.269999999997</v>
      </c>
      <c r="E49" s="25">
        <f>Summary!E74</f>
        <v>31865.139999999996</v>
      </c>
      <c r="F49" s="25">
        <f>Summary!F74</f>
        <v>31822.170000000002</v>
      </c>
      <c r="G49" s="25">
        <f>Summary!G74</f>
        <v>30826.699999999997</v>
      </c>
      <c r="H49" s="25">
        <f>Summary!H74</f>
        <v>29427.999999999996</v>
      </c>
      <c r="I49" s="25">
        <f>Summary!I74</f>
        <v>29010.799999999999</v>
      </c>
      <c r="J49" s="25">
        <f>Summary!J74</f>
        <v>29994.605248481424</v>
      </c>
      <c r="K49" s="25">
        <f>Summary!K74</f>
        <v>29994.605248481424</v>
      </c>
    </row>
    <row r="50" spans="1:11" x14ac:dyDescent="0.2">
      <c r="B50" s="30"/>
      <c r="C50" s="21"/>
      <c r="H50" s="25"/>
    </row>
    <row r="51" spans="1:11" x14ac:dyDescent="0.2">
      <c r="A51" s="41" t="str">
        <f>Summary!A76</f>
        <v>Embedded Distributor - Hydro One #2, BCP</v>
      </c>
      <c r="B51" s="30"/>
      <c r="C51" s="21"/>
      <c r="H51" s="25"/>
    </row>
    <row r="52" spans="1:11" x14ac:dyDescent="0.2">
      <c r="A52" t="str">
        <f>Summary!A77</f>
        <v xml:space="preserve">  Customers</v>
      </c>
      <c r="B52" s="25">
        <f>Summary!B77</f>
        <v>4</v>
      </c>
      <c r="C52" s="25">
        <f>Summary!C77</f>
        <v>4</v>
      </c>
      <c r="D52" s="25">
        <f>Summary!D77</f>
        <v>4</v>
      </c>
      <c r="E52" s="25">
        <f>Summary!E77</f>
        <v>4</v>
      </c>
      <c r="F52" s="25">
        <f>Summary!F77</f>
        <v>4</v>
      </c>
      <c r="G52" s="25">
        <f>Summary!G77</f>
        <v>4</v>
      </c>
      <c r="H52" s="25">
        <f>Summary!H77</f>
        <v>4</v>
      </c>
      <c r="I52" s="25">
        <f>Summary!I77</f>
        <v>4</v>
      </c>
      <c r="J52" s="25">
        <f>Summary!J77</f>
        <v>4</v>
      </c>
      <c r="K52" s="25">
        <f>Summary!K77</f>
        <v>4</v>
      </c>
    </row>
    <row r="53" spans="1:11" x14ac:dyDescent="0.2">
      <c r="A53" t="str">
        <f>Summary!A78</f>
        <v xml:space="preserve">  kWh</v>
      </c>
      <c r="B53" s="25">
        <f>Summary!B78</f>
        <v>50253229.850000001</v>
      </c>
      <c r="C53" s="25">
        <f>Summary!C78</f>
        <v>51547773.450000003</v>
      </c>
      <c r="D53" s="25">
        <f>Summary!D78</f>
        <v>52318961.540000007</v>
      </c>
      <c r="E53" s="25">
        <f>Summary!E78</f>
        <v>52117101.93</v>
      </c>
      <c r="F53" s="25">
        <f>Summary!F78</f>
        <v>51485741.349999994</v>
      </c>
      <c r="G53" s="25">
        <f>Summary!G78</f>
        <v>62339455.030000001</v>
      </c>
      <c r="H53" s="25">
        <f>Summary!H78</f>
        <v>46050289.200000003</v>
      </c>
      <c r="I53" s="25">
        <f>Summary!I78</f>
        <v>43274121.534063838</v>
      </c>
      <c r="J53" s="25">
        <f>Summary!J78</f>
        <v>43274121.534063838</v>
      </c>
      <c r="K53" s="25">
        <f>Summary!K78</f>
        <v>43274121.534063838</v>
      </c>
    </row>
    <row r="54" spans="1:11" x14ac:dyDescent="0.2">
      <c r="A54" t="str">
        <f>Summary!A79</f>
        <v xml:space="preserve">  kW - Estimated</v>
      </c>
      <c r="B54" s="25">
        <f>Summary!B79</f>
        <v>109926.40127449173</v>
      </c>
      <c r="C54" s="25">
        <f>Summary!C79</f>
        <v>117160.63801515776</v>
      </c>
      <c r="D54" s="25">
        <f>Summary!D79</f>
        <v>129577.45874038131</v>
      </c>
      <c r="E54" s="25">
        <f>Summary!E79</f>
        <v>119620.77246283546</v>
      </c>
      <c r="F54" s="25">
        <f>Summary!F79</f>
        <v>126064.88355692466</v>
      </c>
      <c r="G54" s="25">
        <f>Summary!G79</f>
        <v>139060.14729191593</v>
      </c>
      <c r="H54" s="25">
        <f>Summary!H79</f>
        <v>99936.488133577368</v>
      </c>
      <c r="I54" s="25">
        <f>Summary!I79</f>
        <v>102972.90667387019</v>
      </c>
      <c r="J54" s="25">
        <f>Summary!J79</f>
        <v>102972.90667387019</v>
      </c>
      <c r="K54" s="25">
        <f>Summary!K79</f>
        <v>102972.90667387019</v>
      </c>
    </row>
    <row r="55" spans="1:11" x14ac:dyDescent="0.2">
      <c r="B55"/>
    </row>
    <row r="56" spans="1:11" x14ac:dyDescent="0.2">
      <c r="A56" s="41" t="s">
        <v>12</v>
      </c>
      <c r="B56" s="30"/>
      <c r="C56" s="21"/>
      <c r="D56" s="21"/>
      <c r="E56" s="21"/>
      <c r="F56" s="21"/>
      <c r="H56" s="114"/>
    </row>
    <row r="57" spans="1:11" x14ac:dyDescent="0.2">
      <c r="A57" t="s">
        <v>56</v>
      </c>
      <c r="B57" s="25">
        <f>B10+B14+B18+B23+B28+B33+B38+B42+B47+B52</f>
        <v>12438.846650000001</v>
      </c>
      <c r="C57" s="25">
        <f t="shared" ref="C57:G58" si="0">C10+C14+C18+C23+C28+C33+C38+C42+C47+C52</f>
        <v>12530.896421671951</v>
      </c>
      <c r="D57" s="25">
        <f t="shared" si="0"/>
        <v>12647.516278423904</v>
      </c>
      <c r="E57" s="25">
        <f t="shared" si="0"/>
        <v>12733.252672024506</v>
      </c>
      <c r="F57" s="25">
        <f t="shared" si="0"/>
        <v>12811.822330545101</v>
      </c>
      <c r="G57" s="25">
        <f t="shared" si="0"/>
        <v>12898.720141882282</v>
      </c>
      <c r="H57" s="25">
        <f t="shared" ref="H57:K57" si="1">H10+H14+H18+H23+H28+H33+H38+H42+H47+H52</f>
        <v>13188.308976609733</v>
      </c>
      <c r="I57" s="25">
        <f t="shared" si="1"/>
        <v>13498.5</v>
      </c>
      <c r="J57" s="25">
        <f t="shared" si="1"/>
        <v>13644.850011255932</v>
      </c>
      <c r="K57" s="25">
        <f t="shared" si="1"/>
        <v>13792.879504920953</v>
      </c>
    </row>
    <row r="58" spans="1:11" x14ac:dyDescent="0.2">
      <c r="A58" t="s">
        <v>52</v>
      </c>
      <c r="B58" s="25">
        <f>B11+B15+B19+B24+B29+B34+B39+B43+B48+B53</f>
        <v>271869208.26999998</v>
      </c>
      <c r="C58" s="25">
        <f t="shared" si="0"/>
        <v>278419409.91700006</v>
      </c>
      <c r="D58" s="25">
        <f t="shared" si="0"/>
        <v>273767432.33925796</v>
      </c>
      <c r="E58" s="25">
        <f t="shared" si="0"/>
        <v>282638929.30000001</v>
      </c>
      <c r="F58" s="25">
        <f t="shared" si="0"/>
        <v>284646658.80200005</v>
      </c>
      <c r="G58" s="25">
        <f t="shared" si="0"/>
        <v>285243240.10868824</v>
      </c>
      <c r="H58" s="25">
        <f t="shared" ref="H58:K58" si="2">H11+H15+H19+H24+H29+H34+H39+H43+H48+H53</f>
        <v>294827466.07639998</v>
      </c>
      <c r="I58" s="25">
        <f t="shared" si="2"/>
        <v>270576406.03905129</v>
      </c>
      <c r="J58" s="25">
        <f t="shared" si="2"/>
        <v>282748475.02081931</v>
      </c>
      <c r="K58" s="25">
        <f t="shared" si="2"/>
        <v>282868310.03692579</v>
      </c>
    </row>
    <row r="59" spans="1:11" x14ac:dyDescent="0.2">
      <c r="A59" t="s">
        <v>55</v>
      </c>
      <c r="B59" s="25">
        <f>B20+B25+B30+B35+B44+B49+B54</f>
        <v>461996.97838560294</v>
      </c>
      <c r="C59" s="25">
        <f t="shared" ref="C59:G59" si="3">C20+C25+C30+C35+C44+C49+C54</f>
        <v>457735.29657483113</v>
      </c>
      <c r="D59" s="25">
        <f t="shared" si="3"/>
        <v>465540.00109609246</v>
      </c>
      <c r="E59" s="25">
        <f t="shared" si="3"/>
        <v>472585.16575525771</v>
      </c>
      <c r="F59" s="25">
        <f t="shared" si="3"/>
        <v>487042.48200745799</v>
      </c>
      <c r="G59" s="25">
        <f t="shared" si="3"/>
        <v>494063.23034709378</v>
      </c>
      <c r="H59" s="25">
        <f t="shared" ref="H59:K59" si="4">H20+H25+H30+H35+H44+H49+H54</f>
        <v>475518.3471404782</v>
      </c>
      <c r="I59" s="25">
        <f t="shared" si="4"/>
        <v>467045.1892651621</v>
      </c>
      <c r="J59" s="25">
        <f t="shared" si="4"/>
        <v>461232.38758928864</v>
      </c>
      <c r="K59" s="25">
        <f t="shared" si="4"/>
        <v>458144.1745325661</v>
      </c>
    </row>
    <row r="60" spans="1:11" x14ac:dyDescent="0.2">
      <c r="B60" s="30"/>
      <c r="C60" s="114"/>
      <c r="D60" s="21"/>
      <c r="E60" s="21"/>
      <c r="F60" s="21"/>
    </row>
    <row r="61" spans="1:11" x14ac:dyDescent="0.2">
      <c r="B61"/>
      <c r="H61" s="55"/>
    </row>
    <row r="62" spans="1:11" x14ac:dyDescent="0.2">
      <c r="B62"/>
      <c r="K62" s="55"/>
    </row>
    <row r="63" spans="1:11" x14ac:dyDescent="0.2">
      <c r="B63"/>
      <c r="K63" s="55"/>
    </row>
    <row r="64" spans="1:11" x14ac:dyDescent="0.2">
      <c r="B64"/>
      <c r="K64" s="55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</sheetData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opLeftCell="A28" workbookViewId="0">
      <selection activeCell="H46" sqref="H46"/>
    </sheetView>
  </sheetViews>
  <sheetFormatPr defaultRowHeight="12.75" x14ac:dyDescent="0.2"/>
  <cols>
    <col min="1" max="1" width="41.7109375" customWidth="1"/>
    <col min="2" max="2" width="14" style="71" bestFit="1" customWidth="1"/>
    <col min="3" max="3" width="14" bestFit="1" customWidth="1"/>
    <col min="4" max="6" width="12.7109375" style="30" bestFit="1" customWidth="1"/>
    <col min="7" max="8" width="12.7109375" bestFit="1" customWidth="1"/>
    <col min="9" max="9" width="13.42578125" bestFit="1" customWidth="1"/>
    <col min="10" max="11" width="12.7109375" bestFit="1" customWidth="1"/>
    <col min="13" max="13" width="11.42578125" bestFit="1" customWidth="1"/>
  </cols>
  <sheetData>
    <row r="1" spans="1:11" ht="15.75" x14ac:dyDescent="0.25">
      <c r="A1" s="42" t="s">
        <v>200</v>
      </c>
      <c r="B1" s="30"/>
    </row>
    <row r="2" spans="1:11" x14ac:dyDescent="0.2">
      <c r="B2" s="30"/>
    </row>
    <row r="3" spans="1:11" x14ac:dyDescent="0.2">
      <c r="B3" s="113" t="s">
        <v>73</v>
      </c>
      <c r="C3" s="44" t="s">
        <v>72</v>
      </c>
      <c r="D3" s="113" t="s">
        <v>71</v>
      </c>
      <c r="E3" s="44" t="s">
        <v>173</v>
      </c>
      <c r="F3" s="44" t="s">
        <v>174</v>
      </c>
      <c r="G3" s="113" t="s">
        <v>175</v>
      </c>
      <c r="H3" s="113" t="s">
        <v>176</v>
      </c>
      <c r="I3" s="113" t="s">
        <v>202</v>
      </c>
      <c r="J3" s="44" t="s">
        <v>177</v>
      </c>
      <c r="K3" s="44" t="s">
        <v>178</v>
      </c>
    </row>
    <row r="4" spans="1:11" x14ac:dyDescent="0.2">
      <c r="A4" s="17" t="s">
        <v>57</v>
      </c>
      <c r="B4" s="27">
        <v>1470488791.4400001</v>
      </c>
      <c r="C4" s="27">
        <v>1473294837.73</v>
      </c>
      <c r="D4" s="27">
        <v>1481727956.7770286</v>
      </c>
      <c r="E4" s="27">
        <v>1479631641</v>
      </c>
      <c r="F4" s="27">
        <v>1478604265.9999998</v>
      </c>
      <c r="G4" s="27">
        <v>1483863362.230386</v>
      </c>
      <c r="H4" s="27">
        <v>1424060763</v>
      </c>
      <c r="I4" s="55">
        <f>'Purchased Power Model'!D161</f>
        <v>1357075175</v>
      </c>
    </row>
    <row r="5" spans="1:11" x14ac:dyDescent="0.2">
      <c r="B5" s="113"/>
      <c r="C5" s="44"/>
      <c r="D5" s="113"/>
      <c r="E5" s="44"/>
      <c r="F5" s="44"/>
      <c r="G5" s="113"/>
      <c r="H5" s="113"/>
    </row>
    <row r="6" spans="1:11" x14ac:dyDescent="0.2">
      <c r="A6" s="17" t="s">
        <v>118</v>
      </c>
      <c r="B6" s="6">
        <v>1428999865.8108106</v>
      </c>
      <c r="C6" s="6">
        <v>1427066490.6084332</v>
      </c>
      <c r="D6" s="25">
        <v>1447672426.0250552</v>
      </c>
      <c r="E6" s="25">
        <v>1462841921.3928554</v>
      </c>
      <c r="F6" s="25">
        <v>1445783496.5731981</v>
      </c>
      <c r="G6" s="25">
        <v>1464942122.4562209</v>
      </c>
      <c r="H6" s="25">
        <v>1381250255.783798</v>
      </c>
      <c r="I6" s="55">
        <f>SUM('Rate Class Energy Model'!H27:S27)</f>
        <v>1326098503.6575634</v>
      </c>
    </row>
    <row r="7" spans="1:11" x14ac:dyDescent="0.2">
      <c r="A7" s="17" t="s">
        <v>119</v>
      </c>
      <c r="B7" s="218">
        <v>36195843.353415452</v>
      </c>
      <c r="C7" s="218">
        <v>37787891.162206024</v>
      </c>
      <c r="D7" s="218">
        <v>31782231.496466897</v>
      </c>
      <c r="E7" s="218">
        <v>43655943.699268639</v>
      </c>
      <c r="F7" s="218">
        <v>51508549.776632063</v>
      </c>
      <c r="G7" s="218">
        <v>51165899.819783472</v>
      </c>
      <c r="H7" s="218">
        <v>56963024.321739241</v>
      </c>
      <c r="I7" s="218">
        <f>'Rate Class Energy Model'!U27</f>
        <v>58104381.490000002</v>
      </c>
    </row>
    <row r="8" spans="1:11" x14ac:dyDescent="0.2">
      <c r="A8" s="17" t="s">
        <v>117</v>
      </c>
      <c r="B8" s="27">
        <f>SUM(B6:B7)</f>
        <v>1465195709.1642261</v>
      </c>
      <c r="C8" s="27">
        <f>SUM(C6:C7)</f>
        <v>1464854381.7706392</v>
      </c>
      <c r="D8" s="27">
        <f t="shared" ref="D8:I8" si="0">SUM(D6:D7)</f>
        <v>1479454657.521522</v>
      </c>
      <c r="E8" s="27">
        <f t="shared" si="0"/>
        <v>1506497865.092124</v>
      </c>
      <c r="F8" s="27">
        <f t="shared" si="0"/>
        <v>1497292046.3498302</v>
      </c>
      <c r="G8" s="27">
        <f t="shared" si="0"/>
        <v>1516108022.2760043</v>
      </c>
      <c r="H8" s="27">
        <f t="shared" si="0"/>
        <v>1438213280.1055372</v>
      </c>
      <c r="I8" s="27">
        <f t="shared" si="0"/>
        <v>1384202885.1475635</v>
      </c>
    </row>
    <row r="9" spans="1:11" x14ac:dyDescent="0.2">
      <c r="A9" s="17"/>
      <c r="B9" s="30"/>
      <c r="C9" s="160"/>
    </row>
    <row r="10" spans="1:11" ht="15.75" x14ac:dyDescent="0.25">
      <c r="A10" s="42" t="s">
        <v>59</v>
      </c>
      <c r="B10" s="30"/>
      <c r="C10" s="160"/>
      <c r="D10" s="21"/>
      <c r="E10" s="21"/>
      <c r="F10" s="21"/>
    </row>
    <row r="11" spans="1:11" x14ac:dyDescent="0.2">
      <c r="A11" s="41" t="s">
        <v>1</v>
      </c>
      <c r="B11" s="30"/>
      <c r="C11" s="160"/>
      <c r="D11" s="21"/>
      <c r="E11" s="21"/>
      <c r="F11" s="21"/>
    </row>
    <row r="12" spans="1:11" x14ac:dyDescent="0.2">
      <c r="A12" t="s">
        <v>51</v>
      </c>
      <c r="B12" s="25">
        <v>44920.5</v>
      </c>
      <c r="C12" s="6">
        <v>45780.5</v>
      </c>
      <c r="D12" s="25">
        <v>46283.5</v>
      </c>
      <c r="E12" s="25">
        <v>46638</v>
      </c>
      <c r="F12" s="25">
        <v>46943.5</v>
      </c>
      <c r="G12" s="25">
        <v>47322</v>
      </c>
      <c r="H12" s="25">
        <v>47829.5</v>
      </c>
      <c r="I12" s="25">
        <f>AVERAGE('Rate Class Customer Model'!B66:B67)</f>
        <v>48376</v>
      </c>
      <c r="J12" s="25">
        <f>I12/Summary!I16*Summary!J16</f>
        <v>48966.095193839305</v>
      </c>
      <c r="K12" s="25">
        <f>I12/Summary!I16*Summary!K16</f>
        <v>49563.38842674328</v>
      </c>
    </row>
    <row r="13" spans="1:11" x14ac:dyDescent="0.2">
      <c r="A13" t="s">
        <v>52</v>
      </c>
      <c r="B13" s="25">
        <v>396266835.39498103</v>
      </c>
      <c r="C13" s="53">
        <v>396556720.36740702</v>
      </c>
      <c r="D13" s="25">
        <v>399587578.131836</v>
      </c>
      <c r="E13" s="25">
        <v>384916687.52999997</v>
      </c>
      <c r="F13" s="25">
        <v>395480270.08000004</v>
      </c>
      <c r="G13" s="25">
        <v>401332021.95999998</v>
      </c>
      <c r="H13" s="25">
        <f>'Rate Class Energy Model'!H26</f>
        <v>396571029.72890007</v>
      </c>
      <c r="I13" s="25">
        <f>'Rate Class Energy Model'!H27</f>
        <v>374247658.30999994</v>
      </c>
      <c r="J13" s="25">
        <f>J12/Summary!J16*Summary!J17</f>
        <v>383306535.3378191</v>
      </c>
      <c r="K13" s="25">
        <f>K12/Summary!K16*Summary!K17</f>
        <v>385103830.77787364</v>
      </c>
    </row>
    <row r="14" spans="1:11" x14ac:dyDescent="0.2">
      <c r="B14" s="30"/>
      <c r="C14" s="53"/>
    </row>
    <row r="15" spans="1:11" x14ac:dyDescent="0.2">
      <c r="A15" s="41" t="s">
        <v>138</v>
      </c>
      <c r="B15" s="30"/>
      <c r="C15" s="220"/>
      <c r="D15" s="21"/>
      <c r="E15" s="21"/>
      <c r="F15" s="21"/>
      <c r="G15" s="25"/>
    </row>
    <row r="16" spans="1:11" ht="13.5" customHeight="1" x14ac:dyDescent="0.2">
      <c r="A16" t="s">
        <v>51</v>
      </c>
      <c r="B16" s="25">
        <v>4604</v>
      </c>
      <c r="C16" s="6">
        <v>4629.5</v>
      </c>
      <c r="D16" s="25">
        <v>4661</v>
      </c>
      <c r="E16" s="25">
        <v>4696</v>
      </c>
      <c r="F16" s="25">
        <v>4759</v>
      </c>
      <c r="G16" s="25">
        <v>4851.5</v>
      </c>
      <c r="H16" s="25">
        <v>4921</v>
      </c>
      <c r="I16" s="25">
        <f>AVERAGE('Rate Class Customer Model'!C66:C67)</f>
        <v>4958.5</v>
      </c>
      <c r="J16" s="25">
        <f>I16/Summary!I20*Summary!J20</f>
        <v>5018.4896590829912</v>
      </c>
      <c r="K16" s="25">
        <f>I16/Summary!I20*Summary!K20</f>
        <v>5079.2050939443216</v>
      </c>
    </row>
    <row r="17" spans="1:13" x14ac:dyDescent="0.2">
      <c r="A17" t="s">
        <v>52</v>
      </c>
      <c r="B17" s="25">
        <v>163479892.81864899</v>
      </c>
      <c r="C17" s="6">
        <v>158322069.24360299</v>
      </c>
      <c r="D17" s="25">
        <v>158595034.37600499</v>
      </c>
      <c r="E17" s="25">
        <v>156590626.41999999</v>
      </c>
      <c r="F17" s="25">
        <v>160543970.72</v>
      </c>
      <c r="G17" s="25">
        <v>167151503.62</v>
      </c>
      <c r="H17" s="25">
        <f>'Rate Class Energy Model'!I26</f>
        <v>170125866.85190004</v>
      </c>
      <c r="I17" s="25">
        <f>'Rate Class Energy Model'!I27</f>
        <v>152251310.46000001</v>
      </c>
      <c r="J17" s="25">
        <f>J16/Summary!J20*Summary!J21</f>
        <v>146897215.05471247</v>
      </c>
      <c r="K17" s="25">
        <f>K16/Summary!K20*Summary!K21</f>
        <v>150910057.56183082</v>
      </c>
    </row>
    <row r="18" spans="1:13" x14ac:dyDescent="0.2">
      <c r="B18" s="25"/>
      <c r="C18" s="160"/>
    </row>
    <row r="19" spans="1:13" x14ac:dyDescent="0.2">
      <c r="A19" s="41" t="s">
        <v>139</v>
      </c>
      <c r="B19" s="25"/>
      <c r="C19" s="160"/>
      <c r="D19" s="21"/>
      <c r="E19" s="21"/>
      <c r="F19" s="21"/>
    </row>
    <row r="20" spans="1:13" x14ac:dyDescent="0.2">
      <c r="A20" t="s">
        <v>51</v>
      </c>
      <c r="B20" s="25">
        <v>708</v>
      </c>
      <c r="C20" s="6">
        <v>723.5</v>
      </c>
      <c r="D20" s="25">
        <v>736.5</v>
      </c>
      <c r="E20" s="25">
        <v>736</v>
      </c>
      <c r="F20" s="25">
        <v>719</v>
      </c>
      <c r="G20" s="25">
        <v>695.93676085582752</v>
      </c>
      <c r="H20" s="25">
        <v>692.93676085582752</v>
      </c>
      <c r="I20" s="25">
        <f>AVERAGE('Rate Class Customer Model'!D66:D67)</f>
        <v>688.5</v>
      </c>
      <c r="J20" s="25">
        <f>I20/Summary!I24*Summary!J24</f>
        <v>690.40001141853054</v>
      </c>
      <c r="K20" s="25">
        <f>I20/Summary!I24*Summary!K24</f>
        <v>692.30526618258102</v>
      </c>
    </row>
    <row r="21" spans="1:13" x14ac:dyDescent="0.2">
      <c r="A21" t="s">
        <v>52</v>
      </c>
      <c r="B21" s="25">
        <v>426513755.56307799</v>
      </c>
      <c r="C21" s="6">
        <v>437159036.082142</v>
      </c>
      <c r="D21" s="25">
        <v>437401279.48903602</v>
      </c>
      <c r="E21" s="25">
        <v>452357522.44387102</v>
      </c>
      <c r="F21" s="25">
        <v>426495390.96838707</v>
      </c>
      <c r="G21" s="25">
        <v>436415952.41462064</v>
      </c>
      <c r="H21" s="25">
        <f>'Rate Class Energy Model'!J26</f>
        <v>416114898.05560005</v>
      </c>
      <c r="I21" s="25">
        <f>'Rate Class Energy Model'!J27</f>
        <v>424072679.95784116</v>
      </c>
      <c r="J21" s="25">
        <f>J20/Summary!J24*Summary!J25</f>
        <v>421364684.71651554</v>
      </c>
      <c r="K21" s="25">
        <f>K20/Summary!K24*Summary!K25</f>
        <v>421670599.62449819</v>
      </c>
    </row>
    <row r="22" spans="1:13" x14ac:dyDescent="0.2">
      <c r="A22" t="s">
        <v>53</v>
      </c>
      <c r="B22" s="25">
        <v>1294863.05220355</v>
      </c>
      <c r="C22" s="6">
        <v>1331831.0365679199</v>
      </c>
      <c r="D22" s="25">
        <v>1350651.40979942</v>
      </c>
      <c r="E22" s="25">
        <v>1335995.0860256497</v>
      </c>
      <c r="F22" s="25">
        <v>1364263.1754654762</v>
      </c>
      <c r="G22" s="25">
        <v>1332729.5398522706</v>
      </c>
      <c r="H22" s="25">
        <v>1327240.33</v>
      </c>
      <c r="I22" s="25">
        <f>'Rate Class Load Model'!B21</f>
        <v>1295209.3899999999</v>
      </c>
      <c r="J22" s="25">
        <f>J20/Summary!J24*Summary!J26</f>
        <v>1329810.3136557236</v>
      </c>
      <c r="K22" s="69">
        <f>K20/Summary!K24*Summary!K26</f>
        <v>1330775.7690308222</v>
      </c>
      <c r="M22" s="55"/>
    </row>
    <row r="23" spans="1:13" x14ac:dyDescent="0.2">
      <c r="B23" s="30"/>
      <c r="C23" s="160"/>
    </row>
    <row r="24" spans="1:13" x14ac:dyDescent="0.2">
      <c r="A24" s="41" t="s">
        <v>140</v>
      </c>
      <c r="B24" s="25"/>
      <c r="C24" s="160"/>
      <c r="E24" s="21"/>
      <c r="F24" s="21"/>
    </row>
    <row r="25" spans="1:13" x14ac:dyDescent="0.2">
      <c r="A25" t="s">
        <v>51</v>
      </c>
      <c r="B25" s="25">
        <v>26</v>
      </c>
      <c r="C25" s="6">
        <v>28</v>
      </c>
      <c r="D25" s="25">
        <v>27</v>
      </c>
      <c r="E25" s="25">
        <v>24.5</v>
      </c>
      <c r="F25" s="25">
        <v>24</v>
      </c>
      <c r="G25" s="25">
        <v>23.5</v>
      </c>
      <c r="H25" s="25">
        <v>22.5</v>
      </c>
      <c r="I25" s="25">
        <f>AVERAGE('Rate Class Customer Model'!E66:E67)</f>
        <v>22</v>
      </c>
      <c r="J25" s="25">
        <f>I25/Summary!I29*Summary!J29</f>
        <v>21.602014166037051</v>
      </c>
      <c r="K25" s="25">
        <f>I25/Summary!I29*Summary!K29</f>
        <v>21.211228001348431</v>
      </c>
    </row>
    <row r="26" spans="1:13" x14ac:dyDescent="0.2">
      <c r="A26" t="s">
        <v>52</v>
      </c>
      <c r="B26" s="25">
        <v>220917668.45862401</v>
      </c>
      <c r="C26" s="6">
        <v>240767174.87713</v>
      </c>
      <c r="D26" s="25">
        <v>226229939.170288</v>
      </c>
      <c r="E26" s="25">
        <v>239339190.17000002</v>
      </c>
      <c r="F26" s="25">
        <v>232446554.61000001</v>
      </c>
      <c r="G26" s="25">
        <v>227449908.25904667</v>
      </c>
      <c r="H26" s="25">
        <f>'Rate Class Energy Model'!K26</f>
        <v>223127015.06999996</v>
      </c>
      <c r="I26" s="25">
        <f>'Rate Class Energy Model'!K27</f>
        <v>207211616.07262492</v>
      </c>
      <c r="J26" s="25">
        <f>J25/Summary!J29*Summary!J30</f>
        <v>184030479.06713912</v>
      </c>
      <c r="K26" s="25">
        <f>K25/Summary!K29*Summary!K30</f>
        <v>179554010.25964257</v>
      </c>
    </row>
    <row r="27" spans="1:13" x14ac:dyDescent="0.2">
      <c r="A27" t="s">
        <v>53</v>
      </c>
      <c r="B27" s="25">
        <v>570059.72519999999</v>
      </c>
      <c r="C27" s="6">
        <v>582382.60674197297</v>
      </c>
      <c r="D27" s="25">
        <v>527946.71947526897</v>
      </c>
      <c r="E27" s="25">
        <v>502672.54999999993</v>
      </c>
      <c r="F27" s="25">
        <v>498922.62</v>
      </c>
      <c r="G27" s="25">
        <v>485225.93999999994</v>
      </c>
      <c r="H27" s="25">
        <v>529211.76</v>
      </c>
      <c r="I27" s="25">
        <f>'Rate Class Load Model'!C21</f>
        <v>466699.17000000004</v>
      </c>
      <c r="J27" s="25">
        <f>J25/Summary!J29*Summary!J31</f>
        <v>431904.45326186833</v>
      </c>
      <c r="K27" s="25">
        <f>K25/Summary!K29*Summary!K31</f>
        <v>421398.54781269404</v>
      </c>
      <c r="M27" s="289"/>
    </row>
    <row r="28" spans="1:13" x14ac:dyDescent="0.2">
      <c r="B28" s="30"/>
      <c r="C28" s="160"/>
    </row>
    <row r="29" spans="1:13" x14ac:dyDescent="0.2">
      <c r="A29" s="41" t="s">
        <v>113</v>
      </c>
      <c r="B29" s="30"/>
      <c r="C29" s="160"/>
      <c r="D29" s="21"/>
      <c r="E29" s="21"/>
      <c r="F29" s="21"/>
      <c r="G29" s="25"/>
    </row>
    <row r="30" spans="1:13" x14ac:dyDescent="0.2">
      <c r="A30" t="s">
        <v>51</v>
      </c>
      <c r="B30" s="25">
        <f>Summary!B34</f>
        <v>2</v>
      </c>
      <c r="C30" s="25">
        <f>Summary!C34</f>
        <v>2</v>
      </c>
      <c r="D30" s="25">
        <f>Summary!D34</f>
        <v>2</v>
      </c>
      <c r="E30" s="25">
        <f>Summary!E34</f>
        <v>2.5</v>
      </c>
      <c r="F30" s="25">
        <f>Summary!F34</f>
        <v>2.5</v>
      </c>
      <c r="G30" s="25">
        <f>Summary!G34</f>
        <v>2</v>
      </c>
      <c r="H30" s="25">
        <f>Summary!H34</f>
        <v>2</v>
      </c>
      <c r="I30" s="25">
        <f>Summary!I34</f>
        <v>2</v>
      </c>
      <c r="J30" s="25">
        <f>Summary!J34</f>
        <v>2</v>
      </c>
      <c r="K30" s="25">
        <f>Summary!K34</f>
        <v>2</v>
      </c>
    </row>
    <row r="31" spans="1:13" x14ac:dyDescent="0.2">
      <c r="A31" t="s">
        <v>52</v>
      </c>
      <c r="B31" s="25">
        <f>Summary!B35</f>
        <v>196557280.622706</v>
      </c>
      <c r="C31" s="25">
        <f>Summary!C35</f>
        <v>169195800.19187</v>
      </c>
      <c r="D31" s="25">
        <f>Summary!D35</f>
        <v>201189505.21250001</v>
      </c>
      <c r="E31" s="25">
        <f>Summary!E35</f>
        <v>204906256.95999998</v>
      </c>
      <c r="F31" s="25">
        <f>Summary!F35</f>
        <v>205265394.56999999</v>
      </c>
      <c r="G31" s="25">
        <f>Summary!G35</f>
        <v>207374361.59</v>
      </c>
      <c r="H31" s="25">
        <f>Summary!H35</f>
        <v>151250311.81999996</v>
      </c>
      <c r="I31" s="25">
        <f>Summary!I35</f>
        <v>146226388.16</v>
      </c>
      <c r="J31" s="25">
        <f>Summary!J35</f>
        <v>145628457.4468382</v>
      </c>
      <c r="K31" s="25">
        <f>Summary!K35</f>
        <v>145141006.46077192</v>
      </c>
    </row>
    <row r="32" spans="1:13" x14ac:dyDescent="0.2">
      <c r="A32" t="s">
        <v>53</v>
      </c>
      <c r="B32" s="25">
        <f>Summary!B36</f>
        <v>421436.3223</v>
      </c>
      <c r="C32" s="25">
        <f>Summary!C36</f>
        <v>431698.8584427</v>
      </c>
      <c r="D32" s="25">
        <f>Summary!D36</f>
        <v>483777.43670654303</v>
      </c>
      <c r="E32" s="25">
        <f>Summary!E36</f>
        <v>425911.83</v>
      </c>
      <c r="F32" s="25">
        <f>Summary!F36</f>
        <v>457866.89653992082</v>
      </c>
      <c r="G32" s="25">
        <f>Summary!G36</f>
        <v>430086.51000000007</v>
      </c>
      <c r="H32" s="25">
        <f>Summary!H36</f>
        <v>358566.19</v>
      </c>
      <c r="I32" s="25">
        <f>Summary!I36</f>
        <v>348189.01999999996</v>
      </c>
      <c r="J32" s="25">
        <f>Summary!J36</f>
        <v>331944.32251332153</v>
      </c>
      <c r="K32" s="25">
        <f>Summary!K36</f>
        <v>361276.31069675618</v>
      </c>
    </row>
    <row r="33" spans="1:12" x14ac:dyDescent="0.2">
      <c r="B33" s="25"/>
      <c r="C33" s="160"/>
    </row>
    <row r="34" spans="1:12" x14ac:dyDescent="0.2">
      <c r="A34" s="41" t="s">
        <v>112</v>
      </c>
      <c r="B34" s="25"/>
      <c r="C34" s="160"/>
      <c r="D34" s="21"/>
      <c r="E34" s="21"/>
      <c r="F34" s="21"/>
    </row>
    <row r="35" spans="1:12" x14ac:dyDescent="0.2">
      <c r="A35" t="s">
        <v>51</v>
      </c>
      <c r="B35" s="25">
        <f>Summary!B39</f>
        <v>4</v>
      </c>
      <c r="C35" s="25">
        <f>Summary!C39</f>
        <v>4</v>
      </c>
      <c r="D35" s="25">
        <f>Summary!D39</f>
        <v>4</v>
      </c>
      <c r="E35" s="25">
        <f>Summary!E39</f>
        <v>4</v>
      </c>
      <c r="F35" s="25">
        <f>Summary!F39</f>
        <v>4</v>
      </c>
      <c r="G35" s="25">
        <f>Summary!G39</f>
        <v>4</v>
      </c>
      <c r="H35" s="25">
        <f>Summary!H39</f>
        <v>4</v>
      </c>
      <c r="I35" s="25">
        <f>Summary!I39</f>
        <v>4</v>
      </c>
      <c r="J35" s="25">
        <f>Summary!J39</f>
        <v>4</v>
      </c>
      <c r="K35" s="25">
        <f>Summary!K39</f>
        <v>4</v>
      </c>
    </row>
    <row r="36" spans="1:12" x14ac:dyDescent="0.2">
      <c r="A36" t="s">
        <v>53</v>
      </c>
      <c r="B36" s="25">
        <f>Summary!B40</f>
        <v>75928.2</v>
      </c>
      <c r="C36" s="25">
        <f>Summary!C40</f>
        <v>81847.960000000006</v>
      </c>
      <c r="D36" s="25">
        <f>Summary!D40</f>
        <v>81650.759999999995</v>
      </c>
      <c r="E36" s="25">
        <f>Summary!E40</f>
        <v>73573.420000000013</v>
      </c>
      <c r="F36" s="25">
        <f>Summary!F40</f>
        <v>69660.58</v>
      </c>
      <c r="G36" s="25">
        <f>Summary!G40</f>
        <v>69115.460000000006</v>
      </c>
      <c r="H36" s="25">
        <f>Summary!H40</f>
        <v>70836.33</v>
      </c>
      <c r="I36" s="25">
        <f>Summary!I40</f>
        <v>67941.700000000012</v>
      </c>
      <c r="J36" s="25">
        <f>Summary!J40</f>
        <v>67941.700000000012</v>
      </c>
      <c r="K36" s="69">
        <f>Summary!K40</f>
        <v>67941.700000000012</v>
      </c>
    </row>
    <row r="37" spans="1:12" x14ac:dyDescent="0.2">
      <c r="B37" s="25"/>
      <c r="C37" s="160"/>
      <c r="D37" s="25"/>
    </row>
    <row r="38" spans="1:12" x14ac:dyDescent="0.2">
      <c r="A38" s="41" t="s">
        <v>66</v>
      </c>
      <c r="B38" s="30"/>
      <c r="C38" s="160"/>
      <c r="D38" s="21"/>
      <c r="E38" s="21"/>
      <c r="F38" s="21"/>
    </row>
    <row r="39" spans="1:12" x14ac:dyDescent="0.2">
      <c r="A39" t="s">
        <v>54</v>
      </c>
      <c r="B39" s="25">
        <v>12558.5</v>
      </c>
      <c r="C39" s="6">
        <v>12623.5</v>
      </c>
      <c r="D39" s="25">
        <v>12722</v>
      </c>
      <c r="E39" s="25">
        <v>12813.073785272187</v>
      </c>
      <c r="F39" s="25">
        <v>12872.073785272187</v>
      </c>
      <c r="G39" s="25">
        <v>12898.5</v>
      </c>
      <c r="H39" s="25">
        <v>12942.5</v>
      </c>
      <c r="I39" s="25">
        <f>AVERAGE('Rate Class Customer Model'!G66:G67)</f>
        <v>13094.5</v>
      </c>
      <c r="J39" s="25">
        <f>I39/Summary!I43*Summary!J43</f>
        <v>13190.396804698621</v>
      </c>
      <c r="K39" s="25">
        <f>I39/Summary!I43*Summary!K43</f>
        <v>13286.995904036321</v>
      </c>
    </row>
    <row r="40" spans="1:12" x14ac:dyDescent="0.2">
      <c r="A40" t="s">
        <v>52</v>
      </c>
      <c r="B40" s="25">
        <v>9519205.9225450996</v>
      </c>
      <c r="C40" s="6">
        <v>9519485.5138937496</v>
      </c>
      <c r="D40" s="25">
        <v>9645171.1912231408</v>
      </c>
      <c r="E40" s="25">
        <v>9566349.8299999982</v>
      </c>
      <c r="F40" s="25">
        <v>9696634.4700000007</v>
      </c>
      <c r="G40" s="25">
        <v>9696633.3400000017</v>
      </c>
      <c r="H40" s="25">
        <f>'Rate Class Energy Model'!M26</f>
        <v>9646646.8700000253</v>
      </c>
      <c r="I40" s="25">
        <f>'Rate Class Energy Model'!M27</f>
        <v>7627852.4800000004</v>
      </c>
      <c r="J40" s="25">
        <f>I40/Summary!I44*Summary!J44</f>
        <v>4689706.501496491</v>
      </c>
      <c r="K40" s="25">
        <f>I40/Summary!I44*Summary!K44</f>
        <v>3458011.9712257395</v>
      </c>
    </row>
    <row r="41" spans="1:12" x14ac:dyDescent="0.2">
      <c r="A41" t="s">
        <v>53</v>
      </c>
      <c r="B41" s="25">
        <v>26613.74</v>
      </c>
      <c r="C41" s="6">
        <v>26604.0272498757</v>
      </c>
      <c r="D41" s="25">
        <v>26876.1599016972</v>
      </c>
      <c r="E41" s="25">
        <v>26970.441757714674</v>
      </c>
      <c r="F41" s="25">
        <v>27084.816091179095</v>
      </c>
      <c r="G41" s="25">
        <v>27097.358670269314</v>
      </c>
      <c r="H41" s="25">
        <v>26888.84</v>
      </c>
      <c r="I41" s="25">
        <f>'Rate Class Load Model'!E21</f>
        <v>21829.670000000002</v>
      </c>
      <c r="J41" s="25">
        <f>I41/Summary!I45*Summary!J45</f>
        <v>13421.175303658065</v>
      </c>
      <c r="K41" s="25">
        <f>I41/Summary!I45*Summary!K45</f>
        <v>9896.2663981550158</v>
      </c>
    </row>
    <row r="42" spans="1:12" x14ac:dyDescent="0.2">
      <c r="B42" s="25"/>
      <c r="C42" s="6"/>
      <c r="D42" s="25"/>
      <c r="E42" s="25"/>
      <c r="F42" s="25"/>
      <c r="G42" s="25"/>
      <c r="I42" s="25"/>
      <c r="J42" s="25"/>
      <c r="K42" s="25"/>
    </row>
    <row r="43" spans="1:12" x14ac:dyDescent="0.2">
      <c r="A43" s="41" t="s">
        <v>2</v>
      </c>
      <c r="B43" s="30"/>
      <c r="C43" s="160"/>
      <c r="D43" s="21"/>
      <c r="E43" s="21"/>
      <c r="F43" s="21"/>
    </row>
    <row r="44" spans="1:12" x14ac:dyDescent="0.2">
      <c r="A44" t="s">
        <v>54</v>
      </c>
      <c r="B44" s="25">
        <v>537.5</v>
      </c>
      <c r="C44" s="6">
        <v>514.5</v>
      </c>
      <c r="D44" s="25">
        <v>490.5</v>
      </c>
      <c r="E44" s="25">
        <v>486.5</v>
      </c>
      <c r="F44" s="25">
        <v>482</v>
      </c>
      <c r="G44" s="25">
        <v>485</v>
      </c>
      <c r="H44" s="25">
        <v>475</v>
      </c>
      <c r="I44" s="25">
        <f>AVERAGE('Rate Class Customer Model'!I66:I67)</f>
        <v>452</v>
      </c>
      <c r="J44" s="25">
        <f>I44/Summary!I53*Summary!J53</f>
        <v>452</v>
      </c>
      <c r="K44" s="25">
        <f>I44/Summary!I53*Summary!K53</f>
        <v>452</v>
      </c>
    </row>
    <row r="45" spans="1:12" x14ac:dyDescent="0.2">
      <c r="A45" t="s">
        <v>52</v>
      </c>
      <c r="B45" s="25">
        <v>2130241.9105078499</v>
      </c>
      <c r="C45" s="6">
        <v>2067610.5874618399</v>
      </c>
      <c r="D45" s="25">
        <v>2015389.59674505</v>
      </c>
      <c r="E45" s="25">
        <v>1988576.8189845479</v>
      </c>
      <c r="F45" s="25">
        <v>2009373.9548110634</v>
      </c>
      <c r="G45" s="25">
        <v>1973538.7725536495</v>
      </c>
      <c r="H45" s="25">
        <f>'Rate Class Energy Model'!O26</f>
        <v>1926179.9999999995</v>
      </c>
      <c r="I45" s="25">
        <f>'Rate Class Energy Model'!O27</f>
        <v>1855835.9970972422</v>
      </c>
      <c r="J45" s="25">
        <f>J44/Summary!J53*Summary!J54</f>
        <v>2059804.7588936943</v>
      </c>
      <c r="K45" s="25">
        <f>K44/Summary!K53*Summary!K54</f>
        <v>2059804.7588936943</v>
      </c>
    </row>
    <row r="46" spans="1:12" x14ac:dyDescent="0.2">
      <c r="B46" s="25"/>
      <c r="C46" s="160"/>
    </row>
    <row r="47" spans="1:12" x14ac:dyDescent="0.2">
      <c r="A47" s="41" t="str">
        <f>Summary!A56</f>
        <v>Embedded Distributor - Hydro One, CND</v>
      </c>
      <c r="B47" s="30"/>
      <c r="C47" s="160"/>
      <c r="D47" s="21"/>
      <c r="E47" s="21"/>
      <c r="F47" s="21"/>
      <c r="G47" s="25"/>
      <c r="H47" s="25"/>
    </row>
    <row r="48" spans="1:12" x14ac:dyDescent="0.2">
      <c r="A48" t="str">
        <f>Summary!A57</f>
        <v xml:space="preserve">  Customers </v>
      </c>
      <c r="B48" s="25">
        <f>Summary!B57</f>
        <v>2</v>
      </c>
      <c r="C48" s="25">
        <f>Summary!C57</f>
        <v>2</v>
      </c>
      <c r="D48" s="25">
        <f>Summary!D57</f>
        <v>2</v>
      </c>
      <c r="E48" s="25">
        <f>Summary!E57</f>
        <v>2</v>
      </c>
      <c r="F48" s="25">
        <f>Summary!F57</f>
        <v>2</v>
      </c>
      <c r="G48" s="25">
        <f>Summary!G57</f>
        <v>2</v>
      </c>
      <c r="H48" s="25">
        <f>Summary!H57</f>
        <v>2</v>
      </c>
      <c r="I48" s="25">
        <f>Summary!I57</f>
        <v>2</v>
      </c>
      <c r="J48" s="25">
        <f>Summary!J57</f>
        <v>2</v>
      </c>
      <c r="K48" s="25">
        <f>Summary!K57</f>
        <v>2</v>
      </c>
      <c r="L48" s="25"/>
    </row>
    <row r="49" spans="1:12" x14ac:dyDescent="0.2">
      <c r="A49" t="str">
        <f>Summary!A58</f>
        <v xml:space="preserve">  kWh</v>
      </c>
      <c r="B49" s="25">
        <f>Summary!B58</f>
        <v>13614985.1197195</v>
      </c>
      <c r="C49" s="25">
        <f>Summary!C58</f>
        <v>13478593.7449254</v>
      </c>
      <c r="D49" s="25">
        <f>Summary!D58</f>
        <v>13008528.857421899</v>
      </c>
      <c r="E49" s="25">
        <f>Summary!E58</f>
        <v>13176711.219999999</v>
      </c>
      <c r="F49" s="25">
        <f>Summary!F58</f>
        <v>13845907.199999999</v>
      </c>
      <c r="G49" s="25">
        <f>Summary!G58</f>
        <v>13548202.5</v>
      </c>
      <c r="H49" s="25">
        <f>Summary!H58</f>
        <v>13027612.079999994</v>
      </c>
      <c r="I49" s="25">
        <f>Summary!I58</f>
        <v>12605162.219999999</v>
      </c>
      <c r="J49" s="25">
        <f>Summary!J58</f>
        <v>12605162.219999999</v>
      </c>
      <c r="K49" s="25">
        <f>Summary!K58</f>
        <v>12605162.219999999</v>
      </c>
      <c r="L49" s="25"/>
    </row>
    <row r="50" spans="1:12" x14ac:dyDescent="0.2">
      <c r="A50" t="str">
        <f>Summary!A59</f>
        <v xml:space="preserve">  kW</v>
      </c>
      <c r="B50" s="25">
        <f>Summary!B59</f>
        <v>27708.199199999988</v>
      </c>
      <c r="C50" s="25">
        <f>Summary!C59</f>
        <v>28171.380953131098</v>
      </c>
      <c r="D50" s="25">
        <f>Summary!D59</f>
        <v>29053.063102722197</v>
      </c>
      <c r="E50" s="25">
        <f>Summary!E59</f>
        <v>27808.589999999997</v>
      </c>
      <c r="F50" s="25">
        <f>Summary!F59</f>
        <v>28706.47</v>
      </c>
      <c r="G50" s="25">
        <f>Summary!G59</f>
        <v>28843.22000000003</v>
      </c>
      <c r="H50" s="25">
        <f>Summary!H59</f>
        <v>27465.539999999994</v>
      </c>
      <c r="I50" s="25">
        <f>Summary!I59</f>
        <v>24387.435638304029</v>
      </c>
      <c r="J50" s="25">
        <f>Summary!J59</f>
        <v>24387.435638304029</v>
      </c>
      <c r="K50" s="25">
        <f>Summary!K59</f>
        <v>24387.435638304029</v>
      </c>
      <c r="L50" s="25"/>
    </row>
    <row r="51" spans="1:12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2" x14ac:dyDescent="0.2">
      <c r="A52" s="41" t="str">
        <f>Summary!A61</f>
        <v>Embedded Distributor - Waterloo North, CND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2" x14ac:dyDescent="0.2">
      <c r="A53" t="str">
        <f>Summary!A62</f>
        <v xml:space="preserve">  Customers </v>
      </c>
      <c r="B53" s="25">
        <f>Summary!B62</f>
        <v>1</v>
      </c>
      <c r="C53" s="25">
        <f>Summary!C62</f>
        <v>1</v>
      </c>
      <c r="D53" s="25">
        <f>Summary!D62</f>
        <v>1</v>
      </c>
      <c r="E53" s="25">
        <f>Summary!E62</f>
        <v>1</v>
      </c>
      <c r="F53" s="25">
        <f>Summary!F62</f>
        <v>1</v>
      </c>
      <c r="G53" s="25">
        <f>Summary!G62</f>
        <v>1</v>
      </c>
      <c r="H53" s="25">
        <f>Summary!H62</f>
        <v>1</v>
      </c>
      <c r="I53" s="25">
        <f>Summary!I62</f>
        <v>1</v>
      </c>
      <c r="J53" s="25">
        <f>Summary!J62</f>
        <v>1</v>
      </c>
      <c r="K53" s="25">
        <f>Summary!K62</f>
        <v>1</v>
      </c>
    </row>
    <row r="54" spans="1:12" x14ac:dyDescent="0.2">
      <c r="A54" t="str">
        <f>Summary!A63</f>
        <v xml:space="preserve">  kWh</v>
      </c>
      <c r="B54" s="25">
        <f>Summary!B63</f>
        <v>0</v>
      </c>
      <c r="C54" s="25">
        <f>Summary!C63</f>
        <v>0</v>
      </c>
      <c r="D54" s="25">
        <f>Summary!D63</f>
        <v>0</v>
      </c>
      <c r="E54" s="25">
        <f>Summary!E63</f>
        <v>45983609.929999992</v>
      </c>
      <c r="F54" s="25">
        <f>Summary!F63</f>
        <v>58781039.110000007</v>
      </c>
      <c r="G54" s="25">
        <f>Summary!G63</f>
        <v>60363735.780000001</v>
      </c>
      <c r="H54" s="25">
        <f>Summary!H63</f>
        <v>61404043.760000005</v>
      </c>
      <c r="I54" s="25">
        <f>Summary!I63</f>
        <v>58104381.490000002</v>
      </c>
      <c r="J54" s="25">
        <f>Summary!J63</f>
        <v>58104381.490000002</v>
      </c>
      <c r="K54" s="25">
        <f>Summary!K63</f>
        <v>58104381.490000002</v>
      </c>
    </row>
    <row r="55" spans="1:12" x14ac:dyDescent="0.2">
      <c r="A55" t="str">
        <f>Summary!A64</f>
        <v xml:space="preserve">  kW</v>
      </c>
      <c r="B55" s="25">
        <f>Summary!B64</f>
        <v>73663.072638679005</v>
      </c>
      <c r="C55" s="25">
        <f>Summary!C64</f>
        <v>78979.832576877903</v>
      </c>
      <c r="D55" s="25">
        <f>Summary!D64</f>
        <v>70981.983230590806</v>
      </c>
      <c r="E55" s="25">
        <f>Summary!E64</f>
        <v>92129.709999999992</v>
      </c>
      <c r="F55" s="25">
        <f>Summary!F64</f>
        <v>106790</v>
      </c>
      <c r="G55" s="25">
        <f>Summary!G64</f>
        <v>108928.78999999998</v>
      </c>
      <c r="H55" s="25">
        <f>Summary!H64</f>
        <v>121168.08</v>
      </c>
      <c r="I55" s="25">
        <f>Summary!I64</f>
        <v>114656.88436169598</v>
      </c>
      <c r="J55" s="25">
        <f>Summary!J64</f>
        <v>114656.88436169598</v>
      </c>
      <c r="K55" s="25">
        <f>Summary!K64</f>
        <v>114656.88436169598</v>
      </c>
    </row>
    <row r="56" spans="1:12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 x14ac:dyDescent="0.2">
      <c r="A57" s="41" t="s">
        <v>12</v>
      </c>
      <c r="B57" s="30"/>
      <c r="C57" s="21"/>
      <c r="D57" s="21"/>
      <c r="E57" s="21"/>
      <c r="F57" s="21"/>
      <c r="H57" s="114"/>
    </row>
    <row r="58" spans="1:12" x14ac:dyDescent="0.2">
      <c r="A58" t="s">
        <v>56</v>
      </c>
      <c r="B58" s="25">
        <f>B12+B16+B20+B25+B30+B39+B44+B48+B35+B53</f>
        <v>63363.5</v>
      </c>
      <c r="C58" s="25">
        <f t="shared" ref="C58:K58" si="1">C12+C16+C20+C25+C30+C39+C44+C48+C35+C53</f>
        <v>64308.5</v>
      </c>
      <c r="D58" s="25">
        <f t="shared" si="1"/>
        <v>64929.5</v>
      </c>
      <c r="E58" s="25">
        <f t="shared" si="1"/>
        <v>65403.573785272187</v>
      </c>
      <c r="F58" s="25">
        <f t="shared" si="1"/>
        <v>65809.073785272194</v>
      </c>
      <c r="G58" s="25">
        <f t="shared" si="1"/>
        <v>66285.436760855824</v>
      </c>
      <c r="H58" s="25">
        <f>H12+H16+H20+H25+H30+H39+H44+H48+H35+H53</f>
        <v>66892.436760855824</v>
      </c>
      <c r="I58" s="25">
        <f t="shared" si="1"/>
        <v>67600.5</v>
      </c>
      <c r="J58" s="25">
        <f t="shared" si="1"/>
        <v>68347.983683205486</v>
      </c>
      <c r="K58" s="25">
        <f t="shared" si="1"/>
        <v>69104.105918907851</v>
      </c>
    </row>
    <row r="59" spans="1:12" x14ac:dyDescent="0.2">
      <c r="A59" t="s">
        <v>52</v>
      </c>
      <c r="B59" s="25">
        <f>B13+B17+B21+B26+B31+B40+B45+B49+B54</f>
        <v>1428999865.8108106</v>
      </c>
      <c r="C59" s="25">
        <f t="shared" ref="C59:K59" si="2">C13+C17+C21+C26+C31+C40+C45+C49+C54</f>
        <v>1427066490.6084332</v>
      </c>
      <c r="D59" s="25">
        <f t="shared" si="2"/>
        <v>1447672426.0250552</v>
      </c>
      <c r="E59" s="25">
        <f t="shared" si="2"/>
        <v>1508825531.3228555</v>
      </c>
      <c r="F59" s="25">
        <f t="shared" si="2"/>
        <v>1504564535.683198</v>
      </c>
      <c r="G59" s="25">
        <f t="shared" si="2"/>
        <v>1525305858.2362208</v>
      </c>
      <c r="H59" s="25">
        <f>H13+H17+H21+H26+H31+H40+H45+H49+H54</f>
        <v>1443193604.2364001</v>
      </c>
      <c r="I59" s="25">
        <f>I13+I17+I21+I26+I31+I40+I45+I49+I54</f>
        <v>1384202885.1475635</v>
      </c>
      <c r="J59" s="25">
        <f t="shared" si="2"/>
        <v>1358686426.5934148</v>
      </c>
      <c r="K59" s="25">
        <f t="shared" si="2"/>
        <v>1358606865.1247365</v>
      </c>
    </row>
    <row r="60" spans="1:12" x14ac:dyDescent="0.2">
      <c r="A60" t="s">
        <v>55</v>
      </c>
      <c r="B60" s="25">
        <f>B22+B27+B32+B41+B50+B36+B55</f>
        <v>2490272.3115422293</v>
      </c>
      <c r="C60" s="25">
        <f t="shared" ref="C60:K60" si="3">C22+C27+C32+C41+C50+C36+C55</f>
        <v>2561515.7025324772</v>
      </c>
      <c r="D60" s="25">
        <f t="shared" si="3"/>
        <v>2570937.532216242</v>
      </c>
      <c r="E60" s="25">
        <f t="shared" si="3"/>
        <v>2485061.6277833642</v>
      </c>
      <c r="F60" s="25">
        <f t="shared" si="3"/>
        <v>2553294.5580965765</v>
      </c>
      <c r="G60" s="25">
        <f t="shared" si="3"/>
        <v>2482026.8185225399</v>
      </c>
      <c r="H60" s="25">
        <f>H22+H27+H32+H41+H50+H36+H55</f>
        <v>2461377.0700000003</v>
      </c>
      <c r="I60" s="25">
        <f t="shared" si="3"/>
        <v>2338913.27</v>
      </c>
      <c r="J60" s="25">
        <f t="shared" si="3"/>
        <v>2314066.2847345714</v>
      </c>
      <c r="K60" s="25">
        <f t="shared" si="3"/>
        <v>2330332.9139384273</v>
      </c>
    </row>
    <row r="61" spans="1:12" x14ac:dyDescent="0.2">
      <c r="B61" s="30"/>
      <c r="C61" s="114"/>
      <c r="D61" s="21"/>
      <c r="E61" s="21"/>
      <c r="F61" s="21"/>
    </row>
    <row r="62" spans="1:12" x14ac:dyDescent="0.2">
      <c r="B62"/>
      <c r="I62" s="55"/>
    </row>
    <row r="63" spans="1:12" x14ac:dyDescent="0.2">
      <c r="B63"/>
    </row>
    <row r="64" spans="1:1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</sheetData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G210"/>
  <sheetViews>
    <sheetView tabSelected="1" topLeftCell="J127" workbookViewId="0">
      <selection activeCell="U151" sqref="U151"/>
    </sheetView>
  </sheetViews>
  <sheetFormatPr defaultRowHeight="12.75" x14ac:dyDescent="0.2"/>
  <cols>
    <col min="1" max="1" width="11.85546875" style="40" customWidth="1"/>
    <col min="2" max="2" width="18" style="6" customWidth="1"/>
    <col min="3" max="3" width="11.85546875" style="40" customWidth="1"/>
    <col min="4" max="5" width="18" style="6" customWidth="1"/>
    <col min="6" max="6" width="12.7109375" style="21" customWidth="1"/>
    <col min="7" max="8" width="18" style="6" customWidth="1"/>
    <col min="9" max="9" width="16.85546875" style="6" customWidth="1"/>
    <col min="10" max="10" width="11.7109375" style="160" customWidth="1"/>
    <col min="11" max="11" width="13.42578125" style="160" customWidth="1"/>
    <col min="12" max="12" width="10.140625" style="160" customWidth="1"/>
    <col min="13" max="13" width="12.42578125" style="160" customWidth="1"/>
    <col min="14" max="14" width="13" style="21" customWidth="1"/>
    <col min="15" max="15" width="12.42578125" style="160" customWidth="1"/>
    <col min="16" max="16" width="14.85546875" style="21" customWidth="1"/>
    <col min="17" max="18" width="14.85546875" style="21" hidden="1" customWidth="1"/>
    <col min="19" max="19" width="12.140625" style="31" hidden="1" customWidth="1"/>
    <col min="20" max="20" width="11" style="21" hidden="1" customWidth="1"/>
    <col min="21" max="21" width="15.5703125" style="160" bestFit="1" customWidth="1"/>
    <col min="22" max="22" width="16" style="160" customWidth="1"/>
    <col min="23" max="24" width="8.42578125" style="160" customWidth="1"/>
    <col min="25" max="25" width="14.5703125" style="160" customWidth="1"/>
    <col min="26" max="26" width="17.5703125" style="160" customWidth="1"/>
    <col min="27" max="27" width="44.42578125" customWidth="1"/>
    <col min="28" max="28" width="15.5703125" bestFit="1" customWidth="1"/>
    <col min="29" max="29" width="13.7109375" bestFit="1" customWidth="1"/>
    <col min="30" max="30" width="12.5703125" bestFit="1" customWidth="1"/>
    <col min="31" max="31" width="17.140625" customWidth="1"/>
    <col min="32" max="32" width="15.42578125" customWidth="1"/>
    <col min="33" max="33" width="14.85546875" customWidth="1"/>
    <col min="34" max="34" width="14.140625" customWidth="1"/>
    <col min="35" max="36" width="42.42578125" bestFit="1" customWidth="1"/>
    <col min="37" max="37" width="15.5703125" bestFit="1" customWidth="1"/>
    <col min="38" max="38" width="26.140625" bestFit="1" customWidth="1"/>
    <col min="39" max="39" width="23" bestFit="1" customWidth="1"/>
    <col min="42" max="42" width="40.7109375" bestFit="1" customWidth="1"/>
    <col min="43" max="43" width="42.85546875" bestFit="1" customWidth="1"/>
  </cols>
  <sheetData>
    <row r="2" spans="1:32" ht="51" x14ac:dyDescent="0.2">
      <c r="A2" s="245"/>
      <c r="B2" s="205" t="s">
        <v>191</v>
      </c>
      <c r="C2" s="246" t="s">
        <v>168</v>
      </c>
      <c r="D2" s="205" t="s">
        <v>192</v>
      </c>
      <c r="E2" s="205" t="s">
        <v>193</v>
      </c>
      <c r="F2" s="65" t="s">
        <v>120</v>
      </c>
      <c r="G2" s="205" t="s">
        <v>0</v>
      </c>
      <c r="H2" s="205" t="s">
        <v>243</v>
      </c>
      <c r="I2" s="205" t="s">
        <v>194</v>
      </c>
      <c r="J2" s="65" t="s">
        <v>4</v>
      </c>
      <c r="K2" s="65" t="s">
        <v>5</v>
      </c>
      <c r="L2" s="65" t="s">
        <v>6</v>
      </c>
      <c r="M2" s="65" t="s">
        <v>22</v>
      </c>
      <c r="N2" s="65" t="s">
        <v>7</v>
      </c>
      <c r="O2" s="65" t="s">
        <v>190</v>
      </c>
      <c r="P2" s="65" t="s">
        <v>109</v>
      </c>
      <c r="Q2" s="65" t="s">
        <v>242</v>
      </c>
      <c r="R2" s="65" t="s">
        <v>108</v>
      </c>
      <c r="S2" s="67" t="s">
        <v>8</v>
      </c>
      <c r="T2" s="65" t="s">
        <v>110</v>
      </c>
      <c r="U2" s="65" t="s">
        <v>13</v>
      </c>
      <c r="V2" s="66" t="s">
        <v>14</v>
      </c>
      <c r="W2" s="65" t="s">
        <v>15</v>
      </c>
      <c r="X2" s="65" t="s">
        <v>111</v>
      </c>
      <c r="Y2"/>
      <c r="Z2"/>
      <c r="AA2" t="s">
        <v>23</v>
      </c>
    </row>
    <row r="3" spans="1:32" ht="13.5" thickBot="1" x14ac:dyDescent="0.25">
      <c r="A3" s="247">
        <v>39478</v>
      </c>
      <c r="B3" s="248">
        <v>140041421</v>
      </c>
      <c r="C3" s="248">
        <f>'WMP pivot'!J32</f>
        <v>3319566.61</v>
      </c>
      <c r="D3" s="248">
        <f t="shared" ref="D3:D22" si="0">B3-C3</f>
        <v>136721854.38999999</v>
      </c>
      <c r="E3" s="248">
        <v>27008780</v>
      </c>
      <c r="F3" s="248">
        <f>'CDM Activity '!H84</f>
        <v>632983.38990570104</v>
      </c>
      <c r="G3" s="290">
        <v>1.035895048178346</v>
      </c>
      <c r="H3" s="248">
        <f>F3*G3</f>
        <v>655704.35918245895</v>
      </c>
      <c r="I3" s="248">
        <f>D3+E3+H3</f>
        <v>164386338.74918243</v>
      </c>
      <c r="J3" s="249">
        <v>676.8</v>
      </c>
      <c r="K3" s="249">
        <v>0</v>
      </c>
      <c r="L3" s="250">
        <v>31</v>
      </c>
      <c r="M3" s="250">
        <v>0</v>
      </c>
      <c r="N3" s="248">
        <v>352</v>
      </c>
      <c r="O3" s="250">
        <v>0</v>
      </c>
      <c r="P3" s="251">
        <v>34.6</v>
      </c>
      <c r="Q3" s="288">
        <v>1</v>
      </c>
      <c r="R3" s="248">
        <v>656.3</v>
      </c>
      <c r="S3" s="252">
        <v>139.96642175819056</v>
      </c>
      <c r="T3" s="248" t="e">
        <f>#REF!+(T8-#REF!)/12</f>
        <v>#REF!</v>
      </c>
      <c r="U3" s="250">
        <f t="shared" ref="U3:U34" si="1">$AB$18+$AB$19*J3+$AB$20*K3+$AB$21*L3+$AB$22*M3+$AB$23*N3+$AB$24*O3+$AB$25*P3</f>
        <v>163300497.09917286</v>
      </c>
      <c r="V3" s="48">
        <f t="shared" ref="V3:V34" si="2">U3-I3</f>
        <v>-1085841.6500095725</v>
      </c>
      <c r="W3" s="109">
        <f t="shared" ref="W3:W34" si="3">V3/D3</f>
        <v>-7.9419757349999225E-3</v>
      </c>
      <c r="X3" s="13">
        <f t="shared" ref="X3:X62" si="4">ABS(W3)</f>
        <v>7.9419757349999225E-3</v>
      </c>
      <c r="Y3" s="13"/>
      <c r="Z3" s="13"/>
    </row>
    <row r="4" spans="1:32" x14ac:dyDescent="0.2">
      <c r="A4" s="247">
        <v>39507</v>
      </c>
      <c r="B4" s="248">
        <v>132651127</v>
      </c>
      <c r="C4" s="248">
        <f>'WMP pivot'!J33</f>
        <v>3028037.86</v>
      </c>
      <c r="D4" s="248">
        <f t="shared" si="0"/>
        <v>129623089.14</v>
      </c>
      <c r="E4" s="248">
        <v>25623480</v>
      </c>
      <c r="F4" s="248">
        <f>'CDM Activity '!H85</f>
        <v>649951.35454338696</v>
      </c>
      <c r="G4" s="290">
        <v>1.035895048178346</v>
      </c>
      <c r="H4" s="248">
        <f t="shared" ref="H4:H67" si="5">F4*G4</f>
        <v>673281.38972830307</v>
      </c>
      <c r="I4" s="248">
        <f t="shared" ref="I4:I67" si="6">D4+E4+H4</f>
        <v>155919850.52972829</v>
      </c>
      <c r="J4" s="249">
        <v>651.20000000000005</v>
      </c>
      <c r="K4" s="249">
        <v>0</v>
      </c>
      <c r="L4" s="250">
        <v>28</v>
      </c>
      <c r="M4" s="250">
        <v>0</v>
      </c>
      <c r="N4" s="248">
        <v>320</v>
      </c>
      <c r="O4" s="250">
        <v>0</v>
      </c>
      <c r="P4" s="251">
        <v>36.200000000000003</v>
      </c>
      <c r="Q4" s="288">
        <v>2</v>
      </c>
      <c r="R4" s="248">
        <v>651.20000000000005</v>
      </c>
      <c r="S4" s="252">
        <v>139.86101141442734</v>
      </c>
      <c r="T4" s="248" t="e">
        <f>T3+(T8-#REF!)/12</f>
        <v>#REF!</v>
      </c>
      <c r="U4" s="250">
        <f t="shared" si="1"/>
        <v>152134141.04242164</v>
      </c>
      <c r="V4" s="48">
        <f t="shared" si="2"/>
        <v>-3785709.4873066545</v>
      </c>
      <c r="W4" s="109">
        <f t="shared" si="3"/>
        <v>-2.9205518186793726E-2</v>
      </c>
      <c r="X4" s="13">
        <f t="shared" si="4"/>
        <v>2.9205518186793726E-2</v>
      </c>
      <c r="Y4" s="13"/>
      <c r="Z4" s="13"/>
      <c r="AA4" s="35" t="s">
        <v>24</v>
      </c>
      <c r="AB4" s="35"/>
    </row>
    <row r="5" spans="1:32" x14ac:dyDescent="0.2">
      <c r="A5" s="247">
        <v>39538</v>
      </c>
      <c r="B5" s="248">
        <v>133457374</v>
      </c>
      <c r="C5" s="248">
        <f>'WMP pivot'!J34</f>
        <v>3214303.85</v>
      </c>
      <c r="D5" s="248">
        <f t="shared" si="0"/>
        <v>130243070.15000001</v>
      </c>
      <c r="E5" s="248">
        <v>25871810</v>
      </c>
      <c r="F5" s="248">
        <f>'CDM Activity '!H86</f>
        <v>666919.31918107287</v>
      </c>
      <c r="G5" s="290">
        <v>1.035895048178346</v>
      </c>
      <c r="H5" s="248">
        <f t="shared" si="5"/>
        <v>690858.42027414718</v>
      </c>
      <c r="I5" s="248">
        <f t="shared" si="6"/>
        <v>156805738.57027414</v>
      </c>
      <c r="J5" s="249">
        <v>686.1</v>
      </c>
      <c r="K5" s="249">
        <v>0</v>
      </c>
      <c r="L5" s="250">
        <v>31</v>
      </c>
      <c r="M5" s="250">
        <v>1</v>
      </c>
      <c r="N5" s="248">
        <v>304</v>
      </c>
      <c r="O5" s="250">
        <v>0</v>
      </c>
      <c r="P5" s="251">
        <v>37.4</v>
      </c>
      <c r="Q5" s="288">
        <v>3</v>
      </c>
      <c r="R5" s="248">
        <v>642.29999999999995</v>
      </c>
      <c r="S5" s="252">
        <v>139.75568045642274</v>
      </c>
      <c r="T5" s="248" t="e">
        <f>T4+(T8-#REF!)/12</f>
        <v>#REF!</v>
      </c>
      <c r="U5" s="250">
        <f t="shared" si="1"/>
        <v>154916530.57395536</v>
      </c>
      <c r="V5" s="48">
        <f t="shared" si="2"/>
        <v>-1889207.9963187873</v>
      </c>
      <c r="W5" s="109">
        <f t="shared" si="3"/>
        <v>-1.4505247719844135E-2</v>
      </c>
      <c r="X5" s="13">
        <f t="shared" si="4"/>
        <v>1.4505247719844135E-2</v>
      </c>
      <c r="Y5" s="13"/>
      <c r="Z5" s="13"/>
      <c r="AA5" s="32" t="s">
        <v>25</v>
      </c>
      <c r="AB5" s="216">
        <v>0.91734104867701216</v>
      </c>
    </row>
    <row r="6" spans="1:32" x14ac:dyDescent="0.2">
      <c r="A6" s="247">
        <v>39568</v>
      </c>
      <c r="B6" s="248">
        <v>122596206</v>
      </c>
      <c r="C6" s="248">
        <f>'WMP pivot'!J35</f>
        <v>3270611.0999999996</v>
      </c>
      <c r="D6" s="248">
        <f t="shared" si="0"/>
        <v>119325594.90000001</v>
      </c>
      <c r="E6" s="248">
        <v>22283980</v>
      </c>
      <c r="F6" s="248">
        <f>'CDM Activity '!H87</f>
        <v>683887.28381875879</v>
      </c>
      <c r="G6" s="290">
        <v>1.035895048178346</v>
      </c>
      <c r="H6" s="248">
        <f t="shared" si="5"/>
        <v>708435.4508199913</v>
      </c>
      <c r="I6" s="248">
        <f t="shared" si="6"/>
        <v>142318010.35082</v>
      </c>
      <c r="J6" s="249">
        <v>297.89999999999998</v>
      </c>
      <c r="K6" s="249">
        <v>0</v>
      </c>
      <c r="L6" s="250">
        <v>30</v>
      </c>
      <c r="M6" s="250">
        <v>1</v>
      </c>
      <c r="N6" s="248">
        <v>352</v>
      </c>
      <c r="O6" s="250">
        <v>0</v>
      </c>
      <c r="P6" s="251">
        <v>35.5</v>
      </c>
      <c r="Q6" s="288">
        <v>4</v>
      </c>
      <c r="R6" s="248">
        <v>642.29999999999995</v>
      </c>
      <c r="S6" s="252">
        <v>139.65042882439042</v>
      </c>
      <c r="T6" s="248" t="e">
        <f>T5+(T8-#REF!)/12</f>
        <v>#REF!</v>
      </c>
      <c r="U6" s="250">
        <f t="shared" si="1"/>
        <v>148878247.87791532</v>
      </c>
      <c r="V6" s="48">
        <f t="shared" si="2"/>
        <v>6560237.5270953178</v>
      </c>
      <c r="W6" s="109">
        <f t="shared" si="3"/>
        <v>5.4977622634884663E-2</v>
      </c>
      <c r="X6" s="13">
        <f t="shared" si="4"/>
        <v>5.4977622634884663E-2</v>
      </c>
      <c r="Y6" s="13"/>
      <c r="Z6" s="13"/>
      <c r="AA6" s="32" t="s">
        <v>26</v>
      </c>
      <c r="AB6" s="216">
        <v>0.84151459958784036</v>
      </c>
    </row>
    <row r="7" spans="1:32" x14ac:dyDescent="0.2">
      <c r="A7" s="247">
        <v>39599</v>
      </c>
      <c r="B7" s="248">
        <v>121120167</v>
      </c>
      <c r="C7" s="248">
        <f>'WMP pivot'!J36</f>
        <v>3465367.6500000004</v>
      </c>
      <c r="D7" s="248">
        <f t="shared" si="0"/>
        <v>117654799.34999999</v>
      </c>
      <c r="E7" s="248">
        <v>22297260</v>
      </c>
      <c r="F7" s="248">
        <f>'CDM Activity '!H88</f>
        <v>700855.24845644471</v>
      </c>
      <c r="G7" s="290">
        <v>1.035895048178346</v>
      </c>
      <c r="H7" s="248">
        <f t="shared" si="5"/>
        <v>726012.48136583541</v>
      </c>
      <c r="I7" s="248">
        <f t="shared" si="6"/>
        <v>140678071.83136582</v>
      </c>
      <c r="J7" s="249">
        <v>243.1</v>
      </c>
      <c r="K7" s="249">
        <v>0.7</v>
      </c>
      <c r="L7" s="250">
        <v>31</v>
      </c>
      <c r="M7" s="250">
        <v>1</v>
      </c>
      <c r="N7" s="248">
        <v>336</v>
      </c>
      <c r="O7" s="250">
        <v>0</v>
      </c>
      <c r="P7" s="251">
        <v>38.5</v>
      </c>
      <c r="Q7" s="288">
        <v>5</v>
      </c>
      <c r="R7" s="248">
        <v>642.5</v>
      </c>
      <c r="S7" s="252">
        <v>139.54525645858905</v>
      </c>
      <c r="T7" s="248" t="e">
        <f>T6+(T8-#REF!)/12</f>
        <v>#REF!</v>
      </c>
      <c r="U7" s="250">
        <f t="shared" si="1"/>
        <v>147844643.79507273</v>
      </c>
      <c r="V7" s="48">
        <f t="shared" si="2"/>
        <v>7166571.9637069106</v>
      </c>
      <c r="W7" s="109">
        <f t="shared" si="3"/>
        <v>6.0911854028051694E-2</v>
      </c>
      <c r="X7" s="13">
        <f t="shared" si="4"/>
        <v>6.0911854028051694E-2</v>
      </c>
      <c r="Y7" s="13"/>
      <c r="Z7" s="13"/>
      <c r="AA7" s="32" t="s">
        <v>27</v>
      </c>
      <c r="AB7" s="216">
        <v>0.83160926206208041</v>
      </c>
    </row>
    <row r="8" spans="1:32" x14ac:dyDescent="0.2">
      <c r="A8" s="247">
        <v>39629</v>
      </c>
      <c r="B8" s="248">
        <v>130438115</v>
      </c>
      <c r="C8" s="248">
        <f>'WMP pivot'!J37</f>
        <v>3708874.88</v>
      </c>
      <c r="D8" s="248">
        <f t="shared" si="0"/>
        <v>126729240.12</v>
      </c>
      <c r="E8" s="248">
        <v>23777670</v>
      </c>
      <c r="F8" s="248">
        <f>'CDM Activity '!H89</f>
        <v>717823.21309413062</v>
      </c>
      <c r="G8" s="290">
        <v>1.035895048178346</v>
      </c>
      <c r="H8" s="248">
        <f t="shared" si="5"/>
        <v>743589.51191167952</v>
      </c>
      <c r="I8" s="248">
        <f t="shared" si="6"/>
        <v>151250499.6319117</v>
      </c>
      <c r="J8" s="249">
        <v>40.6</v>
      </c>
      <c r="K8" s="249">
        <v>53</v>
      </c>
      <c r="L8" s="250">
        <v>30</v>
      </c>
      <c r="M8" s="250">
        <v>0</v>
      </c>
      <c r="N8" s="248">
        <v>336</v>
      </c>
      <c r="O8" s="250">
        <v>0</v>
      </c>
      <c r="P8" s="251">
        <v>39.200000000000003</v>
      </c>
      <c r="Q8" s="288">
        <v>6</v>
      </c>
      <c r="R8" s="248">
        <v>648.20000000000005</v>
      </c>
      <c r="S8" s="252">
        <v>139.44016329932234</v>
      </c>
      <c r="T8" s="248">
        <f>'Rate Class Customer Model'!S11</f>
        <v>72824.5</v>
      </c>
      <c r="U8" s="250">
        <f t="shared" si="1"/>
        <v>159687788.67449015</v>
      </c>
      <c r="V8" s="48">
        <f t="shared" si="2"/>
        <v>8437289.0425784588</v>
      </c>
      <c r="W8" s="109">
        <f t="shared" si="3"/>
        <v>6.6577287408881997E-2</v>
      </c>
      <c r="X8" s="13">
        <f t="shared" si="4"/>
        <v>6.6577287408881997E-2</v>
      </c>
      <c r="Y8" s="13"/>
      <c r="Z8" s="13"/>
      <c r="AA8" s="32" t="s">
        <v>28</v>
      </c>
      <c r="AB8" s="107">
        <v>3891084.1048413948</v>
      </c>
    </row>
    <row r="9" spans="1:32" ht="13.5" thickBot="1" x14ac:dyDescent="0.25">
      <c r="A9" s="247">
        <v>39660</v>
      </c>
      <c r="B9" s="248">
        <v>139693948</v>
      </c>
      <c r="C9" s="248">
        <f>'WMP pivot'!J38</f>
        <v>3934057.6300000004</v>
      </c>
      <c r="D9" s="248">
        <f t="shared" si="0"/>
        <v>135759890.37</v>
      </c>
      <c r="E9" s="248">
        <v>26324020</v>
      </c>
      <c r="F9" s="248">
        <f>'CDM Activity '!H90</f>
        <v>734791.17773181654</v>
      </c>
      <c r="G9" s="290">
        <v>1.035895048178346</v>
      </c>
      <c r="H9" s="248">
        <f t="shared" si="5"/>
        <v>761166.54245752364</v>
      </c>
      <c r="I9" s="248">
        <f t="shared" si="6"/>
        <v>162845076.91245753</v>
      </c>
      <c r="J9" s="249">
        <v>7.6</v>
      </c>
      <c r="K9" s="249">
        <v>75.8</v>
      </c>
      <c r="L9" s="250">
        <v>31</v>
      </c>
      <c r="M9" s="250">
        <v>0</v>
      </c>
      <c r="N9" s="248">
        <v>352</v>
      </c>
      <c r="O9" s="250">
        <v>0</v>
      </c>
      <c r="P9" s="251">
        <v>42.5</v>
      </c>
      <c r="Q9" s="288">
        <v>7</v>
      </c>
      <c r="R9" s="248">
        <v>653.5</v>
      </c>
      <c r="S9" s="252">
        <v>139.3351492869389</v>
      </c>
      <c r="T9" s="248">
        <f>T8+(T20-T8)/12</f>
        <v>72895.96875</v>
      </c>
      <c r="U9" s="250">
        <f t="shared" si="1"/>
        <v>168365332.932253</v>
      </c>
      <c r="V9" s="48">
        <f t="shared" si="2"/>
        <v>5520256.0197954774</v>
      </c>
      <c r="W9" s="109">
        <f t="shared" si="3"/>
        <v>4.0661906876549261E-2</v>
      </c>
      <c r="X9" s="13">
        <f t="shared" si="4"/>
        <v>4.0661906876549261E-2</v>
      </c>
      <c r="Y9" s="13"/>
      <c r="Z9" s="13"/>
      <c r="AA9" s="33" t="s">
        <v>29</v>
      </c>
      <c r="AB9" s="33">
        <v>120</v>
      </c>
    </row>
    <row r="10" spans="1:32" x14ac:dyDescent="0.2">
      <c r="A10" s="247">
        <v>39691</v>
      </c>
      <c r="B10" s="248">
        <v>131943162</v>
      </c>
      <c r="C10" s="248">
        <f>'WMP pivot'!J39</f>
        <v>3850471.59</v>
      </c>
      <c r="D10" s="248">
        <f t="shared" si="0"/>
        <v>128092690.41</v>
      </c>
      <c r="E10" s="248">
        <v>25478520</v>
      </c>
      <c r="F10" s="248">
        <f>'CDM Activity '!H91</f>
        <v>751759.14236950246</v>
      </c>
      <c r="G10" s="290">
        <v>1.035895048178346</v>
      </c>
      <c r="H10" s="248">
        <f t="shared" si="5"/>
        <v>778743.57300336775</v>
      </c>
      <c r="I10" s="248">
        <f t="shared" si="6"/>
        <v>154349953.98300338</v>
      </c>
      <c r="J10" s="249">
        <v>36.200000000000003</v>
      </c>
      <c r="K10" s="249">
        <v>29.5</v>
      </c>
      <c r="L10" s="250">
        <v>31</v>
      </c>
      <c r="M10" s="250">
        <v>0</v>
      </c>
      <c r="N10" s="248">
        <v>320</v>
      </c>
      <c r="O10" s="250">
        <v>0</v>
      </c>
      <c r="P10" s="251">
        <v>40.9</v>
      </c>
      <c r="Q10" s="288">
        <v>8</v>
      </c>
      <c r="R10" s="248">
        <v>656.2</v>
      </c>
      <c r="S10" s="252">
        <v>139.23021436183228</v>
      </c>
      <c r="T10" s="248">
        <f>T9+(T20-T8)/12</f>
        <v>72967.4375</v>
      </c>
      <c r="U10" s="250">
        <f t="shared" si="1"/>
        <v>153037148.00418642</v>
      </c>
      <c r="V10" s="48">
        <f t="shared" si="2"/>
        <v>-1312805.9788169563</v>
      </c>
      <c r="W10" s="109">
        <f t="shared" si="3"/>
        <v>-1.0248875049894865E-2</v>
      </c>
      <c r="X10" s="13">
        <f t="shared" si="4"/>
        <v>1.0248875049894865E-2</v>
      </c>
      <c r="Y10" s="13"/>
      <c r="Z10" s="13"/>
    </row>
    <row r="11" spans="1:32" ht="13.5" thickBot="1" x14ac:dyDescent="0.25">
      <c r="A11" s="247">
        <v>39721</v>
      </c>
      <c r="B11" s="248">
        <v>126425825</v>
      </c>
      <c r="C11" s="248">
        <f>'WMP pivot'!J40</f>
        <v>3625170.46</v>
      </c>
      <c r="D11" s="248">
        <f t="shared" si="0"/>
        <v>122800654.54000001</v>
      </c>
      <c r="E11" s="248">
        <v>24166620</v>
      </c>
      <c r="F11" s="248">
        <f>'CDM Activity '!H92</f>
        <v>768727.10700718837</v>
      </c>
      <c r="G11" s="290">
        <v>1.035895048178346</v>
      </c>
      <c r="H11" s="248">
        <f t="shared" si="5"/>
        <v>796320.60354921198</v>
      </c>
      <c r="I11" s="248">
        <f t="shared" si="6"/>
        <v>147763595.14354923</v>
      </c>
      <c r="J11" s="249">
        <v>93.2</v>
      </c>
      <c r="K11" s="249">
        <v>12</v>
      </c>
      <c r="L11" s="250">
        <v>30</v>
      </c>
      <c r="M11" s="250">
        <v>1</v>
      </c>
      <c r="N11" s="248">
        <v>336</v>
      </c>
      <c r="O11" s="250">
        <v>0</v>
      </c>
      <c r="P11" s="251">
        <v>40.299999999999997</v>
      </c>
      <c r="Q11" s="288">
        <v>9</v>
      </c>
      <c r="R11" s="248">
        <v>658.8</v>
      </c>
      <c r="S11" s="252">
        <v>139.12535846444095</v>
      </c>
      <c r="T11" s="248">
        <f>T10+(T20-T8)/12</f>
        <v>73038.90625</v>
      </c>
      <c r="U11" s="250">
        <f t="shared" si="1"/>
        <v>144865622.96126288</v>
      </c>
      <c r="V11" s="48">
        <f t="shared" si="2"/>
        <v>-2897972.1822863519</v>
      </c>
      <c r="W11" s="109">
        <f t="shared" si="3"/>
        <v>-2.3598996219864544E-2</v>
      </c>
      <c r="X11" s="13">
        <f t="shared" si="4"/>
        <v>2.3598996219864544E-2</v>
      </c>
      <c r="Y11" s="13"/>
      <c r="Z11" s="13"/>
      <c r="AA11" t="s">
        <v>30</v>
      </c>
    </row>
    <row r="12" spans="1:32" x14ac:dyDescent="0.2">
      <c r="A12" s="247">
        <v>39752</v>
      </c>
      <c r="B12" s="248">
        <v>125628543</v>
      </c>
      <c r="C12" s="248">
        <f>'WMP pivot'!J41</f>
        <v>3481712.75</v>
      </c>
      <c r="D12" s="248">
        <f t="shared" si="0"/>
        <v>122146830.25</v>
      </c>
      <c r="E12" s="248">
        <v>23670350</v>
      </c>
      <c r="F12" s="248">
        <f>'CDM Activity '!H93</f>
        <v>785695.07164487429</v>
      </c>
      <c r="G12" s="290">
        <v>1.035895048178346</v>
      </c>
      <c r="H12" s="248">
        <f t="shared" si="5"/>
        <v>813897.6340950561</v>
      </c>
      <c r="I12" s="248">
        <f t="shared" si="6"/>
        <v>146631077.88409504</v>
      </c>
      <c r="J12" s="249">
        <v>325.7</v>
      </c>
      <c r="K12" s="249">
        <v>0</v>
      </c>
      <c r="L12" s="250">
        <v>31</v>
      </c>
      <c r="M12" s="250">
        <v>1</v>
      </c>
      <c r="N12" s="248">
        <v>352</v>
      </c>
      <c r="O12" s="250">
        <v>0</v>
      </c>
      <c r="P12" s="251">
        <v>38.1</v>
      </c>
      <c r="Q12" s="288">
        <v>10</v>
      </c>
      <c r="R12" s="248">
        <v>661.5</v>
      </c>
      <c r="S12" s="252">
        <v>139.02058153524823</v>
      </c>
      <c r="T12" s="248">
        <f>T11+(T20-T8)/12</f>
        <v>73110.375</v>
      </c>
      <c r="U12" s="250">
        <f t="shared" si="1"/>
        <v>150975056.08434743</v>
      </c>
      <c r="V12" s="48">
        <f t="shared" si="2"/>
        <v>4343978.2002523839</v>
      </c>
      <c r="W12" s="109">
        <f t="shared" si="3"/>
        <v>3.5563576978309544E-2</v>
      </c>
      <c r="X12" s="13">
        <f t="shared" si="4"/>
        <v>3.5563576978309544E-2</v>
      </c>
      <c r="Y12" s="13"/>
      <c r="Z12" s="13"/>
      <c r="AA12" s="34"/>
      <c r="AB12" s="34" t="s">
        <v>34</v>
      </c>
      <c r="AC12" s="34" t="s">
        <v>35</v>
      </c>
      <c r="AD12" s="34" t="s">
        <v>36</v>
      </c>
      <c r="AE12" s="34" t="s">
        <v>37</v>
      </c>
      <c r="AF12" s="34" t="s">
        <v>38</v>
      </c>
    </row>
    <row r="13" spans="1:32" x14ac:dyDescent="0.2">
      <c r="A13" s="247">
        <v>39782</v>
      </c>
      <c r="B13" s="248">
        <v>125038661</v>
      </c>
      <c r="C13" s="248">
        <f>'WMP pivot'!J42</f>
        <v>3298956.09</v>
      </c>
      <c r="D13" s="248">
        <f t="shared" si="0"/>
        <v>121739704.91</v>
      </c>
      <c r="E13" s="248">
        <v>24281150</v>
      </c>
      <c r="F13" s="248">
        <f>'CDM Activity '!H94</f>
        <v>802663.03628256021</v>
      </c>
      <c r="G13" s="290">
        <v>1.035895048178346</v>
      </c>
      <c r="H13" s="248">
        <f t="shared" si="5"/>
        <v>831474.66464090021</v>
      </c>
      <c r="I13" s="248">
        <f t="shared" si="6"/>
        <v>146852329.5746409</v>
      </c>
      <c r="J13" s="249">
        <v>499.7</v>
      </c>
      <c r="K13" s="249">
        <v>0</v>
      </c>
      <c r="L13" s="250">
        <v>30</v>
      </c>
      <c r="M13" s="250">
        <v>1</v>
      </c>
      <c r="N13" s="248">
        <v>304</v>
      </c>
      <c r="O13" s="250">
        <v>0</v>
      </c>
      <c r="P13" s="251">
        <v>39.1</v>
      </c>
      <c r="Q13" s="288">
        <v>11</v>
      </c>
      <c r="R13" s="248">
        <v>664.7</v>
      </c>
      <c r="S13" s="252">
        <v>138.91588351478222</v>
      </c>
      <c r="T13" s="248">
        <f>T12+(T20-T8)/12</f>
        <v>73181.84375</v>
      </c>
      <c r="U13" s="250">
        <f t="shared" si="1"/>
        <v>147823152.37220424</v>
      </c>
      <c r="V13" s="48">
        <f t="shared" si="2"/>
        <v>970822.79756334424</v>
      </c>
      <c r="W13" s="109">
        <f t="shared" si="3"/>
        <v>7.9745782058618948E-3</v>
      </c>
      <c r="X13" s="13">
        <f t="shared" si="4"/>
        <v>7.9745782058618948E-3</v>
      </c>
      <c r="Y13" s="13"/>
      <c r="Z13" s="13"/>
      <c r="AA13" s="32" t="s">
        <v>31</v>
      </c>
      <c r="AB13" s="32">
        <v>7</v>
      </c>
      <c r="AC13" s="32">
        <v>9003920514000998</v>
      </c>
      <c r="AD13" s="32">
        <v>1286274359142999.7</v>
      </c>
      <c r="AE13" s="32">
        <v>84.955671363987719</v>
      </c>
      <c r="AF13" s="32">
        <v>7.9045166595117833E-42</v>
      </c>
    </row>
    <row r="14" spans="1:32" x14ac:dyDescent="0.2">
      <c r="A14" s="247">
        <v>39813</v>
      </c>
      <c r="B14" s="248">
        <v>128488680</v>
      </c>
      <c r="C14" s="248">
        <f>'WMP pivot'!J43</f>
        <v>3408623.5999999996</v>
      </c>
      <c r="D14" s="248">
        <f t="shared" si="0"/>
        <v>125080056.40000001</v>
      </c>
      <c r="E14" s="248">
        <v>26709210</v>
      </c>
      <c r="F14" s="248">
        <f>'CDM Activity '!H95</f>
        <v>819631.00092024612</v>
      </c>
      <c r="G14" s="290">
        <v>1.035895048178346</v>
      </c>
      <c r="H14" s="248">
        <f t="shared" si="5"/>
        <v>849051.69518674433</v>
      </c>
      <c r="I14" s="248">
        <f t="shared" si="6"/>
        <v>152638318.09518674</v>
      </c>
      <c r="J14" s="249">
        <v>694</v>
      </c>
      <c r="K14" s="249">
        <v>0</v>
      </c>
      <c r="L14" s="250">
        <v>31</v>
      </c>
      <c r="M14" s="250">
        <v>0</v>
      </c>
      <c r="N14" s="248">
        <v>336</v>
      </c>
      <c r="O14" s="250">
        <v>0</v>
      </c>
      <c r="P14" s="251">
        <v>42.3</v>
      </c>
      <c r="Q14" s="288">
        <v>12</v>
      </c>
      <c r="R14" s="248">
        <v>662.1</v>
      </c>
      <c r="S14" s="252">
        <v>138.8112643436159</v>
      </c>
      <c r="T14" s="248">
        <f>T13+(T20-T8)/12</f>
        <v>73253.3125</v>
      </c>
      <c r="U14" s="250">
        <f t="shared" si="1"/>
        <v>159536821.97333452</v>
      </c>
      <c r="V14" s="48">
        <f t="shared" si="2"/>
        <v>6898503.8781477809</v>
      </c>
      <c r="W14" s="109">
        <f t="shared" si="3"/>
        <v>5.5152708406899793E-2</v>
      </c>
      <c r="X14" s="13">
        <f t="shared" si="4"/>
        <v>5.5152708406899793E-2</v>
      </c>
      <c r="Y14" s="13"/>
      <c r="Z14" s="13"/>
      <c r="AA14" s="32" t="s">
        <v>32</v>
      </c>
      <c r="AB14" s="32">
        <v>112</v>
      </c>
      <c r="AC14" s="32">
        <v>1695739977226328.3</v>
      </c>
      <c r="AD14" s="32">
        <v>15140535510949.359</v>
      </c>
      <c r="AE14" s="32"/>
      <c r="AF14" s="32"/>
    </row>
    <row r="15" spans="1:32" ht="13.5" thickBot="1" x14ac:dyDescent="0.25">
      <c r="A15" s="247">
        <v>39844</v>
      </c>
      <c r="B15" s="253">
        <v>132884999</v>
      </c>
      <c r="C15" s="248">
        <f>'WMP pivot'!J45</f>
        <v>3299592.35</v>
      </c>
      <c r="D15" s="248">
        <f t="shared" si="0"/>
        <v>129585406.65000001</v>
      </c>
      <c r="E15" s="248">
        <v>27929332</v>
      </c>
      <c r="F15" s="248">
        <f>'CDM Activity '!H96</f>
        <v>873816.71082089655</v>
      </c>
      <c r="G15" s="290">
        <v>1.035895048178346</v>
      </c>
      <c r="H15" s="248">
        <f t="shared" si="5"/>
        <v>905182.40375485644</v>
      </c>
      <c r="I15" s="248">
        <f t="shared" si="6"/>
        <v>158419921.05375487</v>
      </c>
      <c r="J15" s="254">
        <v>891.8</v>
      </c>
      <c r="K15" s="254">
        <v>0</v>
      </c>
      <c r="L15" s="250">
        <v>31</v>
      </c>
      <c r="M15" s="250">
        <v>0</v>
      </c>
      <c r="N15" s="248">
        <v>336</v>
      </c>
      <c r="O15" s="250">
        <v>0</v>
      </c>
      <c r="P15" s="251">
        <v>48.1</v>
      </c>
      <c r="Q15" s="288">
        <v>13</v>
      </c>
      <c r="R15" s="248">
        <v>651.4</v>
      </c>
      <c r="S15" s="252">
        <v>138.43555825854429</v>
      </c>
      <c r="T15" s="248">
        <f>T14+(T20-T8)/12</f>
        <v>73324.78125</v>
      </c>
      <c r="U15" s="250">
        <f t="shared" si="1"/>
        <v>161785921.66208729</v>
      </c>
      <c r="V15" s="48">
        <f t="shared" si="2"/>
        <v>3366000.6083324254</v>
      </c>
      <c r="W15" s="109">
        <f t="shared" si="3"/>
        <v>2.5975151796403497E-2</v>
      </c>
      <c r="X15" s="13">
        <f t="shared" si="4"/>
        <v>2.5975151796403497E-2</v>
      </c>
      <c r="Y15" s="13"/>
      <c r="Z15" s="13"/>
      <c r="AA15" s="33" t="s">
        <v>12</v>
      </c>
      <c r="AB15" s="33">
        <v>119</v>
      </c>
      <c r="AC15" s="33">
        <v>1.0699660491227326E+16</v>
      </c>
      <c r="AD15" s="33"/>
      <c r="AE15" s="33"/>
      <c r="AF15" s="33"/>
    </row>
    <row r="16" spans="1:32" ht="13.5" thickBot="1" x14ac:dyDescent="0.25">
      <c r="A16" s="247">
        <v>39872</v>
      </c>
      <c r="B16" s="253">
        <v>117645114</v>
      </c>
      <c r="C16" s="248">
        <f>'WMP pivot'!J46</f>
        <v>3032789.34</v>
      </c>
      <c r="D16" s="248">
        <f t="shared" si="0"/>
        <v>114612324.66</v>
      </c>
      <c r="E16" s="248">
        <v>23550989</v>
      </c>
      <c r="F16" s="248">
        <f>'CDM Activity '!H97</f>
        <v>928002.42072154698</v>
      </c>
      <c r="G16" s="290">
        <v>1.035895048178346</v>
      </c>
      <c r="H16" s="248">
        <f t="shared" si="5"/>
        <v>961313.11232296866</v>
      </c>
      <c r="I16" s="248">
        <f t="shared" si="6"/>
        <v>139124626.77232295</v>
      </c>
      <c r="J16" s="254">
        <v>649.6</v>
      </c>
      <c r="K16" s="254">
        <v>0</v>
      </c>
      <c r="L16" s="250">
        <v>29</v>
      </c>
      <c r="M16" s="250">
        <v>0</v>
      </c>
      <c r="N16" s="248">
        <v>304</v>
      </c>
      <c r="O16" s="250">
        <v>0</v>
      </c>
      <c r="P16" s="251">
        <v>56.2</v>
      </c>
      <c r="Q16" s="288">
        <v>14</v>
      </c>
      <c r="R16" s="248">
        <v>639.4</v>
      </c>
      <c r="S16" s="252">
        <v>138.06086905825526</v>
      </c>
      <c r="T16" s="248">
        <f>T15+(T20-T8)/12</f>
        <v>73396.25</v>
      </c>
      <c r="U16" s="250">
        <f t="shared" si="1"/>
        <v>145989349.91406238</v>
      </c>
      <c r="V16" s="48">
        <f t="shared" si="2"/>
        <v>6864723.141739428</v>
      </c>
      <c r="W16" s="109">
        <f t="shared" si="3"/>
        <v>5.9895156669265558E-2</v>
      </c>
      <c r="X16" s="13">
        <f t="shared" si="4"/>
        <v>5.9895156669265558E-2</v>
      </c>
      <c r="Y16" s="13"/>
      <c r="Z16" s="13"/>
    </row>
    <row r="17" spans="1:33" x14ac:dyDescent="0.2">
      <c r="A17" s="247">
        <v>39903</v>
      </c>
      <c r="B17" s="253">
        <v>124919264</v>
      </c>
      <c r="C17" s="248">
        <f>'WMP pivot'!J47</f>
        <v>3437259.72</v>
      </c>
      <c r="D17" s="248">
        <f t="shared" si="0"/>
        <v>121482004.28</v>
      </c>
      <c r="E17" s="248">
        <v>24570961</v>
      </c>
      <c r="F17" s="248">
        <f>'CDM Activity '!H98</f>
        <v>982188.13062219741</v>
      </c>
      <c r="G17" s="290">
        <v>1.035895048178346</v>
      </c>
      <c r="H17" s="248">
        <f t="shared" si="5"/>
        <v>1017443.8208910808</v>
      </c>
      <c r="I17" s="248">
        <f t="shared" si="6"/>
        <v>147070409.10089108</v>
      </c>
      <c r="J17" s="254">
        <v>562.6</v>
      </c>
      <c r="K17" s="254">
        <v>0</v>
      </c>
      <c r="L17" s="250">
        <v>31</v>
      </c>
      <c r="M17" s="250">
        <v>1</v>
      </c>
      <c r="N17" s="248">
        <v>352</v>
      </c>
      <c r="O17" s="250">
        <v>0</v>
      </c>
      <c r="P17" s="251">
        <v>64.900000000000006</v>
      </c>
      <c r="Q17" s="288">
        <v>15</v>
      </c>
      <c r="R17" s="248">
        <v>627.6</v>
      </c>
      <c r="S17" s="252">
        <v>137.68719399045199</v>
      </c>
      <c r="T17" s="248">
        <f>T16+(T20-T8)/12</f>
        <v>73467.71875</v>
      </c>
      <c r="U17" s="250">
        <f t="shared" si="1"/>
        <v>146585822.63803193</v>
      </c>
      <c r="V17" s="48">
        <f t="shared" si="2"/>
        <v>-484586.46285915375</v>
      </c>
      <c r="W17" s="109">
        <f t="shared" si="3"/>
        <v>-3.9889567654995701E-3</v>
      </c>
      <c r="X17" s="13">
        <f t="shared" si="4"/>
        <v>3.9889567654995701E-3</v>
      </c>
      <c r="Y17" s="13"/>
      <c r="Z17" s="13"/>
      <c r="AA17" s="34"/>
      <c r="AB17" s="34" t="s">
        <v>39</v>
      </c>
      <c r="AC17" s="34" t="s">
        <v>28</v>
      </c>
      <c r="AD17" s="34" t="s">
        <v>40</v>
      </c>
      <c r="AE17" s="34" t="s">
        <v>41</v>
      </c>
      <c r="AF17" s="34" t="s">
        <v>42</v>
      </c>
      <c r="AG17" s="34" t="s">
        <v>43</v>
      </c>
    </row>
    <row r="18" spans="1:33" x14ac:dyDescent="0.2">
      <c r="A18" s="247">
        <v>39933</v>
      </c>
      <c r="B18" s="253">
        <v>113413654</v>
      </c>
      <c r="C18" s="248">
        <f>'WMP pivot'!J48</f>
        <v>3339172.76</v>
      </c>
      <c r="D18" s="248">
        <f t="shared" si="0"/>
        <v>110074481.23999999</v>
      </c>
      <c r="E18" s="248">
        <v>21637635</v>
      </c>
      <c r="F18" s="248">
        <f>'CDM Activity '!H99</f>
        <v>1036373.8405228478</v>
      </c>
      <c r="G18" s="290">
        <v>1.035895048178346</v>
      </c>
      <c r="H18" s="248">
        <f t="shared" si="5"/>
        <v>1073574.5294591929</v>
      </c>
      <c r="I18" s="248">
        <f t="shared" si="6"/>
        <v>132785690.76945919</v>
      </c>
      <c r="J18" s="254">
        <v>341.5</v>
      </c>
      <c r="K18" s="254">
        <v>3.2</v>
      </c>
      <c r="L18" s="250">
        <v>30</v>
      </c>
      <c r="M18" s="250">
        <v>1</v>
      </c>
      <c r="N18" s="248">
        <v>320</v>
      </c>
      <c r="O18" s="250">
        <v>0</v>
      </c>
      <c r="P18" s="251">
        <v>70.3</v>
      </c>
      <c r="Q18" s="288">
        <v>16</v>
      </c>
      <c r="R18" s="248">
        <v>623.9</v>
      </c>
      <c r="S18" s="252">
        <v>137.31453031028698</v>
      </c>
      <c r="T18" s="248">
        <f>T17+(T20-T8)/12</f>
        <v>73539.1875</v>
      </c>
      <c r="U18" s="250">
        <f t="shared" si="1"/>
        <v>135580185.0603168</v>
      </c>
      <c r="V18" s="48">
        <f t="shared" si="2"/>
        <v>2794494.2908576131</v>
      </c>
      <c r="W18" s="109">
        <f t="shared" si="3"/>
        <v>2.5387303754488385E-2</v>
      </c>
      <c r="X18" s="13">
        <f t="shared" si="4"/>
        <v>2.5387303754488385E-2</v>
      </c>
      <c r="Y18" s="13"/>
      <c r="Z18" s="13"/>
      <c r="AA18" s="32" t="s">
        <v>33</v>
      </c>
      <c r="AB18" s="107">
        <v>55300478.800262965</v>
      </c>
      <c r="AC18" s="107">
        <v>14200101.895128248</v>
      </c>
      <c r="AD18" s="106">
        <v>3.8943719706148996</v>
      </c>
      <c r="AE18" s="32">
        <v>1.6782984799715146E-4</v>
      </c>
      <c r="AF18" s="107">
        <v>27164797.136884276</v>
      </c>
      <c r="AG18" s="107">
        <v>83436160.463641658</v>
      </c>
    </row>
    <row r="19" spans="1:33" x14ac:dyDescent="0.2">
      <c r="A19" s="247">
        <v>39964</v>
      </c>
      <c r="B19" s="253">
        <v>110681364</v>
      </c>
      <c r="C19" s="248">
        <f>'WMP pivot'!J49</f>
        <v>3596571.1</v>
      </c>
      <c r="D19" s="248">
        <f t="shared" si="0"/>
        <v>107084792.90000001</v>
      </c>
      <c r="E19" s="248">
        <v>20988913</v>
      </c>
      <c r="F19" s="248">
        <f>'CDM Activity '!H100</f>
        <v>1090559.5504234983</v>
      </c>
      <c r="G19" s="290">
        <v>1.035895048178346</v>
      </c>
      <c r="H19" s="248">
        <f t="shared" si="5"/>
        <v>1129705.2380273051</v>
      </c>
      <c r="I19" s="248">
        <f t="shared" si="6"/>
        <v>129203411.13802731</v>
      </c>
      <c r="J19" s="254">
        <v>192.8</v>
      </c>
      <c r="K19" s="254">
        <v>2.2999999999999998</v>
      </c>
      <c r="L19" s="250">
        <v>31</v>
      </c>
      <c r="M19" s="250">
        <v>1</v>
      </c>
      <c r="N19" s="248">
        <v>320</v>
      </c>
      <c r="O19" s="250">
        <v>0</v>
      </c>
      <c r="P19" s="251">
        <v>71.099999999999994</v>
      </c>
      <c r="Q19" s="288">
        <v>17</v>
      </c>
      <c r="R19" s="248">
        <v>622.70000000000005</v>
      </c>
      <c r="S19" s="252">
        <v>136.94287528034204</v>
      </c>
      <c r="T19" s="248">
        <f>T18+(T20-T8)/12</f>
        <v>73610.65625</v>
      </c>
      <c r="U19" s="250">
        <f t="shared" si="1"/>
        <v>134198802.6458714</v>
      </c>
      <c r="V19" s="48">
        <f t="shared" si="2"/>
        <v>4995391.5078440905</v>
      </c>
      <c r="W19" s="109">
        <f t="shared" si="3"/>
        <v>4.6648934667212587E-2</v>
      </c>
      <c r="X19" s="13">
        <f t="shared" si="4"/>
        <v>4.6648934667212587E-2</v>
      </c>
      <c r="Y19" s="13"/>
      <c r="Z19" s="13"/>
      <c r="AA19" s="32" t="s">
        <v>4</v>
      </c>
      <c r="AB19" s="107">
        <v>21831.675328163317</v>
      </c>
      <c r="AC19" s="107">
        <v>2109.0187179665327</v>
      </c>
      <c r="AD19" s="106">
        <v>10.351579690678571</v>
      </c>
      <c r="AE19" s="32">
        <v>5.034358684988706E-18</v>
      </c>
      <c r="AF19" s="107">
        <v>17652.925083337876</v>
      </c>
      <c r="AG19" s="107">
        <v>26010.425572988759</v>
      </c>
    </row>
    <row r="20" spans="1:33" x14ac:dyDescent="0.2">
      <c r="A20" s="247">
        <v>39994</v>
      </c>
      <c r="B20" s="253">
        <v>118125725</v>
      </c>
      <c r="C20" s="248">
        <f>'WMP pivot'!J50</f>
        <v>3622214.02</v>
      </c>
      <c r="D20" s="248">
        <f t="shared" si="0"/>
        <v>114503510.98</v>
      </c>
      <c r="E20" s="248">
        <v>22361049</v>
      </c>
      <c r="F20" s="248">
        <f>'CDM Activity '!H101</f>
        <v>1144745.2603241487</v>
      </c>
      <c r="G20" s="290">
        <v>1.035895048178346</v>
      </c>
      <c r="H20" s="248">
        <f t="shared" si="5"/>
        <v>1185835.9465954173</v>
      </c>
      <c r="I20" s="248">
        <f t="shared" si="6"/>
        <v>138050395.92659545</v>
      </c>
      <c r="J20" s="254">
        <v>75.7</v>
      </c>
      <c r="K20" s="254">
        <v>26.2</v>
      </c>
      <c r="L20" s="250">
        <v>30</v>
      </c>
      <c r="M20" s="250">
        <v>0</v>
      </c>
      <c r="N20" s="248">
        <v>352</v>
      </c>
      <c r="O20" s="250">
        <v>0</v>
      </c>
      <c r="P20" s="251">
        <v>67.400000000000006</v>
      </c>
      <c r="Q20" s="288">
        <v>18</v>
      </c>
      <c r="R20" s="248">
        <v>632.1</v>
      </c>
      <c r="S20" s="252">
        <v>136.57222617060793</v>
      </c>
      <c r="T20" s="248">
        <f>'Rate Class Customer Model'!S12</f>
        <v>73682.125</v>
      </c>
      <c r="U20" s="250">
        <f t="shared" si="1"/>
        <v>143832922.71199211</v>
      </c>
      <c r="V20" s="48">
        <f t="shared" si="2"/>
        <v>5782526.7853966653</v>
      </c>
      <c r="W20" s="109">
        <f t="shared" si="3"/>
        <v>5.0500868802238585E-2</v>
      </c>
      <c r="X20" s="13">
        <f t="shared" si="4"/>
        <v>5.0500868802238585E-2</v>
      </c>
      <c r="Y20" s="13"/>
      <c r="Z20" s="13"/>
      <c r="AA20" s="32" t="s">
        <v>5</v>
      </c>
      <c r="AB20" s="107">
        <v>296741.34324386419</v>
      </c>
      <c r="AC20" s="107">
        <v>21608.629293769143</v>
      </c>
      <c r="AD20" s="106">
        <v>13.732538941256662</v>
      </c>
      <c r="AE20" s="32">
        <v>9.2382712989482202E-26</v>
      </c>
      <c r="AF20" s="107">
        <v>253926.61420307957</v>
      </c>
      <c r="AG20" s="107">
        <v>339556.07228464878</v>
      </c>
    </row>
    <row r="21" spans="1:33" x14ac:dyDescent="0.2">
      <c r="A21" s="247">
        <v>40025</v>
      </c>
      <c r="B21" s="253">
        <v>117925787</v>
      </c>
      <c r="C21" s="248">
        <f>'WMP pivot'!J51</f>
        <v>3752601.88</v>
      </c>
      <c r="D21" s="248">
        <f t="shared" si="0"/>
        <v>114173185.12</v>
      </c>
      <c r="E21" s="248">
        <v>23002366</v>
      </c>
      <c r="F21" s="248">
        <f>'CDM Activity '!H102</f>
        <v>1198930.9702247991</v>
      </c>
      <c r="G21" s="290">
        <v>1.035895048178346</v>
      </c>
      <c r="H21" s="248">
        <f t="shared" si="5"/>
        <v>1241966.6551635293</v>
      </c>
      <c r="I21" s="248">
        <f t="shared" si="6"/>
        <v>138417517.77516353</v>
      </c>
      <c r="J21" s="254">
        <v>37.6</v>
      </c>
      <c r="K21" s="254">
        <v>14.5</v>
      </c>
      <c r="L21" s="250">
        <v>31</v>
      </c>
      <c r="M21" s="250">
        <v>0</v>
      </c>
      <c r="N21" s="248">
        <v>352</v>
      </c>
      <c r="O21" s="250">
        <v>0</v>
      </c>
      <c r="P21" s="251">
        <v>67.599999999999994</v>
      </c>
      <c r="Q21" s="288">
        <v>19</v>
      </c>
      <c r="R21" s="248">
        <v>637.9</v>
      </c>
      <c r="S21" s="252">
        <v>136.20258025846454</v>
      </c>
      <c r="T21" s="248">
        <f>T20+(T32-T20)/12</f>
        <v>73790.80472083333</v>
      </c>
      <c r="U21" s="250">
        <f t="shared" si="1"/>
        <v>141875372.84296209</v>
      </c>
      <c r="V21" s="48">
        <f t="shared" si="2"/>
        <v>3457855.0677985549</v>
      </c>
      <c r="W21" s="109">
        <f t="shared" si="3"/>
        <v>3.0286052405074173E-2</v>
      </c>
      <c r="X21" s="13">
        <f t="shared" si="4"/>
        <v>3.0286052405074173E-2</v>
      </c>
      <c r="Y21" s="13"/>
      <c r="Z21" s="13"/>
      <c r="AA21" s="32" t="s">
        <v>6</v>
      </c>
      <c r="AB21" s="107">
        <v>2417462.5973109906</v>
      </c>
      <c r="AC21" s="107">
        <v>509516.48565333278</v>
      </c>
      <c r="AD21" s="106">
        <v>4.7446209600287501</v>
      </c>
      <c r="AE21" s="32">
        <v>6.2083752126472484E-6</v>
      </c>
      <c r="AF21" s="107">
        <v>1407920.9934226507</v>
      </c>
      <c r="AG21" s="107">
        <v>3427004.2011993304</v>
      </c>
    </row>
    <row r="22" spans="1:33" x14ac:dyDescent="0.2">
      <c r="A22" s="247">
        <v>40056</v>
      </c>
      <c r="B22" s="253">
        <v>129756657</v>
      </c>
      <c r="C22" s="248">
        <f>'WMP pivot'!J52</f>
        <v>3840622.17</v>
      </c>
      <c r="D22" s="248">
        <f t="shared" si="0"/>
        <v>125916034.83</v>
      </c>
      <c r="E22" s="248">
        <v>25799177</v>
      </c>
      <c r="F22" s="248">
        <f>'CDM Activity '!H103</f>
        <v>1253116.6801254496</v>
      </c>
      <c r="G22" s="290">
        <v>1.035895048178346</v>
      </c>
      <c r="H22" s="248">
        <f t="shared" si="5"/>
        <v>1298097.3637316416</v>
      </c>
      <c r="I22" s="248">
        <f t="shared" si="6"/>
        <v>153013309.19373164</v>
      </c>
      <c r="J22" s="254">
        <v>34.4</v>
      </c>
      <c r="K22" s="254">
        <v>57.3</v>
      </c>
      <c r="L22" s="250">
        <v>31</v>
      </c>
      <c r="M22" s="250">
        <v>0</v>
      </c>
      <c r="N22" s="248">
        <v>320</v>
      </c>
      <c r="O22" s="250">
        <v>0</v>
      </c>
      <c r="P22" s="251">
        <v>69.2</v>
      </c>
      <c r="Q22" s="288">
        <v>20</v>
      </c>
      <c r="R22" s="248">
        <v>643</v>
      </c>
      <c r="S22" s="252">
        <v>135.83393482866074</v>
      </c>
      <c r="T22" s="248">
        <f>T21+(T32-T20)/12</f>
        <v>73899.48444166666</v>
      </c>
      <c r="U22" s="250">
        <f t="shared" si="1"/>
        <v>151150963.59633213</v>
      </c>
      <c r="V22" s="48">
        <f t="shared" si="2"/>
        <v>-1862345.597399503</v>
      </c>
      <c r="W22" s="109">
        <f t="shared" si="3"/>
        <v>-1.4790376776983702E-2</v>
      </c>
      <c r="X22" s="13">
        <f t="shared" si="4"/>
        <v>1.4790376776983702E-2</v>
      </c>
      <c r="Y22" s="13"/>
      <c r="Z22" s="13"/>
      <c r="AA22" s="32" t="s">
        <v>22</v>
      </c>
      <c r="AB22" s="107">
        <v>-3411681.2003740626</v>
      </c>
      <c r="AC22" s="107">
        <v>898280.64492527861</v>
      </c>
      <c r="AD22" s="106">
        <v>-3.7980125917750964</v>
      </c>
      <c r="AE22" s="32">
        <v>2.3743143725891267E-4</v>
      </c>
      <c r="AF22" s="107">
        <v>-5191509.1520779179</v>
      </c>
      <c r="AG22" s="107">
        <v>-1631853.2486702073</v>
      </c>
    </row>
    <row r="23" spans="1:33" x14ac:dyDescent="0.2">
      <c r="A23" s="247">
        <v>40086</v>
      </c>
      <c r="B23" s="253">
        <v>117720372</v>
      </c>
      <c r="C23" s="248">
        <f>'WMP pivot'!J53</f>
        <v>3570926.62</v>
      </c>
      <c r="D23" s="248">
        <f t="shared" ref="D23:D54" si="7">B23-C23</f>
        <v>114149445.38</v>
      </c>
      <c r="E23" s="248">
        <v>23063555</v>
      </c>
      <c r="F23" s="248">
        <f>'CDM Activity '!H104</f>
        <v>1307302.3900261</v>
      </c>
      <c r="G23" s="290">
        <v>1.035895048178346</v>
      </c>
      <c r="H23" s="248">
        <f t="shared" si="5"/>
        <v>1354228.0722997538</v>
      </c>
      <c r="I23" s="248">
        <f t="shared" si="6"/>
        <v>138567228.45229974</v>
      </c>
      <c r="J23" s="254">
        <v>88.8</v>
      </c>
      <c r="K23" s="254">
        <v>5.5</v>
      </c>
      <c r="L23" s="250">
        <v>30</v>
      </c>
      <c r="M23" s="250">
        <v>1</v>
      </c>
      <c r="N23" s="248">
        <v>336</v>
      </c>
      <c r="O23" s="250">
        <v>0</v>
      </c>
      <c r="P23" s="251">
        <v>66.3</v>
      </c>
      <c r="Q23" s="288">
        <v>21</v>
      </c>
      <c r="R23" s="248">
        <v>643.29999999999995</v>
      </c>
      <c r="S23" s="252">
        <v>135.46628717329455</v>
      </c>
      <c r="T23" s="248">
        <f>T22+(T32-T20)/12</f>
        <v>74008.16416249999</v>
      </c>
      <c r="U23" s="250">
        <f t="shared" si="1"/>
        <v>133564995.20871556</v>
      </c>
      <c r="V23" s="48">
        <f t="shared" si="2"/>
        <v>-5002233.2435841858</v>
      </c>
      <c r="W23" s="109">
        <f t="shared" si="3"/>
        <v>-4.3821791923139924E-2</v>
      </c>
      <c r="X23" s="13">
        <f t="shared" si="4"/>
        <v>4.3821791923139924E-2</v>
      </c>
      <c r="Y23" s="13"/>
      <c r="Z23" s="13"/>
      <c r="AA23" s="32" t="s">
        <v>7</v>
      </c>
      <c r="AB23" s="107">
        <v>87008.18791684974</v>
      </c>
      <c r="AC23" s="107">
        <v>23635.279076993978</v>
      </c>
      <c r="AD23" s="106">
        <v>3.6812845591292995</v>
      </c>
      <c r="AE23" s="32">
        <v>3.5864540548513277E-4</v>
      </c>
      <c r="AF23" s="107">
        <v>40177.912116958265</v>
      </c>
      <c r="AG23" s="107">
        <v>133838.46371674121</v>
      </c>
    </row>
    <row r="24" spans="1:33" x14ac:dyDescent="0.2">
      <c r="A24" s="247">
        <v>40117</v>
      </c>
      <c r="B24" s="253">
        <v>119665804</v>
      </c>
      <c r="C24" s="248">
        <f>'WMP pivot'!J54</f>
        <v>3490030.3499999996</v>
      </c>
      <c r="D24" s="248">
        <f t="shared" si="7"/>
        <v>116175773.65000001</v>
      </c>
      <c r="E24" s="248">
        <v>23127451</v>
      </c>
      <c r="F24" s="248">
        <f>'CDM Activity '!H105</f>
        <v>1361488.0999267504</v>
      </c>
      <c r="G24" s="290">
        <v>1.035895048178346</v>
      </c>
      <c r="H24" s="248">
        <f t="shared" si="5"/>
        <v>1410358.7808678658</v>
      </c>
      <c r="I24" s="248">
        <f t="shared" si="6"/>
        <v>140713583.43086788</v>
      </c>
      <c r="J24" s="254">
        <v>329.1</v>
      </c>
      <c r="K24" s="254">
        <v>0</v>
      </c>
      <c r="L24" s="250">
        <v>31</v>
      </c>
      <c r="M24" s="250">
        <v>1</v>
      </c>
      <c r="N24" s="248">
        <v>336</v>
      </c>
      <c r="O24" s="250">
        <v>0</v>
      </c>
      <c r="P24" s="251">
        <v>61</v>
      </c>
      <c r="Q24" s="288">
        <v>22</v>
      </c>
      <c r="R24" s="248">
        <v>644.9</v>
      </c>
      <c r="S24" s="252">
        <v>135.09963459179312</v>
      </c>
      <c r="T24" s="248">
        <f>T23+(T32-T20)/12</f>
        <v>74116.84388333332</v>
      </c>
      <c r="U24" s="250">
        <f t="shared" si="1"/>
        <v>141487357.88973895</v>
      </c>
      <c r="V24" s="48">
        <f t="shared" si="2"/>
        <v>773774.45887106657</v>
      </c>
      <c r="W24" s="109">
        <f t="shared" si="3"/>
        <v>6.6603770696823461E-3</v>
      </c>
      <c r="X24" s="13">
        <f t="shared" si="4"/>
        <v>6.6603770696823461E-3</v>
      </c>
      <c r="Y24" s="13"/>
      <c r="Z24" s="13"/>
      <c r="AA24" s="32" t="s">
        <v>190</v>
      </c>
      <c r="AB24" s="107">
        <v>-4774709.1127089718</v>
      </c>
      <c r="AC24" s="225">
        <v>974633.87251778087</v>
      </c>
      <c r="AD24" s="106">
        <v>-4.8989771927117829</v>
      </c>
      <c r="AE24" s="32">
        <v>3.2718189452116089E-6</v>
      </c>
      <c r="AF24" s="225">
        <v>-6705821.1975394469</v>
      </c>
      <c r="AG24" s="225">
        <v>-2843597.0278784968</v>
      </c>
    </row>
    <row r="25" spans="1:33" ht="13.5" thickBot="1" x14ac:dyDescent="0.25">
      <c r="A25" s="247">
        <v>40147</v>
      </c>
      <c r="B25" s="253">
        <v>119039063</v>
      </c>
      <c r="C25" s="248">
        <f>'WMP pivot'!J55</f>
        <v>3367917.95</v>
      </c>
      <c r="D25" s="248">
        <f t="shared" si="7"/>
        <v>115671145.05</v>
      </c>
      <c r="E25" s="248">
        <v>23082942</v>
      </c>
      <c r="F25" s="248">
        <f>'CDM Activity '!H106</f>
        <v>1415673.8098274008</v>
      </c>
      <c r="G25" s="290">
        <v>1.035895048178346</v>
      </c>
      <c r="H25" s="248">
        <f t="shared" si="5"/>
        <v>1466489.489435978</v>
      </c>
      <c r="I25" s="248">
        <f t="shared" si="6"/>
        <v>140220576.53943598</v>
      </c>
      <c r="J25" s="254">
        <v>396.5</v>
      </c>
      <c r="K25" s="254">
        <v>0</v>
      </c>
      <c r="L25" s="250">
        <v>30</v>
      </c>
      <c r="M25" s="250">
        <v>1</v>
      </c>
      <c r="N25" s="248">
        <v>320</v>
      </c>
      <c r="O25" s="250">
        <v>0</v>
      </c>
      <c r="P25" s="251">
        <v>55.2</v>
      </c>
      <c r="Q25" s="288">
        <v>23</v>
      </c>
      <c r="R25" s="248">
        <v>642.20000000000005</v>
      </c>
      <c r="S25" s="252">
        <v>134.733974390893</v>
      </c>
      <c r="T25" s="248">
        <f>T24+(T32-T20)/12</f>
        <v>74225.52360416665</v>
      </c>
      <c r="U25" s="250">
        <f t="shared" si="1"/>
        <v>141218424.89403453</v>
      </c>
      <c r="V25" s="48">
        <f t="shared" si="2"/>
        <v>997848.35459855199</v>
      </c>
      <c r="W25" s="109">
        <f t="shared" si="3"/>
        <v>8.6265970149013577E-3</v>
      </c>
      <c r="X25" s="13">
        <f t="shared" si="4"/>
        <v>8.6265970149013577E-3</v>
      </c>
      <c r="Y25" s="13"/>
      <c r="Z25" s="13"/>
      <c r="AA25" s="33" t="s">
        <v>109</v>
      </c>
      <c r="AB25" s="155">
        <v>-356759.60192378191</v>
      </c>
      <c r="AC25" s="155">
        <v>43190.485682968378</v>
      </c>
      <c r="AD25" s="108">
        <v>-8.2601433228259697</v>
      </c>
      <c r="AE25" s="33">
        <v>3.2444252648878704E-13</v>
      </c>
      <c r="AF25" s="155">
        <v>-442336.01292683394</v>
      </c>
      <c r="AG25" s="155">
        <v>-271183.19092072989</v>
      </c>
    </row>
    <row r="26" spans="1:33" x14ac:dyDescent="0.2">
      <c r="A26" s="247">
        <v>40178</v>
      </c>
      <c r="B26" s="253">
        <v>128577043</v>
      </c>
      <c r="C26" s="248">
        <f>'WMP pivot'!J56</f>
        <v>3361528.42</v>
      </c>
      <c r="D26" s="248">
        <f t="shared" si="7"/>
        <v>125215514.58</v>
      </c>
      <c r="E26" s="248">
        <v>25929754</v>
      </c>
      <c r="F26" s="248">
        <f>'CDM Activity '!H107</f>
        <v>1469859.5197280513</v>
      </c>
      <c r="G26" s="290">
        <v>1.035895048178346</v>
      </c>
      <c r="H26" s="248">
        <f t="shared" si="5"/>
        <v>1522620.1980040902</v>
      </c>
      <c r="I26" s="248">
        <f t="shared" si="6"/>
        <v>152667888.77800408</v>
      </c>
      <c r="J26" s="254">
        <v>669.5</v>
      </c>
      <c r="K26" s="254">
        <v>0</v>
      </c>
      <c r="L26" s="250">
        <v>31</v>
      </c>
      <c r="M26" s="250">
        <v>0</v>
      </c>
      <c r="N26" s="248">
        <v>352</v>
      </c>
      <c r="O26" s="250">
        <v>0</v>
      </c>
      <c r="P26" s="251">
        <v>56</v>
      </c>
      <c r="Q26" s="288">
        <v>24</v>
      </c>
      <c r="R26" s="248">
        <v>639.1</v>
      </c>
      <c r="S26" s="252">
        <v>134.36930388462019</v>
      </c>
      <c r="T26" s="248">
        <f>T25+(T32-T20)/12</f>
        <v>74334.20332499998</v>
      </c>
      <c r="U26" s="250">
        <f t="shared" si="1"/>
        <v>155506470.38810834</v>
      </c>
      <c r="V26" s="48">
        <f t="shared" si="2"/>
        <v>2838581.6101042628</v>
      </c>
      <c r="W26" s="109">
        <f t="shared" si="3"/>
        <v>2.2669567901593357E-2</v>
      </c>
      <c r="X26" s="13">
        <f t="shared" si="4"/>
        <v>2.2669567901593357E-2</v>
      </c>
      <c r="Y26" s="13"/>
      <c r="Z26" s="13"/>
    </row>
    <row r="27" spans="1:33" x14ac:dyDescent="0.2">
      <c r="A27" s="247">
        <v>40209</v>
      </c>
      <c r="B27" s="253">
        <v>134104887</v>
      </c>
      <c r="C27" s="248">
        <f>'WMP pivot'!J58</f>
        <v>3347485.61</v>
      </c>
      <c r="D27" s="248">
        <f t="shared" si="7"/>
        <v>130757401.39</v>
      </c>
      <c r="E27" s="248">
        <v>26725070.669912308</v>
      </c>
      <c r="F27" s="248">
        <f>'CDM Activity '!H108</f>
        <v>1495424.7349871038</v>
      </c>
      <c r="G27" s="290">
        <v>1.035895048178346</v>
      </c>
      <c r="H27" s="248">
        <f t="shared" si="5"/>
        <v>1549103.0778965561</v>
      </c>
      <c r="I27" s="248">
        <f t="shared" si="6"/>
        <v>159031575.13780889</v>
      </c>
      <c r="J27" s="254">
        <v>727.1</v>
      </c>
      <c r="K27" s="254">
        <v>0</v>
      </c>
      <c r="L27" s="250">
        <v>31</v>
      </c>
      <c r="M27" s="250">
        <v>0</v>
      </c>
      <c r="N27" s="248">
        <v>320</v>
      </c>
      <c r="O27" s="250">
        <v>0</v>
      </c>
      <c r="P27" s="251">
        <v>59.6</v>
      </c>
      <c r="Q27" s="288">
        <v>25</v>
      </c>
      <c r="R27" s="248">
        <v>633.6</v>
      </c>
      <c r="S27" s="252">
        <v>134.73334561620703</v>
      </c>
      <c r="T27" s="248">
        <f>T26+($T$32-$T$20)/12</f>
        <v>74442.88304583331</v>
      </c>
      <c r="U27" s="250">
        <f t="shared" si="1"/>
        <v>152695378.30674574</v>
      </c>
      <c r="V27" s="48">
        <f t="shared" si="2"/>
        <v>-6336196.8310631514</v>
      </c>
      <c r="W27" s="109">
        <f t="shared" si="3"/>
        <v>-4.8457653361928373E-2</v>
      </c>
      <c r="X27" s="13">
        <f t="shared" si="4"/>
        <v>4.8457653361928373E-2</v>
      </c>
    </row>
    <row r="28" spans="1:33" x14ac:dyDescent="0.2">
      <c r="A28" s="247">
        <v>40237</v>
      </c>
      <c r="B28" s="253">
        <v>119717521</v>
      </c>
      <c r="C28" s="248">
        <f>'WMP pivot'!J59</f>
        <v>2989142.54</v>
      </c>
      <c r="D28" s="248">
        <f t="shared" si="7"/>
        <v>116728378.45999999</v>
      </c>
      <c r="E28" s="248">
        <v>23541639.521420304</v>
      </c>
      <c r="F28" s="248">
        <f>'CDM Activity '!H109</f>
        <v>1520989.9502461564</v>
      </c>
      <c r="G28" s="290">
        <v>1.035895048178346</v>
      </c>
      <c r="H28" s="248">
        <f t="shared" si="5"/>
        <v>1575585.9577890222</v>
      </c>
      <c r="I28" s="248">
        <f t="shared" si="6"/>
        <v>141845603.93920934</v>
      </c>
      <c r="J28" s="254">
        <v>644.70000000000005</v>
      </c>
      <c r="K28" s="254">
        <v>0</v>
      </c>
      <c r="L28" s="250">
        <v>28</v>
      </c>
      <c r="M28" s="250">
        <v>0</v>
      </c>
      <c r="N28" s="248">
        <v>304</v>
      </c>
      <c r="O28" s="250">
        <v>0</v>
      </c>
      <c r="P28" s="251">
        <v>64.7</v>
      </c>
      <c r="Q28" s="288">
        <v>26</v>
      </c>
      <c r="R28" s="248">
        <v>630.5</v>
      </c>
      <c r="S28" s="252">
        <v>135.09837363244745</v>
      </c>
      <c r="T28" s="248">
        <f>T27+($T$32-$T$20)/12</f>
        <v>74551.562766666641</v>
      </c>
      <c r="U28" s="250">
        <f t="shared" si="1"/>
        <v>140432455.49129122</v>
      </c>
      <c r="V28" s="48">
        <f t="shared" si="2"/>
        <v>-1413148.447918117</v>
      </c>
      <c r="W28" s="109">
        <f t="shared" si="3"/>
        <v>-1.2106297256603877E-2</v>
      </c>
      <c r="X28" s="13">
        <f t="shared" si="4"/>
        <v>1.2106297256603877E-2</v>
      </c>
    </row>
    <row r="29" spans="1:33" x14ac:dyDescent="0.2">
      <c r="A29" s="247">
        <v>40268</v>
      </c>
      <c r="B29" s="253">
        <v>125455107</v>
      </c>
      <c r="C29" s="248">
        <f>'WMP pivot'!J60</f>
        <v>3370604.0700000003</v>
      </c>
      <c r="D29" s="248">
        <f t="shared" si="7"/>
        <v>122084502.93000001</v>
      </c>
      <c r="E29" s="248">
        <v>23601051.190171484</v>
      </c>
      <c r="F29" s="248">
        <f>'CDM Activity '!H110</f>
        <v>1546555.165505209</v>
      </c>
      <c r="G29" s="290">
        <v>1.035895048178346</v>
      </c>
      <c r="H29" s="248">
        <f t="shared" si="5"/>
        <v>1602068.8376814884</v>
      </c>
      <c r="I29" s="248">
        <f t="shared" si="6"/>
        <v>147287622.95785299</v>
      </c>
      <c r="J29" s="254">
        <v>470.9</v>
      </c>
      <c r="K29" s="254">
        <v>0</v>
      </c>
      <c r="L29" s="250">
        <v>31</v>
      </c>
      <c r="M29" s="250">
        <v>1</v>
      </c>
      <c r="N29" s="248">
        <v>368</v>
      </c>
      <c r="O29" s="250">
        <v>0</v>
      </c>
      <c r="P29" s="251">
        <v>68.2</v>
      </c>
      <c r="Q29" s="288">
        <v>27</v>
      </c>
      <c r="R29" s="248">
        <v>627.5</v>
      </c>
      <c r="S29" s="252">
        <v>135.46439060544563</v>
      </c>
      <c r="T29" s="248">
        <f>T28+($T$32-$T$20)/12</f>
        <v>74660.242487499971</v>
      </c>
      <c r="U29" s="250">
        <f t="shared" si="1"/>
        <v>144798682.33076051</v>
      </c>
      <c r="V29" s="48">
        <f t="shared" si="2"/>
        <v>-2488940.6270924807</v>
      </c>
      <c r="W29" s="109">
        <f t="shared" si="3"/>
        <v>-2.0387031665432365E-2</v>
      </c>
      <c r="X29" s="13">
        <f t="shared" si="4"/>
        <v>2.0387031665432365E-2</v>
      </c>
    </row>
    <row r="30" spans="1:33" x14ac:dyDescent="0.2">
      <c r="A30" s="247">
        <v>40298</v>
      </c>
      <c r="B30" s="253">
        <v>112822227</v>
      </c>
      <c r="C30" s="248">
        <f>'WMP pivot'!J61</f>
        <v>3395070.4299999997</v>
      </c>
      <c r="D30" s="248">
        <f t="shared" si="7"/>
        <v>109427156.56999999</v>
      </c>
      <c r="E30" s="248">
        <v>20493532.865168542</v>
      </c>
      <c r="F30" s="248">
        <f>'CDM Activity '!H111</f>
        <v>1572120.3807642616</v>
      </c>
      <c r="G30" s="290">
        <v>1.035895048178346</v>
      </c>
      <c r="H30" s="248">
        <f t="shared" si="5"/>
        <v>1628551.7175739545</v>
      </c>
      <c r="I30" s="248">
        <f t="shared" si="6"/>
        <v>131549241.15274249</v>
      </c>
      <c r="J30" s="254">
        <v>255.7</v>
      </c>
      <c r="K30" s="254">
        <v>0</v>
      </c>
      <c r="L30" s="250">
        <v>30</v>
      </c>
      <c r="M30" s="250">
        <v>1</v>
      </c>
      <c r="N30" s="248">
        <v>320</v>
      </c>
      <c r="O30" s="250">
        <v>0</v>
      </c>
      <c r="P30" s="251">
        <v>66.8</v>
      </c>
      <c r="Q30" s="288">
        <v>28</v>
      </c>
      <c r="R30" s="248">
        <v>631.6</v>
      </c>
      <c r="S30" s="252">
        <v>135.83139921454512</v>
      </c>
      <c r="T30" s="248">
        <f>T29+($T$32-$T$20)/12</f>
        <v>74768.922208333301</v>
      </c>
      <c r="U30" s="250">
        <f t="shared" si="1"/>
        <v>134006113.62551326</v>
      </c>
      <c r="V30" s="48">
        <f t="shared" si="2"/>
        <v>2456872.4727707654</v>
      </c>
      <c r="W30" s="109">
        <f t="shared" si="3"/>
        <v>2.2452127513695529E-2</v>
      </c>
      <c r="X30" s="13">
        <f t="shared" si="4"/>
        <v>2.2452127513695529E-2</v>
      </c>
    </row>
    <row r="31" spans="1:33" x14ac:dyDescent="0.2">
      <c r="A31" s="247">
        <v>40329</v>
      </c>
      <c r="B31" s="253">
        <v>122392253</v>
      </c>
      <c r="C31" s="248">
        <f>'WMP pivot'!J62</f>
        <v>3628575.07</v>
      </c>
      <c r="D31" s="248">
        <f t="shared" si="7"/>
        <v>118763677.93000001</v>
      </c>
      <c r="E31" s="248">
        <v>22580250.205423173</v>
      </c>
      <c r="F31" s="248">
        <f>'CDM Activity '!H112</f>
        <v>1597685.5960233142</v>
      </c>
      <c r="G31" s="290">
        <v>1.035895048178346</v>
      </c>
      <c r="H31" s="248">
        <f t="shared" si="5"/>
        <v>1655034.5974664204</v>
      </c>
      <c r="I31" s="248">
        <f t="shared" si="6"/>
        <v>142998962.73288959</v>
      </c>
      <c r="J31" s="254">
        <v>144.69999999999999</v>
      </c>
      <c r="K31" s="254">
        <v>21</v>
      </c>
      <c r="L31" s="250">
        <v>31</v>
      </c>
      <c r="M31" s="250">
        <v>1</v>
      </c>
      <c r="N31" s="248">
        <v>320</v>
      </c>
      <c r="O31" s="250">
        <v>0</v>
      </c>
      <c r="P31" s="251">
        <v>64.3</v>
      </c>
      <c r="Q31" s="288">
        <v>29</v>
      </c>
      <c r="R31" s="248">
        <v>641.5</v>
      </c>
      <c r="S31" s="252">
        <v>136.19940214634852</v>
      </c>
      <c r="T31" s="248">
        <f>T30+($T$32-$T$20)/12</f>
        <v>74877.601929166631</v>
      </c>
      <c r="U31" s="250">
        <f t="shared" si="1"/>
        <v>141123727.47432876</v>
      </c>
      <c r="V31" s="48">
        <f t="shared" si="2"/>
        <v>-1875235.2585608363</v>
      </c>
      <c r="W31" s="109">
        <f t="shared" si="3"/>
        <v>-1.5789636118090842E-2</v>
      </c>
      <c r="X31" s="13">
        <f t="shared" si="4"/>
        <v>1.5789636118090842E-2</v>
      </c>
    </row>
    <row r="32" spans="1:33" x14ac:dyDescent="0.2">
      <c r="A32" s="247">
        <v>40359</v>
      </c>
      <c r="B32" s="253">
        <v>127582818</v>
      </c>
      <c r="C32" s="248">
        <f>'WMP pivot'!J63</f>
        <v>3761081.22</v>
      </c>
      <c r="D32" s="248">
        <f t="shared" si="7"/>
        <v>123821736.78</v>
      </c>
      <c r="E32" s="248">
        <v>23502731.549067315</v>
      </c>
      <c r="F32" s="248">
        <f>'CDM Activity '!H113</f>
        <v>1623250.8112823667</v>
      </c>
      <c r="G32" s="290">
        <v>1.035895048178346</v>
      </c>
      <c r="H32" s="248">
        <f t="shared" si="5"/>
        <v>1681517.4773588865</v>
      </c>
      <c r="I32" s="248">
        <f t="shared" si="6"/>
        <v>149005985.8064262</v>
      </c>
      <c r="J32" s="254">
        <v>37.700000000000003</v>
      </c>
      <c r="K32" s="254">
        <v>26.8</v>
      </c>
      <c r="L32" s="250">
        <v>30</v>
      </c>
      <c r="M32" s="250">
        <v>0</v>
      </c>
      <c r="N32" s="248">
        <v>352</v>
      </c>
      <c r="O32" s="250">
        <v>0</v>
      </c>
      <c r="P32" s="251">
        <v>58.3</v>
      </c>
      <c r="Q32" s="288">
        <v>30</v>
      </c>
      <c r="R32" s="248">
        <v>657.2</v>
      </c>
      <c r="S32" s="252">
        <v>136.56840209473719</v>
      </c>
      <c r="T32" s="248">
        <f>'Rate Class Customer Model'!S13</f>
        <v>74986.28164999999</v>
      </c>
      <c r="U32" s="250">
        <f t="shared" si="1"/>
        <v>146427876.23297462</v>
      </c>
      <c r="V32" s="48">
        <f t="shared" si="2"/>
        <v>-2578109.5734515786</v>
      </c>
      <c r="W32" s="109">
        <f t="shared" si="3"/>
        <v>-2.0821138844403623E-2</v>
      </c>
      <c r="X32" s="13">
        <f t="shared" si="4"/>
        <v>2.0821138844403623E-2</v>
      </c>
    </row>
    <row r="33" spans="1:26" x14ac:dyDescent="0.2">
      <c r="A33" s="247">
        <v>40390</v>
      </c>
      <c r="B33" s="253">
        <v>140727870</v>
      </c>
      <c r="C33" s="248">
        <f>'WMP pivot'!J64</f>
        <v>4126395.21</v>
      </c>
      <c r="D33" s="248">
        <f t="shared" si="7"/>
        <v>136601474.78999999</v>
      </c>
      <c r="E33" s="248">
        <v>27078109.333333336</v>
      </c>
      <c r="F33" s="248">
        <f>'CDM Activity '!H114</f>
        <v>1648816.0265414193</v>
      </c>
      <c r="G33" s="290">
        <v>1.035895048178346</v>
      </c>
      <c r="H33" s="248">
        <f t="shared" si="5"/>
        <v>1708000.3572513526</v>
      </c>
      <c r="I33" s="248">
        <f t="shared" si="6"/>
        <v>165387584.48058468</v>
      </c>
      <c r="J33" s="254">
        <v>6.7</v>
      </c>
      <c r="K33" s="254">
        <v>100.6</v>
      </c>
      <c r="L33" s="250">
        <v>31</v>
      </c>
      <c r="M33" s="250">
        <v>0</v>
      </c>
      <c r="N33" s="248">
        <v>336</v>
      </c>
      <c r="O33" s="250">
        <v>0</v>
      </c>
      <c r="P33" s="251">
        <v>57.5</v>
      </c>
      <c r="Q33" s="288">
        <v>31</v>
      </c>
      <c r="R33" s="248">
        <v>669.8</v>
      </c>
      <c r="S33" s="252">
        <v>136.93840176089088</v>
      </c>
      <c r="T33" s="248">
        <f t="shared" ref="T33:T43" si="8">T32+($T$44-$T$32)/12</f>
        <v>75077.202001343016</v>
      </c>
      <c r="U33" s="250">
        <f t="shared" si="1"/>
        <v>168961344.70137912</v>
      </c>
      <c r="V33" s="48">
        <f t="shared" si="2"/>
        <v>3573760.2207944393</v>
      </c>
      <c r="W33" s="109">
        <f t="shared" si="3"/>
        <v>2.6161944637043251E-2</v>
      </c>
      <c r="X33" s="13">
        <f t="shared" si="4"/>
        <v>2.6161944637043251E-2</v>
      </c>
      <c r="Y33"/>
      <c r="Z33"/>
    </row>
    <row r="34" spans="1:26" x14ac:dyDescent="0.2">
      <c r="A34" s="247">
        <v>40421</v>
      </c>
      <c r="B34" s="253">
        <v>139365541</v>
      </c>
      <c r="C34" s="248">
        <f>'WMP pivot'!J65</f>
        <v>4052555.84</v>
      </c>
      <c r="D34" s="248">
        <f t="shared" si="7"/>
        <v>135312985.16</v>
      </c>
      <c r="E34" s="248">
        <v>27739352.653061222</v>
      </c>
      <c r="F34" s="248">
        <f>'CDM Activity '!H115</f>
        <v>1674381.2418004719</v>
      </c>
      <c r="G34" s="290">
        <v>1.035895048178346</v>
      </c>
      <c r="H34" s="248">
        <f t="shared" si="5"/>
        <v>1734483.2371438185</v>
      </c>
      <c r="I34" s="248">
        <f t="shared" si="6"/>
        <v>164786821.05020502</v>
      </c>
      <c r="J34" s="254">
        <v>9.6999999999999993</v>
      </c>
      <c r="K34" s="254">
        <v>79.2</v>
      </c>
      <c r="L34" s="250">
        <v>31</v>
      </c>
      <c r="M34" s="250">
        <v>0</v>
      </c>
      <c r="N34" s="248">
        <v>336</v>
      </c>
      <c r="O34" s="250">
        <v>0</v>
      </c>
      <c r="P34" s="251">
        <v>56.4</v>
      </c>
      <c r="Q34" s="288">
        <v>32</v>
      </c>
      <c r="R34" s="248">
        <v>672</v>
      </c>
      <c r="S34" s="252">
        <v>137.30940385330757</v>
      </c>
      <c r="T34" s="248">
        <f t="shared" si="8"/>
        <v>75168.122352686041</v>
      </c>
      <c r="U34" s="250">
        <f t="shared" si="1"/>
        <v>163069010.54406106</v>
      </c>
      <c r="V34" s="48">
        <f t="shared" si="2"/>
        <v>-1717810.5061439574</v>
      </c>
      <c r="W34" s="109">
        <f t="shared" si="3"/>
        <v>-1.2695089862312497E-2</v>
      </c>
      <c r="X34" s="13">
        <f t="shared" si="4"/>
        <v>1.2695089862312497E-2</v>
      </c>
      <c r="Y34"/>
      <c r="Z34"/>
    </row>
    <row r="35" spans="1:26" x14ac:dyDescent="0.2">
      <c r="A35" s="247">
        <v>40451</v>
      </c>
      <c r="B35" s="253">
        <v>119162847</v>
      </c>
      <c r="C35" s="248">
        <f>'WMP pivot'!J66</f>
        <v>3695864.4400000004</v>
      </c>
      <c r="D35" s="248">
        <f t="shared" si="7"/>
        <v>115466982.56</v>
      </c>
      <c r="E35" s="248">
        <v>24072312.807881773</v>
      </c>
      <c r="F35" s="248">
        <f>'CDM Activity '!H116</f>
        <v>1699946.4570595245</v>
      </c>
      <c r="G35" s="290">
        <v>1.035895048178346</v>
      </c>
      <c r="H35" s="248">
        <f t="shared" si="5"/>
        <v>1760966.1170362846</v>
      </c>
      <c r="I35" s="248">
        <f t="shared" si="6"/>
        <v>141300261.48491806</v>
      </c>
      <c r="J35" s="254">
        <v>122.7</v>
      </c>
      <c r="K35" s="254">
        <v>16.7</v>
      </c>
      <c r="L35" s="250">
        <v>30</v>
      </c>
      <c r="M35" s="250">
        <v>1</v>
      </c>
      <c r="N35" s="248">
        <v>336</v>
      </c>
      <c r="O35" s="250">
        <v>0</v>
      </c>
      <c r="P35" s="251">
        <v>58.1</v>
      </c>
      <c r="Q35" s="288">
        <v>33</v>
      </c>
      <c r="R35" s="248">
        <v>665.1</v>
      </c>
      <c r="S35" s="252">
        <v>137.68141108782325</v>
      </c>
      <c r="T35" s="248">
        <f t="shared" si="8"/>
        <v>75259.042704029067</v>
      </c>
      <c r="U35" s="250">
        <f t="shared" ref="U35:U66" si="9">$AB$18+$AB$19*J35+$AB$20*K35+$AB$21*L35+$AB$22*M35+$AB$23*N35+$AB$24*O35+$AB$25*P35</f>
        <v>140554020.78244659</v>
      </c>
      <c r="V35" s="48">
        <f t="shared" ref="V35:V66" si="10">U35-I35</f>
        <v>-746240.70247146487</v>
      </c>
      <c r="W35" s="109">
        <f t="shared" ref="W35:W66" si="11">V35/D35</f>
        <v>-6.4628059547992131E-3</v>
      </c>
      <c r="X35" s="13">
        <f t="shared" si="4"/>
        <v>6.4628059547992131E-3</v>
      </c>
      <c r="Y35"/>
      <c r="Z35"/>
    </row>
    <row r="36" spans="1:26" x14ac:dyDescent="0.2">
      <c r="A36" s="247">
        <v>40482</v>
      </c>
      <c r="B36" s="253">
        <v>117558713</v>
      </c>
      <c r="C36" s="248">
        <f>'WMP pivot'!J67</f>
        <v>3584867.3899999997</v>
      </c>
      <c r="D36" s="248">
        <f t="shared" si="7"/>
        <v>113973845.61</v>
      </c>
      <c r="E36" s="248">
        <v>22594688.646504708</v>
      </c>
      <c r="F36" s="248">
        <f>'CDM Activity '!H117</f>
        <v>1725511.6723185771</v>
      </c>
      <c r="G36" s="290">
        <v>1.035895048178346</v>
      </c>
      <c r="H36" s="248">
        <f t="shared" si="5"/>
        <v>1787448.9969287508</v>
      </c>
      <c r="I36" s="248">
        <f t="shared" si="6"/>
        <v>138355983.25343347</v>
      </c>
      <c r="J36" s="254">
        <v>279.60000000000002</v>
      </c>
      <c r="K36" s="254">
        <v>0</v>
      </c>
      <c r="L36" s="250">
        <v>31</v>
      </c>
      <c r="M36" s="250">
        <v>1</v>
      </c>
      <c r="N36" s="248">
        <v>320</v>
      </c>
      <c r="O36" s="250">
        <v>0</v>
      </c>
      <c r="P36" s="251">
        <v>56.2</v>
      </c>
      <c r="Q36" s="288">
        <v>34</v>
      </c>
      <c r="R36" s="248">
        <v>657.2</v>
      </c>
      <c r="S36" s="252">
        <v>138.0544261876318</v>
      </c>
      <c r="T36" s="248">
        <f t="shared" si="8"/>
        <v>75349.963055372093</v>
      </c>
      <c r="U36" s="250">
        <f t="shared" si="9"/>
        <v>140727005.04355943</v>
      </c>
      <c r="V36" s="48">
        <f t="shared" si="10"/>
        <v>2371021.7901259661</v>
      </c>
      <c r="W36" s="109">
        <f t="shared" si="11"/>
        <v>2.0803209520886202E-2</v>
      </c>
      <c r="X36" s="13">
        <f t="shared" si="4"/>
        <v>2.0803209520886202E-2</v>
      </c>
      <c r="Y36"/>
      <c r="Z36"/>
    </row>
    <row r="37" spans="1:26" x14ac:dyDescent="0.2">
      <c r="A37" s="247">
        <v>40512</v>
      </c>
      <c r="B37" s="253">
        <v>122844772</v>
      </c>
      <c r="C37" s="248">
        <f>'WMP pivot'!J68</f>
        <v>3350403.71</v>
      </c>
      <c r="D37" s="248">
        <f t="shared" si="7"/>
        <v>119494368.29000001</v>
      </c>
      <c r="E37" s="248">
        <v>23581777.973052137</v>
      </c>
      <c r="F37" s="248">
        <f>'CDM Activity '!H118</f>
        <v>1751076.8875776296</v>
      </c>
      <c r="G37" s="290">
        <v>1.035895048178346</v>
      </c>
      <c r="H37" s="248">
        <f t="shared" si="5"/>
        <v>1813931.8768212169</v>
      </c>
      <c r="I37" s="248">
        <f t="shared" si="6"/>
        <v>144890078.13987336</v>
      </c>
      <c r="J37" s="254">
        <v>337.9</v>
      </c>
      <c r="K37" s="254">
        <v>0</v>
      </c>
      <c r="L37" s="250">
        <v>30</v>
      </c>
      <c r="M37" s="250">
        <v>1</v>
      </c>
      <c r="N37" s="248">
        <v>336</v>
      </c>
      <c r="O37" s="250">
        <v>0</v>
      </c>
      <c r="P37" s="251">
        <v>52.4</v>
      </c>
      <c r="Q37" s="288">
        <v>35</v>
      </c>
      <c r="R37" s="248">
        <v>655.20000000000005</v>
      </c>
      <c r="S37" s="252">
        <v>138.42845188330503</v>
      </c>
      <c r="T37" s="248">
        <f t="shared" si="8"/>
        <v>75440.883406715118</v>
      </c>
      <c r="U37" s="250">
        <f t="shared" si="9"/>
        <v>142330146.61186036</v>
      </c>
      <c r="V37" s="48">
        <f t="shared" si="10"/>
        <v>-2559931.528012991</v>
      </c>
      <c r="W37" s="109">
        <f t="shared" si="11"/>
        <v>-2.1423030764096865E-2</v>
      </c>
      <c r="X37" s="13">
        <f t="shared" si="4"/>
        <v>2.1423030764096865E-2</v>
      </c>
      <c r="Y37"/>
      <c r="Z37"/>
    </row>
    <row r="38" spans="1:26" x14ac:dyDescent="0.2">
      <c r="A38" s="247">
        <v>40543</v>
      </c>
      <c r="B38" s="253">
        <v>131431074</v>
      </c>
      <c r="C38" s="248">
        <f>'WMP pivot'!J69</f>
        <v>3374793.03</v>
      </c>
      <c r="D38" s="248">
        <f t="shared" si="7"/>
        <v>128056280.97</v>
      </c>
      <c r="E38" s="248">
        <v>25922542.585003726</v>
      </c>
      <c r="F38" s="248">
        <f>'CDM Activity '!H119</f>
        <v>1776642.1028366822</v>
      </c>
      <c r="G38" s="290">
        <v>1.035895048178346</v>
      </c>
      <c r="H38" s="248">
        <f t="shared" si="5"/>
        <v>1840414.7567136828</v>
      </c>
      <c r="I38" s="248">
        <f t="shared" si="6"/>
        <v>155819238.31171742</v>
      </c>
      <c r="J38" s="254">
        <v>719.4</v>
      </c>
      <c r="K38" s="254">
        <v>0</v>
      </c>
      <c r="L38" s="250">
        <v>31</v>
      </c>
      <c r="M38" s="250">
        <v>0</v>
      </c>
      <c r="N38" s="248">
        <v>368</v>
      </c>
      <c r="O38" s="250">
        <v>0</v>
      </c>
      <c r="P38" s="251">
        <v>50.5</v>
      </c>
      <c r="Q38" s="288">
        <v>36</v>
      </c>
      <c r="R38" s="248">
        <v>653.29999999999995</v>
      </c>
      <c r="S38" s="252">
        <v>138.80349091281266</v>
      </c>
      <c r="T38" s="248">
        <f t="shared" si="8"/>
        <v>75531.803758058144</v>
      </c>
      <c r="U38" s="250">
        <f t="shared" si="9"/>
        <v>159950179.80423409</v>
      </c>
      <c r="V38" s="48">
        <f t="shared" si="10"/>
        <v>4130941.4925166667</v>
      </c>
      <c r="W38" s="109">
        <f t="shared" si="11"/>
        <v>3.2258796376293565E-2</v>
      </c>
      <c r="X38" s="13">
        <f t="shared" si="4"/>
        <v>3.2258796376293565E-2</v>
      </c>
      <c r="Y38"/>
      <c r="Z38"/>
    </row>
    <row r="39" spans="1:26" x14ac:dyDescent="0.2">
      <c r="A39" s="247">
        <v>40574</v>
      </c>
      <c r="B39" s="253">
        <f>135907935+(2912181.71/12)</f>
        <v>136150616.80916667</v>
      </c>
      <c r="C39" s="248">
        <f>'WMP pivot'!J71</f>
        <v>3269338.85</v>
      </c>
      <c r="D39" s="248">
        <f t="shared" si="7"/>
        <v>132881277.95916668</v>
      </c>
      <c r="E39" s="248">
        <v>27651533.369601712</v>
      </c>
      <c r="F39" s="248">
        <f>'CDM Activity '!H120</f>
        <v>1894820.7510606851</v>
      </c>
      <c r="G39" s="290">
        <v>1.0360871937936309</v>
      </c>
      <c r="H39" s="248">
        <f t="shared" si="5"/>
        <v>1963199.5147084054</v>
      </c>
      <c r="I39" s="248">
        <f t="shared" si="6"/>
        <v>162496010.84347677</v>
      </c>
      <c r="J39" s="254">
        <v>770</v>
      </c>
      <c r="K39" s="254">
        <v>0</v>
      </c>
      <c r="L39" s="250">
        <v>31</v>
      </c>
      <c r="M39" s="248">
        <v>0</v>
      </c>
      <c r="N39" s="248">
        <v>336</v>
      </c>
      <c r="O39" s="250">
        <v>0</v>
      </c>
      <c r="P39" s="251">
        <v>51.4</v>
      </c>
      <c r="Q39" s="288">
        <v>37</v>
      </c>
      <c r="R39" s="248">
        <v>649.29999999999995</v>
      </c>
      <c r="S39" s="252">
        <v>139.10070640604135</v>
      </c>
      <c r="T39" s="248">
        <f t="shared" si="8"/>
        <v>75622.72410940117</v>
      </c>
      <c r="U39" s="250">
        <f t="shared" si="9"/>
        <v>157949516.92076856</v>
      </c>
      <c r="V39" s="48">
        <f t="shared" si="10"/>
        <v>-4546493.9227082133</v>
      </c>
      <c r="W39" s="109">
        <f t="shared" si="11"/>
        <v>-3.4214706484876775E-2</v>
      </c>
      <c r="X39" s="13">
        <f t="shared" si="4"/>
        <v>3.4214706484876775E-2</v>
      </c>
      <c r="Y39"/>
      <c r="Z39"/>
    </row>
    <row r="40" spans="1:26" x14ac:dyDescent="0.2">
      <c r="A40" s="247">
        <v>40602</v>
      </c>
      <c r="B40" s="253">
        <f>122520649+(2912181.71/12)</f>
        <v>122763330.80916667</v>
      </c>
      <c r="C40" s="248">
        <f>'WMP pivot'!J72</f>
        <v>3108097.6100000003</v>
      </c>
      <c r="D40" s="248">
        <f t="shared" si="7"/>
        <v>119655233.19916667</v>
      </c>
      <c r="E40" s="248">
        <v>23993442.58101194</v>
      </c>
      <c r="F40" s="248">
        <f>'CDM Activity '!H121</f>
        <v>2012999.3992846881</v>
      </c>
      <c r="G40" s="290">
        <v>1.0360871937936309</v>
      </c>
      <c r="H40" s="248">
        <f t="shared" si="5"/>
        <v>2085642.8987131373</v>
      </c>
      <c r="I40" s="248">
        <f t="shared" si="6"/>
        <v>145734318.67889175</v>
      </c>
      <c r="J40" s="254">
        <v>640.79999999999995</v>
      </c>
      <c r="K40" s="254">
        <v>0</v>
      </c>
      <c r="L40" s="250">
        <v>28</v>
      </c>
      <c r="M40" s="248">
        <v>0</v>
      </c>
      <c r="N40" s="248">
        <v>304</v>
      </c>
      <c r="O40" s="250">
        <v>0</v>
      </c>
      <c r="P40" s="251">
        <v>54</v>
      </c>
      <c r="Q40" s="288">
        <v>38</v>
      </c>
      <c r="R40" s="248">
        <v>651.20000000000005</v>
      </c>
      <c r="S40" s="252">
        <v>139.39855831733732</v>
      </c>
      <c r="T40" s="248">
        <f t="shared" si="8"/>
        <v>75713.644460744195</v>
      </c>
      <c r="U40" s="250">
        <f t="shared" si="9"/>
        <v>144164639.69809589</v>
      </c>
      <c r="V40" s="48">
        <f t="shared" si="10"/>
        <v>-1569678.9807958603</v>
      </c>
      <c r="W40" s="109">
        <f t="shared" si="11"/>
        <v>-1.3118347930366928E-2</v>
      </c>
      <c r="X40" s="13">
        <f t="shared" si="4"/>
        <v>1.3118347930366928E-2</v>
      </c>
      <c r="Y40"/>
      <c r="Z40"/>
    </row>
    <row r="41" spans="1:26" x14ac:dyDescent="0.2">
      <c r="A41" s="247">
        <v>40633</v>
      </c>
      <c r="B41" s="253">
        <f>131001103+(2912181.71/12)</f>
        <v>131243784.80916667</v>
      </c>
      <c r="C41" s="248">
        <f>'WMP pivot'!J73</f>
        <v>3621503.69</v>
      </c>
      <c r="D41" s="248">
        <f t="shared" si="7"/>
        <v>127622281.11916667</v>
      </c>
      <c r="E41" s="248">
        <v>25227884.876459409</v>
      </c>
      <c r="F41" s="248">
        <f>'CDM Activity '!H122</f>
        <v>2131178.047508691</v>
      </c>
      <c r="G41" s="290">
        <v>1.0360871937936309</v>
      </c>
      <c r="H41" s="248">
        <f t="shared" si="5"/>
        <v>2208086.2827178692</v>
      </c>
      <c r="I41" s="248">
        <f t="shared" si="6"/>
        <v>155058252.27834398</v>
      </c>
      <c r="J41" s="254">
        <v>605.29999999999995</v>
      </c>
      <c r="K41" s="254">
        <v>0</v>
      </c>
      <c r="L41" s="250">
        <v>31</v>
      </c>
      <c r="M41" s="248">
        <v>1</v>
      </c>
      <c r="N41" s="248">
        <v>368</v>
      </c>
      <c r="O41" s="250">
        <v>0</v>
      </c>
      <c r="P41" s="251">
        <v>58.6</v>
      </c>
      <c r="Q41" s="288">
        <v>39</v>
      </c>
      <c r="R41" s="248">
        <v>657.1</v>
      </c>
      <c r="S41" s="252">
        <v>139.69704800944226</v>
      </c>
      <c r="T41" s="248">
        <f t="shared" si="8"/>
        <v>75804.564812087221</v>
      </c>
      <c r="U41" s="250">
        <f t="shared" si="9"/>
        <v>151157751.67333394</v>
      </c>
      <c r="V41" s="48">
        <f t="shared" si="10"/>
        <v>-3900500.6050100327</v>
      </c>
      <c r="W41" s="109">
        <f t="shared" si="11"/>
        <v>-3.0562849768904849E-2</v>
      </c>
      <c r="X41" s="13">
        <f t="shared" si="4"/>
        <v>3.0562849768904849E-2</v>
      </c>
      <c r="Y41"/>
      <c r="Z41"/>
    </row>
    <row r="42" spans="1:26" x14ac:dyDescent="0.2">
      <c r="A42" s="247">
        <v>40663</v>
      </c>
      <c r="B42" s="253">
        <f>114525009+(2912181.71/12)</f>
        <v>114767690.80916667</v>
      </c>
      <c r="C42" s="248">
        <f>'WMP pivot'!J74</f>
        <v>3579072.7199999997</v>
      </c>
      <c r="D42" s="248">
        <f t="shared" si="7"/>
        <v>111188618.08916667</v>
      </c>
      <c r="E42" s="248">
        <v>22075502.164502166</v>
      </c>
      <c r="F42" s="248">
        <f>'CDM Activity '!H123</f>
        <v>2249356.6957326937</v>
      </c>
      <c r="G42" s="290">
        <v>1.0360871937936309</v>
      </c>
      <c r="H42" s="248">
        <f t="shared" si="5"/>
        <v>2330529.6667226008</v>
      </c>
      <c r="I42" s="248">
        <f t="shared" si="6"/>
        <v>135594649.92039144</v>
      </c>
      <c r="J42" s="254">
        <v>298.7</v>
      </c>
      <c r="K42" s="254">
        <v>0</v>
      </c>
      <c r="L42" s="250">
        <v>30</v>
      </c>
      <c r="M42" s="248">
        <v>1</v>
      </c>
      <c r="N42" s="248">
        <v>320</v>
      </c>
      <c r="O42" s="250">
        <v>0</v>
      </c>
      <c r="P42" s="251">
        <v>58.1</v>
      </c>
      <c r="Q42" s="288">
        <v>40</v>
      </c>
      <c r="R42" s="248">
        <v>666.4</v>
      </c>
      <c r="S42" s="252">
        <v>139.99617684801592</v>
      </c>
      <c r="T42" s="248">
        <f t="shared" si="8"/>
        <v>75895.485163430247</v>
      </c>
      <c r="U42" s="250">
        <f t="shared" si="9"/>
        <v>138048684.20136121</v>
      </c>
      <c r="V42" s="48">
        <f t="shared" si="10"/>
        <v>2454034.2809697688</v>
      </c>
      <c r="W42" s="109">
        <f t="shared" si="11"/>
        <v>2.2070912681024409E-2</v>
      </c>
      <c r="X42" s="13">
        <f t="shared" si="4"/>
        <v>2.2070912681024409E-2</v>
      </c>
      <c r="Y42"/>
      <c r="Z42"/>
    </row>
    <row r="43" spans="1:26" x14ac:dyDescent="0.2">
      <c r="A43" s="247">
        <v>40694</v>
      </c>
      <c r="B43" s="253">
        <f>114078847+(2912181.71/12)</f>
        <v>114321528.80916667</v>
      </c>
      <c r="C43" s="248">
        <f>'WMP pivot'!J75</f>
        <v>3980453.5500000003</v>
      </c>
      <c r="D43" s="248">
        <f t="shared" si="7"/>
        <v>110341075.25916667</v>
      </c>
      <c r="E43" s="248">
        <v>22139621.578421582</v>
      </c>
      <c r="F43" s="248">
        <f>'CDM Activity '!H124</f>
        <v>2367535.3439566963</v>
      </c>
      <c r="G43" s="290">
        <v>1.0360871937936309</v>
      </c>
      <c r="H43" s="248">
        <f t="shared" si="5"/>
        <v>2452973.050727332</v>
      </c>
      <c r="I43" s="248">
        <f t="shared" si="6"/>
        <v>134933669.88831559</v>
      </c>
      <c r="J43" s="254">
        <v>148.69999999999999</v>
      </c>
      <c r="K43" s="254">
        <v>13.2</v>
      </c>
      <c r="L43" s="250">
        <v>31</v>
      </c>
      <c r="M43" s="248">
        <v>1</v>
      </c>
      <c r="N43" s="248">
        <v>336</v>
      </c>
      <c r="O43" s="250">
        <v>0</v>
      </c>
      <c r="P43" s="251">
        <v>57.1</v>
      </c>
      <c r="Q43" s="288">
        <v>41</v>
      </c>
      <c r="R43" s="248">
        <v>671.5</v>
      </c>
      <c r="S43" s="252">
        <v>140.29594620164227</v>
      </c>
      <c r="T43" s="248">
        <f t="shared" si="8"/>
        <v>75986.405514773272</v>
      </c>
      <c r="U43" s="250">
        <f t="shared" si="9"/>
        <v>142857271.83886006</v>
      </c>
      <c r="V43" s="48">
        <f t="shared" si="10"/>
        <v>7923601.9505444765</v>
      </c>
      <c r="W43" s="109">
        <f t="shared" si="11"/>
        <v>7.1810084612042219E-2</v>
      </c>
      <c r="X43" s="13">
        <f t="shared" si="4"/>
        <v>7.1810084612042219E-2</v>
      </c>
      <c r="Y43"/>
      <c r="Z43"/>
    </row>
    <row r="44" spans="1:26" x14ac:dyDescent="0.2">
      <c r="A44" s="247">
        <v>40724</v>
      </c>
      <c r="B44" s="253">
        <f>124489030+(2912181.71/12)</f>
        <v>124731711.80916667</v>
      </c>
      <c r="C44" s="248">
        <f>'WMP pivot'!J76</f>
        <v>4173388.8</v>
      </c>
      <c r="D44" s="248">
        <f t="shared" si="7"/>
        <v>120558323.00916667</v>
      </c>
      <c r="E44" s="248">
        <v>22855810.276679844</v>
      </c>
      <c r="F44" s="248">
        <f>'CDM Activity '!H125</f>
        <v>2485713.992180699</v>
      </c>
      <c r="G44" s="290">
        <v>1.0360871937936309</v>
      </c>
      <c r="H44" s="248">
        <f t="shared" si="5"/>
        <v>2575416.4347320637</v>
      </c>
      <c r="I44" s="248">
        <f t="shared" si="6"/>
        <v>145989549.72057858</v>
      </c>
      <c r="J44" s="254">
        <v>48.5</v>
      </c>
      <c r="K44" s="254">
        <v>21.6</v>
      </c>
      <c r="L44" s="250">
        <v>30</v>
      </c>
      <c r="M44" s="248">
        <v>0</v>
      </c>
      <c r="N44" s="248">
        <v>352</v>
      </c>
      <c r="O44" s="250">
        <v>0</v>
      </c>
      <c r="P44" s="251">
        <v>52.1</v>
      </c>
      <c r="Q44" s="288">
        <v>42</v>
      </c>
      <c r="R44" s="248">
        <v>681.8</v>
      </c>
      <c r="S44" s="252">
        <v>140.59635744183578</v>
      </c>
      <c r="T44" s="248">
        <f>'Rate Class Customer Model'!S14</f>
        <v>76077.325866116385</v>
      </c>
      <c r="U44" s="250">
        <f t="shared" si="9"/>
        <v>147332512.87357813</v>
      </c>
      <c r="V44" s="48">
        <f t="shared" si="10"/>
        <v>1342963.1529995501</v>
      </c>
      <c r="W44" s="109">
        <f t="shared" si="11"/>
        <v>1.1139530805330112E-2</v>
      </c>
      <c r="X44" s="13">
        <f t="shared" si="4"/>
        <v>1.1139530805330112E-2</v>
      </c>
      <c r="Y44"/>
      <c r="Z44"/>
    </row>
    <row r="45" spans="1:26" x14ac:dyDescent="0.2">
      <c r="A45" s="247">
        <v>40755</v>
      </c>
      <c r="B45" s="253">
        <f>144144406+(2912181.71/12)</f>
        <v>144387087.80916667</v>
      </c>
      <c r="C45" s="248">
        <f>'WMP pivot'!J77</f>
        <v>4723222.93</v>
      </c>
      <c r="D45" s="248">
        <f t="shared" si="7"/>
        <v>139663864.87916666</v>
      </c>
      <c r="E45" s="248">
        <v>28064628.434504792</v>
      </c>
      <c r="F45" s="248">
        <f>'CDM Activity '!H126</f>
        <v>2603892.6404047017</v>
      </c>
      <c r="G45" s="290">
        <v>1.0360871937936309</v>
      </c>
      <c r="H45" s="248">
        <f t="shared" si="5"/>
        <v>2697859.8187367953</v>
      </c>
      <c r="I45" s="248">
        <f t="shared" si="6"/>
        <v>170426353.13240826</v>
      </c>
      <c r="J45" s="254">
        <v>0.8</v>
      </c>
      <c r="K45" s="254">
        <v>128.19999999999999</v>
      </c>
      <c r="L45" s="250">
        <v>31</v>
      </c>
      <c r="M45" s="248">
        <v>0</v>
      </c>
      <c r="N45" s="248">
        <v>320</v>
      </c>
      <c r="O45" s="250">
        <v>0</v>
      </c>
      <c r="P45" s="251">
        <v>50</v>
      </c>
      <c r="Q45" s="288">
        <v>43</v>
      </c>
      <c r="R45" s="248">
        <v>691.5</v>
      </c>
      <c r="S45" s="252">
        <v>140.89741194304773</v>
      </c>
      <c r="T45" s="248">
        <f>T44+(T56-T44)/12</f>
        <v>76142.021145283055</v>
      </c>
      <c r="U45" s="250">
        <f t="shared" si="9"/>
        <v>178306164.8982324</v>
      </c>
      <c r="V45" s="48">
        <f t="shared" si="10"/>
        <v>7879811.7658241391</v>
      </c>
      <c r="W45" s="109">
        <f t="shared" si="11"/>
        <v>5.6419831805754023E-2</v>
      </c>
      <c r="X45" s="13">
        <f t="shared" si="4"/>
        <v>5.6419831805754023E-2</v>
      </c>
      <c r="Y45"/>
      <c r="Z45"/>
    </row>
    <row r="46" spans="1:26" x14ac:dyDescent="0.2">
      <c r="A46" s="247">
        <v>40786</v>
      </c>
      <c r="B46" s="253">
        <f>137697927+(2912181.71/12)</f>
        <v>137940608.80916667</v>
      </c>
      <c r="C46" s="248">
        <f>'WMP pivot'!J78</f>
        <v>4540642.6899999995</v>
      </c>
      <c r="D46" s="248">
        <f t="shared" si="7"/>
        <v>133399966.11916667</v>
      </c>
      <c r="E46" s="248">
        <v>26577980.038282745</v>
      </c>
      <c r="F46" s="248">
        <f>'CDM Activity '!H127</f>
        <v>2722071.2886287044</v>
      </c>
      <c r="G46" s="290">
        <v>1.0360871937936309</v>
      </c>
      <c r="H46" s="248">
        <f t="shared" si="5"/>
        <v>2820303.202741527</v>
      </c>
      <c r="I46" s="248">
        <f t="shared" si="6"/>
        <v>162798249.36019096</v>
      </c>
      <c r="J46" s="254">
        <v>6.9</v>
      </c>
      <c r="K46" s="254">
        <v>54.3</v>
      </c>
      <c r="L46" s="250">
        <v>31</v>
      </c>
      <c r="M46" s="248">
        <v>0</v>
      </c>
      <c r="N46" s="248">
        <v>352</v>
      </c>
      <c r="O46" s="250">
        <v>0</v>
      </c>
      <c r="P46" s="251">
        <v>50.6</v>
      </c>
      <c r="Q46" s="288">
        <v>44</v>
      </c>
      <c r="R46" s="248">
        <v>694.9</v>
      </c>
      <c r="S46" s="252">
        <v>141.19911108267243</v>
      </c>
      <c r="T46" s="248">
        <f>T45+(T56-T44)/12</f>
        <v>76206.716424449725</v>
      </c>
      <c r="U46" s="250">
        <f t="shared" si="9"/>
        <v>159080359.10419756</v>
      </c>
      <c r="V46" s="48">
        <f t="shared" si="10"/>
        <v>-3717890.255993396</v>
      </c>
      <c r="W46" s="109">
        <f t="shared" si="11"/>
        <v>-2.787024887751614E-2</v>
      </c>
      <c r="X46" s="13">
        <f t="shared" si="4"/>
        <v>2.787024887751614E-2</v>
      </c>
      <c r="Y46"/>
      <c r="Z46"/>
    </row>
    <row r="47" spans="1:26" x14ac:dyDescent="0.2">
      <c r="A47" s="247">
        <v>40816</v>
      </c>
      <c r="B47" s="253">
        <f>121686966+(2912181.71/12)</f>
        <v>121929647.80916667</v>
      </c>
      <c r="C47" s="248">
        <f>'WMP pivot'!J79</f>
        <v>4096298.9299999997</v>
      </c>
      <c r="D47" s="248">
        <f t="shared" si="7"/>
        <v>117833348.87916666</v>
      </c>
      <c r="E47" s="248">
        <v>23936195.375422187</v>
      </c>
      <c r="F47" s="248">
        <f>'CDM Activity '!H128</f>
        <v>2840249.9368527071</v>
      </c>
      <c r="G47" s="290">
        <v>1.0360871937936309</v>
      </c>
      <c r="H47" s="248">
        <f t="shared" si="5"/>
        <v>2942746.5867462587</v>
      </c>
      <c r="I47" s="248">
        <f t="shared" si="6"/>
        <v>144712290.84133509</v>
      </c>
      <c r="J47" s="254">
        <v>88.9</v>
      </c>
      <c r="K47" s="254">
        <v>17.2</v>
      </c>
      <c r="L47" s="250">
        <v>30</v>
      </c>
      <c r="M47" s="248">
        <v>1</v>
      </c>
      <c r="N47" s="248">
        <v>336</v>
      </c>
      <c r="O47" s="250">
        <v>0</v>
      </c>
      <c r="P47" s="251">
        <v>51.2</v>
      </c>
      <c r="Q47" s="288">
        <v>45</v>
      </c>
      <c r="R47" s="248">
        <v>688.6</v>
      </c>
      <c r="S47" s="252">
        <v>141.50145624105357</v>
      </c>
      <c r="T47" s="248">
        <f>T46+(T56-T44)/12</f>
        <v>76271.411703616395</v>
      </c>
      <c r="U47" s="250">
        <f t="shared" si="9"/>
        <v>142426122.08125064</v>
      </c>
      <c r="V47" s="48">
        <f t="shared" si="10"/>
        <v>-2286168.7600844502</v>
      </c>
      <c r="W47" s="109">
        <f t="shared" si="11"/>
        <v>-1.9401712518828808E-2</v>
      </c>
      <c r="X47" s="13">
        <f t="shared" si="4"/>
        <v>1.9401712518828808E-2</v>
      </c>
      <c r="Y47"/>
      <c r="Z47"/>
    </row>
    <row r="48" spans="1:26" x14ac:dyDescent="0.2">
      <c r="A48" s="247">
        <v>40847</v>
      </c>
      <c r="B48" s="253">
        <f>119815218+(2912181.71/12)</f>
        <v>120057899.80916667</v>
      </c>
      <c r="C48" s="248">
        <f>'WMP pivot'!J80</f>
        <v>3804176.38</v>
      </c>
      <c r="D48" s="248">
        <f t="shared" si="7"/>
        <v>116253723.42916667</v>
      </c>
      <c r="E48" s="248">
        <v>23119701.76211454</v>
      </c>
      <c r="F48" s="248">
        <f>'CDM Activity '!H129</f>
        <v>2958428.5850767097</v>
      </c>
      <c r="G48" s="290">
        <v>1.0360871937936309</v>
      </c>
      <c r="H48" s="248">
        <f t="shared" si="5"/>
        <v>3065189.9707509903</v>
      </c>
      <c r="I48" s="248">
        <f t="shared" si="6"/>
        <v>142438615.16203219</v>
      </c>
      <c r="J48" s="254">
        <v>279.89999999999998</v>
      </c>
      <c r="K48" s="254">
        <v>0</v>
      </c>
      <c r="L48" s="250">
        <v>31</v>
      </c>
      <c r="M48" s="248">
        <v>1</v>
      </c>
      <c r="N48" s="248">
        <v>320</v>
      </c>
      <c r="O48" s="250">
        <v>0</v>
      </c>
      <c r="P48" s="251">
        <v>50</v>
      </c>
      <c r="Q48" s="288">
        <v>46</v>
      </c>
      <c r="R48" s="248">
        <v>682.2</v>
      </c>
      <c r="S48" s="252">
        <v>141.80444880149057</v>
      </c>
      <c r="T48" s="248">
        <f>T47+(T56-T44)/12</f>
        <v>76336.106982783065</v>
      </c>
      <c r="U48" s="250">
        <f t="shared" si="9"/>
        <v>142945464.07808536</v>
      </c>
      <c r="V48" s="48">
        <f t="shared" si="10"/>
        <v>506848.91605317593</v>
      </c>
      <c r="W48" s="109">
        <f t="shared" si="11"/>
        <v>4.3598510318854315E-3</v>
      </c>
      <c r="X48" s="13">
        <f t="shared" si="4"/>
        <v>4.3598510318854315E-3</v>
      </c>
      <c r="Y48"/>
      <c r="Z48"/>
    </row>
    <row r="49" spans="1:26" x14ac:dyDescent="0.2">
      <c r="A49" s="247">
        <v>40877</v>
      </c>
      <c r="B49" s="253">
        <f>123068812+(2912181.71/12)</f>
        <v>123311493.80916667</v>
      </c>
      <c r="C49" s="248">
        <f>'WMP pivot'!J81</f>
        <v>3596792.0700000003</v>
      </c>
      <c r="D49" s="248">
        <f t="shared" si="7"/>
        <v>119714701.73916668</v>
      </c>
      <c r="E49" s="248">
        <v>23381682.006442707</v>
      </c>
      <c r="F49" s="248">
        <f>'CDM Activity '!H130</f>
        <v>3076607.2333007124</v>
      </c>
      <c r="G49" s="290">
        <v>1.0360871937936309</v>
      </c>
      <c r="H49" s="248">
        <f t="shared" si="5"/>
        <v>3187633.354755722</v>
      </c>
      <c r="I49" s="248">
        <f t="shared" si="6"/>
        <v>146284017.1003651</v>
      </c>
      <c r="J49" s="254">
        <v>382.4</v>
      </c>
      <c r="K49" s="254">
        <v>0</v>
      </c>
      <c r="L49" s="250">
        <v>30</v>
      </c>
      <c r="M49" s="248">
        <v>1</v>
      </c>
      <c r="N49" s="248">
        <v>352</v>
      </c>
      <c r="O49" s="250">
        <v>0</v>
      </c>
      <c r="P49" s="251">
        <v>48.2</v>
      </c>
      <c r="Q49" s="288">
        <v>47</v>
      </c>
      <c r="R49" s="248">
        <v>677</v>
      </c>
      <c r="S49" s="252">
        <v>142.10809015024478</v>
      </c>
      <c r="T49" s="248">
        <f>T48+(T56-T44)/12</f>
        <v>76400.802261949735</v>
      </c>
      <c r="U49" s="250">
        <f t="shared" si="9"/>
        <v>146192177.49871308</v>
      </c>
      <c r="V49" s="48">
        <f t="shared" si="10"/>
        <v>-91839.601652026176</v>
      </c>
      <c r="W49" s="109">
        <f t="shared" si="11"/>
        <v>-7.671539110720543E-4</v>
      </c>
      <c r="X49" s="13">
        <f t="shared" si="4"/>
        <v>7.671539110720543E-4</v>
      </c>
      <c r="Y49"/>
      <c r="Z49"/>
    </row>
    <row r="50" spans="1:26" x14ac:dyDescent="0.2">
      <c r="A50" s="247">
        <v>40908</v>
      </c>
      <c r="B50" s="253">
        <f>127591184+(2912181.71/12)</f>
        <v>127833865.80916667</v>
      </c>
      <c r="C50" s="248">
        <f>'WMP pivot'!J82</f>
        <v>3651441.76</v>
      </c>
      <c r="D50" s="248">
        <f t="shared" si="7"/>
        <v>124182424.04916666</v>
      </c>
      <c r="E50" s="248">
        <v>24713280.536556389</v>
      </c>
      <c r="F50" s="248">
        <f>'CDM Activity '!H131</f>
        <v>3194785.8815247151</v>
      </c>
      <c r="G50" s="290">
        <v>1.0360871937936309</v>
      </c>
      <c r="H50" s="248">
        <f t="shared" si="5"/>
        <v>3310076.7387604536</v>
      </c>
      <c r="I50" s="248">
        <f t="shared" si="6"/>
        <v>152205781.32448348</v>
      </c>
      <c r="J50" s="254">
        <v>574.79999999999995</v>
      </c>
      <c r="K50" s="254">
        <v>0</v>
      </c>
      <c r="L50" s="250">
        <v>31</v>
      </c>
      <c r="M50" s="248">
        <v>0</v>
      </c>
      <c r="N50" s="248">
        <v>336</v>
      </c>
      <c r="O50" s="250">
        <v>0</v>
      </c>
      <c r="P50" s="251">
        <v>47.2</v>
      </c>
      <c r="Q50" s="288">
        <v>48</v>
      </c>
      <c r="R50" s="248">
        <v>676.6</v>
      </c>
      <c r="S50" s="252">
        <v>142.41238167654581</v>
      </c>
      <c r="T50" s="248">
        <f>T49+(T56-T44)/12</f>
        <v>76465.497541116405</v>
      </c>
      <c r="U50" s="250">
        <f t="shared" si="9"/>
        <v>155186364.22479093</v>
      </c>
      <c r="V50" s="48">
        <f t="shared" si="10"/>
        <v>2980582.9003074467</v>
      </c>
      <c r="W50" s="109">
        <f t="shared" si="11"/>
        <v>2.4001648567653709E-2</v>
      </c>
      <c r="X50" s="13">
        <f t="shared" si="4"/>
        <v>2.4001648567653709E-2</v>
      </c>
      <c r="Y50"/>
      <c r="Z50"/>
    </row>
    <row r="51" spans="1:26" x14ac:dyDescent="0.2">
      <c r="A51" s="247">
        <v>40939</v>
      </c>
      <c r="B51" s="253">
        <f>134139861.54+(5510021/12)</f>
        <v>134599029.95666668</v>
      </c>
      <c r="C51" s="248">
        <f>'WMP pivot'!J84</f>
        <v>3547427.85</v>
      </c>
      <c r="D51" s="248">
        <f t="shared" si="7"/>
        <v>131051602.10666668</v>
      </c>
      <c r="E51" s="248">
        <v>24435070.577608101</v>
      </c>
      <c r="F51" s="248">
        <f>'CDM Activity '!H132</f>
        <v>3244255.7843758832</v>
      </c>
      <c r="G51" s="290">
        <v>1.0312050433546698</v>
      </c>
      <c r="H51" s="248">
        <f t="shared" si="5"/>
        <v>3345492.9267809708</v>
      </c>
      <c r="I51" s="248">
        <f t="shared" si="6"/>
        <v>158832165.61105576</v>
      </c>
      <c r="J51" s="254">
        <v>657.3</v>
      </c>
      <c r="K51" s="254">
        <v>0</v>
      </c>
      <c r="L51" s="250">
        <v>31</v>
      </c>
      <c r="M51" s="248">
        <v>0</v>
      </c>
      <c r="N51" s="248">
        <v>336</v>
      </c>
      <c r="O51" s="250">
        <v>0</v>
      </c>
      <c r="P51" s="251">
        <v>49.2</v>
      </c>
      <c r="Q51" s="288">
        <v>49</v>
      </c>
      <c r="R51" s="248">
        <v>670.9</v>
      </c>
      <c r="S51" s="252">
        <v>142.61257743956915</v>
      </c>
      <c r="T51" s="248">
        <f>T50+(T56-T44)/12</f>
        <v>76530.192820283075</v>
      </c>
      <c r="U51" s="250">
        <f t="shared" si="9"/>
        <v>156273958.23551685</v>
      </c>
      <c r="V51" s="48">
        <f t="shared" si="10"/>
        <v>-2558207.3755389154</v>
      </c>
      <c r="W51" s="109">
        <f t="shared" si="11"/>
        <v>-1.9520611228062031E-2</v>
      </c>
      <c r="X51" s="13">
        <f t="shared" si="4"/>
        <v>1.9520611228062031E-2</v>
      </c>
      <c r="Y51"/>
      <c r="Z51"/>
    </row>
    <row r="52" spans="1:26" x14ac:dyDescent="0.2">
      <c r="A52" s="247">
        <v>40968</v>
      </c>
      <c r="B52" s="253">
        <f>124214753.85+(5510021/12)</f>
        <v>124673922.26666667</v>
      </c>
      <c r="C52" s="248">
        <f>'WMP pivot'!J85</f>
        <v>3262966.51</v>
      </c>
      <c r="D52" s="248">
        <f t="shared" si="7"/>
        <v>121410955.75666666</v>
      </c>
      <c r="E52" s="248">
        <v>23722940.734887399</v>
      </c>
      <c r="F52" s="248">
        <f>'CDM Activity '!H133</f>
        <v>3293725.6872270512</v>
      </c>
      <c r="G52" s="290">
        <v>1.0312050433546698</v>
      </c>
      <c r="H52" s="248">
        <f t="shared" si="5"/>
        <v>3396506.5400953609</v>
      </c>
      <c r="I52" s="248">
        <f t="shared" si="6"/>
        <v>148530403.03164941</v>
      </c>
      <c r="J52" s="254">
        <v>573</v>
      </c>
      <c r="K52" s="254">
        <v>0</v>
      </c>
      <c r="L52" s="250">
        <v>29</v>
      </c>
      <c r="M52" s="248">
        <v>0</v>
      </c>
      <c r="N52" s="248">
        <v>320</v>
      </c>
      <c r="O52" s="250">
        <v>0</v>
      </c>
      <c r="P52" s="251">
        <v>47.6</v>
      </c>
      <c r="Q52" s="288">
        <v>50</v>
      </c>
      <c r="R52" s="248">
        <v>668.7</v>
      </c>
      <c r="S52" s="252">
        <v>142.81305462716429</v>
      </c>
      <c r="T52" s="248">
        <f>T51+(T56-T44)/12</f>
        <v>76594.888099449745</v>
      </c>
      <c r="U52" s="250">
        <f t="shared" si="9"/>
        <v>148777307.16713917</v>
      </c>
      <c r="V52" s="48">
        <f t="shared" si="10"/>
        <v>246904.13548976183</v>
      </c>
      <c r="W52" s="109">
        <f t="shared" si="11"/>
        <v>2.0336231928246257E-3</v>
      </c>
      <c r="X52" s="13">
        <f t="shared" si="4"/>
        <v>2.0336231928246257E-3</v>
      </c>
      <c r="Y52"/>
      <c r="Z52"/>
    </row>
    <row r="53" spans="1:26" x14ac:dyDescent="0.2">
      <c r="A53" s="247">
        <v>40999</v>
      </c>
      <c r="B53" s="253">
        <f>124384646.15+(5510021/12)</f>
        <v>124843814.56666668</v>
      </c>
      <c r="C53" s="248">
        <f>'WMP pivot'!J86</f>
        <v>3646469.33</v>
      </c>
      <c r="D53" s="248">
        <f t="shared" si="7"/>
        <v>121197345.23666668</v>
      </c>
      <c r="E53" s="248">
        <v>23207525.826114852</v>
      </c>
      <c r="F53" s="248">
        <f>'CDM Activity '!H134</f>
        <v>3343195.5900782193</v>
      </c>
      <c r="G53" s="290">
        <v>1.0312050433546698</v>
      </c>
      <c r="H53" s="248">
        <f t="shared" si="5"/>
        <v>3447520.1534097511</v>
      </c>
      <c r="I53" s="248">
        <f t="shared" si="6"/>
        <v>147852391.21619129</v>
      </c>
      <c r="J53" s="254">
        <v>370.1</v>
      </c>
      <c r="K53" s="254">
        <v>0</v>
      </c>
      <c r="L53" s="250">
        <v>31</v>
      </c>
      <c r="M53" s="248">
        <v>1</v>
      </c>
      <c r="N53" s="248">
        <v>352</v>
      </c>
      <c r="O53" s="250">
        <v>0</v>
      </c>
      <c r="P53" s="251">
        <v>49.7</v>
      </c>
      <c r="Q53" s="288">
        <v>51</v>
      </c>
      <c r="R53" s="248">
        <v>666</v>
      </c>
      <c r="S53" s="252">
        <v>143.01381363494295</v>
      </c>
      <c r="T53" s="248">
        <f>T52+(T56-T44)/12</f>
        <v>76659.583378616415</v>
      </c>
      <c r="U53" s="250">
        <f t="shared" si="9"/>
        <v>147805971.086602</v>
      </c>
      <c r="V53" s="48">
        <f t="shared" si="10"/>
        <v>-46420.129589289427</v>
      </c>
      <c r="W53" s="109">
        <f t="shared" si="11"/>
        <v>-3.8301275905543202E-4</v>
      </c>
      <c r="X53" s="13">
        <f t="shared" si="4"/>
        <v>3.8301275905543202E-4</v>
      </c>
      <c r="Y53"/>
      <c r="Z53"/>
    </row>
    <row r="54" spans="1:26" x14ac:dyDescent="0.2">
      <c r="A54" s="247">
        <v>41029</v>
      </c>
      <c r="B54" s="253">
        <f>114550515.38+(27225356.55/9)+(5510021/12)</f>
        <v>118034723.41333333</v>
      </c>
      <c r="C54" s="248">
        <f>'WMP pivot'!J87</f>
        <v>3068109.5700000003</v>
      </c>
      <c r="D54" s="248">
        <f t="shared" si="7"/>
        <v>114966613.84333333</v>
      </c>
      <c r="E54" s="248">
        <v>21426873.847167328</v>
      </c>
      <c r="F54" s="248">
        <f>'CDM Activity '!H135</f>
        <v>3392665.4929293874</v>
      </c>
      <c r="G54" s="290">
        <v>1.0312050433546698</v>
      </c>
      <c r="H54" s="248">
        <f t="shared" si="5"/>
        <v>3498533.7667241408</v>
      </c>
      <c r="I54" s="248">
        <f t="shared" si="6"/>
        <v>139892021.45722482</v>
      </c>
      <c r="J54" s="254">
        <v>365.3</v>
      </c>
      <c r="K54" s="254">
        <v>0</v>
      </c>
      <c r="L54" s="250">
        <v>30</v>
      </c>
      <c r="M54" s="248">
        <v>1</v>
      </c>
      <c r="N54" s="248">
        <v>320</v>
      </c>
      <c r="O54" s="250">
        <v>0</v>
      </c>
      <c r="P54" s="251">
        <v>49.2</v>
      </c>
      <c r="Q54" s="288">
        <v>52</v>
      </c>
      <c r="R54" s="248">
        <v>667.4</v>
      </c>
      <c r="S54" s="252">
        <v>143.21485485907297</v>
      </c>
      <c r="T54" s="248">
        <f>T53+(T56-T44)/12</f>
        <v>76724.278657783085</v>
      </c>
      <c r="U54" s="250">
        <f t="shared" si="9"/>
        <v>142677834.23533851</v>
      </c>
      <c r="V54" s="48">
        <f t="shared" si="10"/>
        <v>2785812.778113693</v>
      </c>
      <c r="W54" s="109">
        <f t="shared" si="11"/>
        <v>2.4231493691811785E-2</v>
      </c>
      <c r="X54" s="13">
        <f t="shared" si="4"/>
        <v>2.4231493691811785E-2</v>
      </c>
      <c r="Y54"/>
      <c r="Z54"/>
    </row>
    <row r="55" spans="1:26" x14ac:dyDescent="0.2">
      <c r="A55" s="247">
        <v>41060</v>
      </c>
      <c r="B55" s="253">
        <f>120400400+(27225356.55/9)+(5510021/12)</f>
        <v>123884608.03333333</v>
      </c>
      <c r="C55" s="248">
        <f>'WMP pivot'!J88</f>
        <v>4280789.9071008703</v>
      </c>
      <c r="D55" s="248">
        <f t="shared" ref="D55:D62" si="12">B55-C55</f>
        <v>119603818.12623246</v>
      </c>
      <c r="E55" s="248">
        <v>22659307.787610617</v>
      </c>
      <c r="F55" s="248">
        <f>'CDM Activity '!H136</f>
        <v>3442135.3957805554</v>
      </c>
      <c r="G55" s="290">
        <v>1.0312050433546698</v>
      </c>
      <c r="H55" s="248">
        <f t="shared" si="5"/>
        <v>3549547.380038531</v>
      </c>
      <c r="I55" s="248">
        <f t="shared" si="6"/>
        <v>145812673.2938816</v>
      </c>
      <c r="J55" s="254">
        <v>103.8</v>
      </c>
      <c r="K55" s="254">
        <v>18.2</v>
      </c>
      <c r="L55" s="250">
        <v>31</v>
      </c>
      <c r="M55" s="248">
        <v>1</v>
      </c>
      <c r="N55" s="248">
        <v>352</v>
      </c>
      <c r="O55" s="250">
        <v>0</v>
      </c>
      <c r="P55" s="251">
        <v>50.6</v>
      </c>
      <c r="Q55" s="288">
        <v>53</v>
      </c>
      <c r="R55" s="248">
        <v>672.1</v>
      </c>
      <c r="S55" s="252">
        <v>143.41617869627913</v>
      </c>
      <c r="T55" s="248">
        <f>T54+(T56-T44)/12</f>
        <v>76788.973936949755</v>
      </c>
      <c r="U55" s="250">
        <f t="shared" si="9"/>
        <v>147071804.75201902</v>
      </c>
      <c r="V55" s="48">
        <f t="shared" si="10"/>
        <v>1259131.4581374228</v>
      </c>
      <c r="W55" s="109">
        <f t="shared" si="11"/>
        <v>1.0527518919241426E-2</v>
      </c>
      <c r="X55" s="13">
        <f t="shared" si="4"/>
        <v>1.0527518919241426E-2</v>
      </c>
      <c r="Y55"/>
      <c r="Z55"/>
    </row>
    <row r="56" spans="1:26" x14ac:dyDescent="0.2">
      <c r="A56" s="247">
        <v>41090</v>
      </c>
      <c r="B56" s="253">
        <f>127372618.18+(27225356.55/9)+(5510021/12)</f>
        <v>130856826.21333334</v>
      </c>
      <c r="C56" s="248">
        <f>'WMP pivot'!J89</f>
        <v>4002940.7091250243</v>
      </c>
      <c r="D56" s="248">
        <f t="shared" si="12"/>
        <v>126853885.50420831</v>
      </c>
      <c r="E56" s="248">
        <v>24375975.261655565</v>
      </c>
      <c r="F56" s="248">
        <f>'CDM Activity '!H137</f>
        <v>3491605.2986317235</v>
      </c>
      <c r="G56" s="290">
        <v>1.0312050433546698</v>
      </c>
      <c r="H56" s="248">
        <f t="shared" si="5"/>
        <v>3600560.9933529212</v>
      </c>
      <c r="I56" s="248">
        <f t="shared" si="6"/>
        <v>154830421.75921679</v>
      </c>
      <c r="J56" s="254">
        <v>42.1</v>
      </c>
      <c r="K56" s="254">
        <v>61.2</v>
      </c>
      <c r="L56" s="250">
        <v>30</v>
      </c>
      <c r="M56" s="248">
        <v>0</v>
      </c>
      <c r="N56" s="248">
        <v>336</v>
      </c>
      <c r="O56" s="250">
        <v>0</v>
      </c>
      <c r="P56" s="251">
        <v>47.3</v>
      </c>
      <c r="Q56" s="288">
        <v>54</v>
      </c>
      <c r="R56" s="248">
        <v>678.4</v>
      </c>
      <c r="S56" s="252">
        <v>143.61778554384387</v>
      </c>
      <c r="T56" s="248">
        <f>'Rate Class Customer Model'!S15</f>
        <v>76853.669216116396</v>
      </c>
      <c r="U56" s="250">
        <f t="shared" si="9"/>
        <v>159264062.42649949</v>
      </c>
      <c r="V56" s="48">
        <f t="shared" si="10"/>
        <v>4433640.6672827005</v>
      </c>
      <c r="W56" s="109">
        <f t="shared" si="11"/>
        <v>3.4950767567427939E-2</v>
      </c>
      <c r="X56" s="13">
        <f t="shared" si="4"/>
        <v>3.4950767567427939E-2</v>
      </c>
      <c r="Y56"/>
      <c r="Z56"/>
    </row>
    <row r="57" spans="1:26" x14ac:dyDescent="0.2">
      <c r="A57" s="247">
        <v>41121</v>
      </c>
      <c r="B57" s="253">
        <f>141753854.55+(27225356.55/9)+(5510021/12)</f>
        <v>145238062.58333334</v>
      </c>
      <c r="C57" s="248">
        <f>'WMP pivot'!J90</f>
        <v>4456275.6369364038</v>
      </c>
      <c r="D57" s="248">
        <f t="shared" si="12"/>
        <v>140781786.94639695</v>
      </c>
      <c r="E57" s="248">
        <v>28712607.621315867</v>
      </c>
      <c r="F57" s="248">
        <f>'CDM Activity '!H138</f>
        <v>3541075.2014828916</v>
      </c>
      <c r="G57" s="290">
        <v>1.0312050433546698</v>
      </c>
      <c r="H57" s="248">
        <f t="shared" si="5"/>
        <v>3651574.6066673114</v>
      </c>
      <c r="I57" s="248">
        <f t="shared" si="6"/>
        <v>173145969.17438012</v>
      </c>
      <c r="J57" s="254">
        <v>0</v>
      </c>
      <c r="K57" s="254">
        <v>116.4</v>
      </c>
      <c r="L57" s="250">
        <v>31</v>
      </c>
      <c r="M57" s="248">
        <v>0</v>
      </c>
      <c r="N57" s="248">
        <v>336</v>
      </c>
      <c r="O57" s="250">
        <v>0</v>
      </c>
      <c r="P57" s="251">
        <v>49.4</v>
      </c>
      <c r="Q57" s="288">
        <v>55</v>
      </c>
      <c r="R57" s="248">
        <v>682</v>
      </c>
      <c r="S57" s="252">
        <v>143.81967579960809</v>
      </c>
      <c r="T57" s="248">
        <f>T56+(T68-T56)/12</f>
        <v>76899.548800634715</v>
      </c>
      <c r="U57" s="250">
        <f t="shared" si="9"/>
        <v>176393338.47551617</v>
      </c>
      <c r="V57" s="48">
        <f t="shared" si="10"/>
        <v>3247369.3011360466</v>
      </c>
      <c r="W57" s="109">
        <f t="shared" si="11"/>
        <v>2.3066686192671295E-2</v>
      </c>
      <c r="X57" s="13">
        <f t="shared" si="4"/>
        <v>2.3066686192671295E-2</v>
      </c>
      <c r="Y57"/>
      <c r="Z57"/>
    </row>
    <row r="58" spans="1:26" x14ac:dyDescent="0.2">
      <c r="A58" s="247">
        <v>41152</v>
      </c>
      <c r="B58" s="253">
        <f>132844609.09+(27225356.55/9)+(5510021/12)</f>
        <v>136328817.12333333</v>
      </c>
      <c r="C58" s="248">
        <f>'WMP pivot'!J91</f>
        <v>4204469.1301214648</v>
      </c>
      <c r="D58" s="248">
        <f t="shared" si="12"/>
        <v>132124347.99321187</v>
      </c>
      <c r="E58" s="248">
        <v>27239999.76065103</v>
      </c>
      <c r="F58" s="248">
        <f>'CDM Activity '!H139</f>
        <v>3590545.1043340596</v>
      </c>
      <c r="G58" s="290">
        <v>1.0312050433546698</v>
      </c>
      <c r="H58" s="248">
        <f t="shared" si="5"/>
        <v>3702588.2199817011</v>
      </c>
      <c r="I58" s="248">
        <f t="shared" si="6"/>
        <v>163066935.97384459</v>
      </c>
      <c r="J58" s="254">
        <v>19.399999999999999</v>
      </c>
      <c r="K58" s="254">
        <v>58.1</v>
      </c>
      <c r="L58" s="250">
        <v>31</v>
      </c>
      <c r="M58" s="248">
        <v>0</v>
      </c>
      <c r="N58" s="248">
        <v>352</v>
      </c>
      <c r="O58" s="250">
        <v>0</v>
      </c>
      <c r="P58" s="251">
        <v>50.6</v>
      </c>
      <c r="Q58" s="288">
        <v>56</v>
      </c>
      <c r="R58" s="248">
        <v>678.5</v>
      </c>
      <c r="S58" s="252">
        <v>144.02184986197204</v>
      </c>
      <c r="T58" s="248">
        <f>T57+(T68-T56)/12</f>
        <v>76945.428385153034</v>
      </c>
      <c r="U58" s="250">
        <f t="shared" si="9"/>
        <v>160480872.15012631</v>
      </c>
      <c r="V58" s="48">
        <f t="shared" si="10"/>
        <v>-2586063.8237182796</v>
      </c>
      <c r="W58" s="109">
        <f t="shared" si="11"/>
        <v>-1.957295428887296E-2</v>
      </c>
      <c r="X58" s="13">
        <f t="shared" si="4"/>
        <v>1.957295428887296E-2</v>
      </c>
      <c r="Y58"/>
      <c r="Z58"/>
    </row>
    <row r="59" spans="1:26" x14ac:dyDescent="0.2">
      <c r="A59" s="247">
        <v>41182</v>
      </c>
      <c r="B59" s="253">
        <f>115005427.27+(27225356.55/9)+(5510021/12)</f>
        <v>118489635.30333333</v>
      </c>
      <c r="C59" s="248">
        <f>'WMP pivot'!J92</f>
        <v>3823441.8692706958</v>
      </c>
      <c r="D59" s="248">
        <f t="shared" si="12"/>
        <v>114666193.43406263</v>
      </c>
      <c r="E59" s="248">
        <v>24579119.487610247</v>
      </c>
      <c r="F59" s="248">
        <f>'CDM Activity '!H140</f>
        <v>3640015.0071852277</v>
      </c>
      <c r="G59" s="290">
        <v>1.0312050433546698</v>
      </c>
      <c r="H59" s="248">
        <f t="shared" si="5"/>
        <v>3753601.8332960913</v>
      </c>
      <c r="I59" s="248">
        <f t="shared" si="6"/>
        <v>142998914.75496897</v>
      </c>
      <c r="J59" s="254">
        <v>125.4</v>
      </c>
      <c r="K59" s="254">
        <v>16.399999999999999</v>
      </c>
      <c r="L59" s="250">
        <v>30</v>
      </c>
      <c r="M59" s="248">
        <v>1</v>
      </c>
      <c r="N59" s="248">
        <v>304</v>
      </c>
      <c r="O59" s="250">
        <v>0</v>
      </c>
      <c r="P59" s="251">
        <v>50.8</v>
      </c>
      <c r="Q59" s="288">
        <v>57</v>
      </c>
      <c r="R59" s="248">
        <v>671.9</v>
      </c>
      <c r="S59" s="252">
        <v>144.22430812989595</v>
      </c>
      <c r="T59" s="248">
        <f>T58+(T68-T56)/12</f>
        <v>76991.307969671354</v>
      </c>
      <c r="U59" s="250">
        <f t="shared" si="9"/>
        <v>140344026.98356387</v>
      </c>
      <c r="V59" s="48">
        <f t="shared" si="10"/>
        <v>-2654887.7714051008</v>
      </c>
      <c r="W59" s="109">
        <f t="shared" si="11"/>
        <v>-2.3153186583557087E-2</v>
      </c>
      <c r="X59" s="13">
        <f t="shared" si="4"/>
        <v>2.3153186583557087E-2</v>
      </c>
      <c r="Y59"/>
      <c r="Z59"/>
    </row>
    <row r="60" spans="1:26" x14ac:dyDescent="0.2">
      <c r="A60" s="247">
        <v>41213</v>
      </c>
      <c r="B60" s="253">
        <f>116946700+(27225356.55/9)+(5510021/12)</f>
        <v>120430908.03333333</v>
      </c>
      <c r="C60" s="248">
        <f>'WMP pivot'!J93</f>
        <v>3686580.7537210681</v>
      </c>
      <c r="D60" s="248">
        <f t="shared" si="12"/>
        <v>116744327.27961226</v>
      </c>
      <c r="E60" s="248">
        <v>25165133.432447501</v>
      </c>
      <c r="F60" s="248">
        <f>'CDM Activity '!H141</f>
        <v>3689484.9100363958</v>
      </c>
      <c r="G60" s="290">
        <v>1.0312050433546698</v>
      </c>
      <c r="H60" s="248">
        <f t="shared" si="5"/>
        <v>3804615.4466104815</v>
      </c>
      <c r="I60" s="248">
        <f t="shared" si="6"/>
        <v>145714076.15867025</v>
      </c>
      <c r="J60" s="254">
        <v>279.2</v>
      </c>
      <c r="K60" s="254">
        <v>0</v>
      </c>
      <c r="L60" s="250">
        <v>31</v>
      </c>
      <c r="M60" s="248">
        <v>1</v>
      </c>
      <c r="N60" s="248">
        <v>352</v>
      </c>
      <c r="O60" s="250">
        <v>0</v>
      </c>
      <c r="P60" s="251">
        <v>46.2</v>
      </c>
      <c r="Q60" s="288">
        <v>58</v>
      </c>
      <c r="R60" s="248">
        <v>672.8</v>
      </c>
      <c r="S60" s="252">
        <v>144.42705100290087</v>
      </c>
      <c r="T60" s="248">
        <f>T59+(T68-T56)/12</f>
        <v>77037.187554189673</v>
      </c>
      <c r="U60" s="250">
        <f t="shared" si="9"/>
        <v>147070130.40600517</v>
      </c>
      <c r="V60" s="48">
        <f t="shared" si="10"/>
        <v>1356054.2473349273</v>
      </c>
      <c r="W60" s="109">
        <f t="shared" si="11"/>
        <v>1.1615590058496512E-2</v>
      </c>
      <c r="X60" s="13">
        <f t="shared" si="4"/>
        <v>1.1615590058496512E-2</v>
      </c>
      <c r="Y60"/>
      <c r="Z60"/>
    </row>
    <row r="61" spans="1:26" x14ac:dyDescent="0.2">
      <c r="A61" s="247">
        <v>41243</v>
      </c>
      <c r="B61" s="253">
        <f>120693809.09+(27225356.55/9)+(5510021/12)</f>
        <v>124178017.12333333</v>
      </c>
      <c r="C61" s="248">
        <f>'WMP pivot'!J94</f>
        <v>3435397.2584457616</v>
      </c>
      <c r="D61" s="248">
        <f t="shared" si="12"/>
        <v>120742619.86488758</v>
      </c>
      <c r="E61" s="248">
        <v>24523211.021009952</v>
      </c>
      <c r="F61" s="248">
        <f>'CDM Activity '!H142</f>
        <v>3738954.8128875638</v>
      </c>
      <c r="G61" s="290">
        <v>1.0312050433546698</v>
      </c>
      <c r="H61" s="248">
        <f t="shared" si="5"/>
        <v>3855629.0599248717</v>
      </c>
      <c r="I61" s="248">
        <f t="shared" si="6"/>
        <v>149121459.94582239</v>
      </c>
      <c r="J61" s="254">
        <v>483.6</v>
      </c>
      <c r="K61" s="254">
        <v>0</v>
      </c>
      <c r="L61" s="250">
        <v>30</v>
      </c>
      <c r="M61" s="248">
        <v>1</v>
      </c>
      <c r="N61" s="248">
        <v>352</v>
      </c>
      <c r="O61" s="250">
        <v>0</v>
      </c>
      <c r="P61" s="251">
        <v>41.6</v>
      </c>
      <c r="Q61" s="288">
        <v>59</v>
      </c>
      <c r="R61" s="248">
        <v>676.8</v>
      </c>
      <c r="S61" s="252">
        <v>144.63007888106955</v>
      </c>
      <c r="T61" s="248">
        <f>T60+(T68-T56)/12</f>
        <v>77083.067138707993</v>
      </c>
      <c r="U61" s="250">
        <f t="shared" si="9"/>
        <v>150756156.41462019</v>
      </c>
      <c r="V61" s="48">
        <f t="shared" si="10"/>
        <v>1634696.4687978029</v>
      </c>
      <c r="W61" s="109">
        <f t="shared" si="11"/>
        <v>1.3538686427601518E-2</v>
      </c>
      <c r="X61" s="13">
        <f t="shared" si="4"/>
        <v>1.3538686427601518E-2</v>
      </c>
      <c r="Y61"/>
      <c r="Z61"/>
    </row>
    <row r="62" spans="1:26" x14ac:dyDescent="0.2">
      <c r="A62" s="247">
        <v>41274</v>
      </c>
      <c r="B62" s="253">
        <f>121548763.64+(27225356.55/9)+(5510021/12)</f>
        <v>125032971.67333333</v>
      </c>
      <c r="C62" s="248">
        <f>'WMP pivot'!J95</f>
        <v>3448510.9882503077</v>
      </c>
      <c r="D62" s="248">
        <f t="shared" si="12"/>
        <v>121584460.68508303</v>
      </c>
      <c r="E62" s="248">
        <v>23381741.64192152</v>
      </c>
      <c r="F62" s="248">
        <f>'CDM Activity '!H143</f>
        <v>3788424.7157387319</v>
      </c>
      <c r="G62" s="290">
        <v>1.0312050433546698</v>
      </c>
      <c r="H62" s="248">
        <f t="shared" si="5"/>
        <v>3906642.6732392614</v>
      </c>
      <c r="I62" s="248">
        <f t="shared" si="6"/>
        <v>148872845.00024381</v>
      </c>
      <c r="J62" s="254">
        <v>565.5</v>
      </c>
      <c r="K62" s="254">
        <v>0</v>
      </c>
      <c r="L62" s="250">
        <v>31</v>
      </c>
      <c r="M62" s="248">
        <v>0</v>
      </c>
      <c r="N62" s="248">
        <v>304</v>
      </c>
      <c r="O62" s="250">
        <v>0</v>
      </c>
      <c r="P62" s="251">
        <v>43.2</v>
      </c>
      <c r="Q62" s="288">
        <v>60</v>
      </c>
      <c r="R62" s="248">
        <v>682.7</v>
      </c>
      <c r="S62" s="252">
        <v>144.83339216504706</v>
      </c>
      <c r="T62" s="248">
        <f>T61+(T68-T56)/12</f>
        <v>77128.946723226312</v>
      </c>
      <c r="U62" s="250">
        <f t="shared" si="9"/>
        <v>153626106.03859496</v>
      </c>
      <c r="V62" s="48">
        <f t="shared" si="10"/>
        <v>4753261.0383511484</v>
      </c>
      <c r="W62" s="109">
        <f t="shared" si="11"/>
        <v>3.9094313628306593E-2</v>
      </c>
      <c r="X62" s="13">
        <f t="shared" si="4"/>
        <v>3.9094313628306593E-2</v>
      </c>
      <c r="Y62"/>
      <c r="Z62"/>
    </row>
    <row r="63" spans="1:26" x14ac:dyDescent="0.2">
      <c r="A63" s="247">
        <v>41305</v>
      </c>
      <c r="B63" s="255"/>
      <c r="C63" s="248"/>
      <c r="D63" s="255">
        <v>130239205.85000011</v>
      </c>
      <c r="E63" s="255">
        <v>27328129.305099774</v>
      </c>
      <c r="F63" s="248">
        <f>'CDM Activity '!H144</f>
        <v>3883154.3251877506</v>
      </c>
      <c r="G63" s="290">
        <v>1.0201625089689035</v>
      </c>
      <c r="H63" s="248">
        <f t="shared" si="5"/>
        <v>3961448.4590969849</v>
      </c>
      <c r="I63" s="248">
        <f t="shared" si="6"/>
        <v>161528783.6141969</v>
      </c>
      <c r="J63" s="256">
        <v>681.3</v>
      </c>
      <c r="K63" s="256">
        <v>0</v>
      </c>
      <c r="L63" s="250">
        <v>31</v>
      </c>
      <c r="M63" s="248">
        <v>0</v>
      </c>
      <c r="N63" s="248">
        <v>352</v>
      </c>
      <c r="O63" s="250">
        <v>0</v>
      </c>
      <c r="P63" s="251">
        <v>44.9</v>
      </c>
      <c r="Q63" s="288">
        <v>61</v>
      </c>
      <c r="R63" s="248">
        <v>681.6</v>
      </c>
      <c r="S63" s="252">
        <v>144.98936781896037</v>
      </c>
      <c r="T63" s="248">
        <f>T62+(T68-T56)/12</f>
        <v>77174.826307744632</v>
      </c>
      <c r="U63" s="250">
        <f t="shared" si="9"/>
        <v>159724115.73833463</v>
      </c>
      <c r="V63" s="48">
        <f t="shared" si="10"/>
        <v>-1804667.8758622706</v>
      </c>
      <c r="W63" s="109">
        <f t="shared" si="11"/>
        <v>-1.3856563882466802E-2</v>
      </c>
      <c r="X63" s="13">
        <f t="shared" ref="X63:X122" si="13">ABS(W63)</f>
        <v>1.3856563882466802E-2</v>
      </c>
      <c r="Y63"/>
      <c r="Z63"/>
    </row>
    <row r="64" spans="1:26" x14ac:dyDescent="0.2">
      <c r="A64" s="247">
        <v>41333</v>
      </c>
      <c r="B64" s="255"/>
      <c r="C64" s="248"/>
      <c r="D64" s="255">
        <v>119027524.23999999</v>
      </c>
      <c r="E64" s="255">
        <v>23863592.64644786</v>
      </c>
      <c r="F64" s="248">
        <f>'CDM Activity '!H145</f>
        <v>3977883.9346367694</v>
      </c>
      <c r="G64" s="290">
        <v>1.0201625089689035</v>
      </c>
      <c r="H64" s="248">
        <f t="shared" si="5"/>
        <v>4058088.0551461405</v>
      </c>
      <c r="I64" s="248">
        <f t="shared" si="6"/>
        <v>146949204.94159397</v>
      </c>
      <c r="J64" s="256">
        <v>697.9000000000002</v>
      </c>
      <c r="K64" s="256">
        <v>0</v>
      </c>
      <c r="L64" s="250">
        <v>28</v>
      </c>
      <c r="M64" s="248">
        <v>0</v>
      </c>
      <c r="N64" s="248">
        <v>304</v>
      </c>
      <c r="O64" s="250">
        <v>0</v>
      </c>
      <c r="P64" s="251">
        <v>48</v>
      </c>
      <c r="Q64" s="288">
        <v>62</v>
      </c>
      <c r="R64" s="248">
        <v>682.6</v>
      </c>
      <c r="S64" s="252">
        <v>145.14551144798114</v>
      </c>
      <c r="T64" s="248">
        <f>T63+(T68-T56)/12</f>
        <v>77220.705892262951</v>
      </c>
      <c r="U64" s="250">
        <f t="shared" si="9"/>
        <v>147551785.97087666</v>
      </c>
      <c r="V64" s="48">
        <f t="shared" si="10"/>
        <v>602581.02928268909</v>
      </c>
      <c r="W64" s="109">
        <f t="shared" si="11"/>
        <v>5.0625351836074547E-3</v>
      </c>
      <c r="X64" s="13">
        <f t="shared" si="13"/>
        <v>5.0625351836074547E-3</v>
      </c>
      <c r="Y64"/>
      <c r="Z64"/>
    </row>
    <row r="65" spans="1:26" x14ac:dyDescent="0.2">
      <c r="A65" s="247">
        <v>41364</v>
      </c>
      <c r="B65" s="255"/>
      <c r="C65" s="248"/>
      <c r="D65" s="255">
        <v>124413462.86000001</v>
      </c>
      <c r="E65" s="255">
        <v>25182656.922452293</v>
      </c>
      <c r="F65" s="248">
        <f>'CDM Activity '!H146</f>
        <v>4072613.5440857881</v>
      </c>
      <c r="G65" s="290">
        <v>1.0201625089689035</v>
      </c>
      <c r="H65" s="248">
        <f t="shared" si="5"/>
        <v>4154727.6511952956</v>
      </c>
      <c r="I65" s="248">
        <f t="shared" si="6"/>
        <v>153750847.4336476</v>
      </c>
      <c r="J65" s="256">
        <v>612</v>
      </c>
      <c r="K65" s="256">
        <v>0</v>
      </c>
      <c r="L65" s="250">
        <v>31</v>
      </c>
      <c r="M65" s="248">
        <v>1</v>
      </c>
      <c r="N65" s="248">
        <v>320</v>
      </c>
      <c r="O65" s="250">
        <v>0</v>
      </c>
      <c r="P65" s="251">
        <v>49</v>
      </c>
      <c r="Q65" s="288">
        <v>63</v>
      </c>
      <c r="R65" s="248">
        <v>683.6</v>
      </c>
      <c r="S65" s="252">
        <v>145.30182323300707</v>
      </c>
      <c r="T65" s="248">
        <f>T64+(T68-T56)/12</f>
        <v>77266.585476781271</v>
      </c>
      <c r="U65" s="250">
        <f t="shared" si="9"/>
        <v>150552523.05649215</v>
      </c>
      <c r="V65" s="48">
        <f t="shared" si="10"/>
        <v>-3198324.377155453</v>
      </c>
      <c r="W65" s="109">
        <f t="shared" si="11"/>
        <v>-2.5707220936004839E-2</v>
      </c>
      <c r="X65" s="13">
        <f t="shared" si="13"/>
        <v>2.5707220936004839E-2</v>
      </c>
      <c r="Z65"/>
    </row>
    <row r="66" spans="1:26" x14ac:dyDescent="0.2">
      <c r="A66" s="247">
        <v>41394</v>
      </c>
      <c r="B66" s="255"/>
      <c r="C66" s="248"/>
      <c r="D66" s="255">
        <v>116362141.24000001</v>
      </c>
      <c r="E66" s="255">
        <v>23103709.165386584</v>
      </c>
      <c r="F66" s="248">
        <f>'CDM Activity '!H147</f>
        <v>4167343.1535348068</v>
      </c>
      <c r="G66" s="290">
        <v>1.0201625089689035</v>
      </c>
      <c r="H66" s="248">
        <f t="shared" si="5"/>
        <v>4251367.2472444512</v>
      </c>
      <c r="I66" s="248">
        <f t="shared" si="6"/>
        <v>143717217.65263104</v>
      </c>
      <c r="J66" s="256">
        <v>368.7</v>
      </c>
      <c r="K66" s="256">
        <v>0</v>
      </c>
      <c r="L66" s="250">
        <v>30</v>
      </c>
      <c r="M66" s="248">
        <v>1</v>
      </c>
      <c r="N66" s="248">
        <v>352</v>
      </c>
      <c r="O66" s="250">
        <v>0</v>
      </c>
      <c r="P66" s="251">
        <v>50.4</v>
      </c>
      <c r="Q66" s="288">
        <v>64</v>
      </c>
      <c r="R66" s="248">
        <v>685.4</v>
      </c>
      <c r="S66" s="252">
        <v>145.45830335513068</v>
      </c>
      <c r="T66" s="248">
        <f>T65+(T68-T56)/12</f>
        <v>77312.46506129959</v>
      </c>
      <c r="U66" s="250">
        <f t="shared" si="9"/>
        <v>145108212.42248493</v>
      </c>
      <c r="V66" s="48">
        <f t="shared" si="10"/>
        <v>1390994.7698538899</v>
      </c>
      <c r="W66" s="109">
        <f t="shared" si="11"/>
        <v>1.1954014897207214E-2</v>
      </c>
      <c r="X66" s="13">
        <f t="shared" si="13"/>
        <v>1.1954014897207214E-2</v>
      </c>
      <c r="Z66"/>
    </row>
    <row r="67" spans="1:26" x14ac:dyDescent="0.2">
      <c r="A67" s="247">
        <v>41425</v>
      </c>
      <c r="B67" s="255"/>
      <c r="C67" s="248"/>
      <c r="D67" s="255">
        <v>118146376.19000001</v>
      </c>
      <c r="E67" s="255">
        <v>22525109.77955319</v>
      </c>
      <c r="F67" s="248">
        <f>'CDM Activity '!H148</f>
        <v>4262072.762983826</v>
      </c>
      <c r="G67" s="290">
        <v>1.0201625089689035</v>
      </c>
      <c r="H67" s="248">
        <f t="shared" si="5"/>
        <v>4348006.8432936063</v>
      </c>
      <c r="I67" s="248">
        <f t="shared" si="6"/>
        <v>145019492.81284681</v>
      </c>
      <c r="J67" s="256">
        <v>152.10000000000002</v>
      </c>
      <c r="K67" s="256">
        <v>19.600000000000001</v>
      </c>
      <c r="L67" s="250">
        <v>31</v>
      </c>
      <c r="M67" s="248">
        <v>1</v>
      </c>
      <c r="N67" s="248">
        <v>352</v>
      </c>
      <c r="O67" s="250">
        <v>0</v>
      </c>
      <c r="P67" s="251">
        <v>53.1</v>
      </c>
      <c r="Q67" s="288">
        <v>65</v>
      </c>
      <c r="R67" s="248">
        <v>690.3</v>
      </c>
      <c r="S67" s="252">
        <v>145.6149519956395</v>
      </c>
      <c r="T67" s="248">
        <f>T66+(T68-T56)/12</f>
        <v>77358.34464581791</v>
      </c>
      <c r="U67" s="250">
        <f t="shared" ref="U67:U98" si="14">$AB$18+$AB$19*J67+$AB$20*K67+$AB$21*L67+$AB$22*M67+$AB$23*N67+$AB$24*O67+$AB$25*P67</f>
        <v>147649813.54610127</v>
      </c>
      <c r="V67" s="48">
        <f t="shared" ref="V67:V98" si="15">U67-I67</f>
        <v>2630320.7332544625</v>
      </c>
      <c r="W67" s="109">
        <f t="shared" ref="W67:W98" si="16">V67/D67</f>
        <v>2.2263236656742205E-2</v>
      </c>
      <c r="X67" s="13">
        <f t="shared" si="13"/>
        <v>2.2263236656742205E-2</v>
      </c>
      <c r="Z67"/>
    </row>
    <row r="68" spans="1:26" x14ac:dyDescent="0.2">
      <c r="A68" s="247">
        <v>41455</v>
      </c>
      <c r="B68" s="255"/>
      <c r="C68" s="248"/>
      <c r="D68" s="255">
        <v>122367903.53999999</v>
      </c>
      <c r="E68" s="255">
        <v>23676410.47848928</v>
      </c>
      <c r="F68" s="248">
        <f>'CDM Activity '!H149</f>
        <v>4356802.3724328447</v>
      </c>
      <c r="G68" s="290">
        <v>1.0201625089689035</v>
      </c>
      <c r="H68" s="248">
        <f t="shared" ref="H68:H131" si="17">F68*G68</f>
        <v>4444646.4393427623</v>
      </c>
      <c r="I68" s="248">
        <f t="shared" ref="I68:I122" si="18">D68+E68+H68</f>
        <v>150488960.45783204</v>
      </c>
      <c r="J68" s="256">
        <v>46.4</v>
      </c>
      <c r="K68" s="256">
        <v>31.3</v>
      </c>
      <c r="L68" s="250">
        <v>30</v>
      </c>
      <c r="M68" s="248">
        <v>0</v>
      </c>
      <c r="N68" s="248">
        <v>320</v>
      </c>
      <c r="O68" s="250">
        <v>0</v>
      </c>
      <c r="P68" s="251">
        <v>52.3</v>
      </c>
      <c r="Q68" s="288">
        <v>66</v>
      </c>
      <c r="R68" s="248">
        <v>696.7</v>
      </c>
      <c r="S68" s="252">
        <v>145.77176933601632</v>
      </c>
      <c r="T68" s="248">
        <f>'Rate Class Customer Model'!S16</f>
        <v>77404.224230336258</v>
      </c>
      <c r="U68" s="250">
        <f t="shared" si="14"/>
        <v>147309443.45113054</v>
      </c>
      <c r="V68" s="48">
        <f t="shared" si="15"/>
        <v>-3179517.0067014992</v>
      </c>
      <c r="W68" s="109">
        <f t="shared" si="16"/>
        <v>-2.5983259618909536E-2</v>
      </c>
      <c r="X68" s="13">
        <f t="shared" si="13"/>
        <v>2.5983259618909536E-2</v>
      </c>
      <c r="Z68"/>
    </row>
    <row r="69" spans="1:26" x14ac:dyDescent="0.2">
      <c r="A69" s="247">
        <v>41486</v>
      </c>
      <c r="B69" s="255"/>
      <c r="C69" s="248"/>
      <c r="D69" s="255">
        <v>135746384.00999999</v>
      </c>
      <c r="E69" s="255">
        <v>27777445.86362743</v>
      </c>
      <c r="F69" s="248">
        <f>'CDM Activity '!H150</f>
        <v>4451531.9818818634</v>
      </c>
      <c r="G69" s="290">
        <v>1.0201625089689035</v>
      </c>
      <c r="H69" s="248">
        <f t="shared" si="17"/>
        <v>4541286.0353919175</v>
      </c>
      <c r="I69" s="248">
        <f t="shared" si="18"/>
        <v>168065115.90901935</v>
      </c>
      <c r="J69" s="256">
        <v>15.100000000000001</v>
      </c>
      <c r="K69" s="256">
        <v>85.9</v>
      </c>
      <c r="L69" s="250">
        <v>31</v>
      </c>
      <c r="M69" s="248">
        <v>0</v>
      </c>
      <c r="N69" s="248">
        <v>352</v>
      </c>
      <c r="O69" s="250">
        <v>0</v>
      </c>
      <c r="P69" s="251">
        <v>54.6</v>
      </c>
      <c r="Q69" s="288">
        <v>67</v>
      </c>
      <c r="R69" s="248">
        <v>702.8</v>
      </c>
      <c r="S69" s="252">
        <v>145.92875555793933</v>
      </c>
      <c r="T69" s="248">
        <f>T68+(T80-T68)/12</f>
        <v>77444.986767424925</v>
      </c>
      <c r="U69" s="250">
        <f t="shared" si="14"/>
        <v>167209366.88069949</v>
      </c>
      <c r="V69" s="48">
        <f t="shared" si="15"/>
        <v>-855749.02831986547</v>
      </c>
      <c r="W69" s="109">
        <f t="shared" si="16"/>
        <v>-6.3040281666495454E-3</v>
      </c>
      <c r="X69" s="13">
        <f t="shared" si="13"/>
        <v>6.3040281666495454E-3</v>
      </c>
      <c r="Z69"/>
    </row>
    <row r="70" spans="1:26" x14ac:dyDescent="0.2">
      <c r="A70" s="247">
        <v>41517</v>
      </c>
      <c r="B70" s="255"/>
      <c r="C70" s="248"/>
      <c r="D70" s="255">
        <v>129053598.92999999</v>
      </c>
      <c r="E70" s="255">
        <v>27247873.979183346</v>
      </c>
      <c r="F70" s="248">
        <f>'CDM Activity '!H151</f>
        <v>4546261.5913308822</v>
      </c>
      <c r="G70" s="290">
        <v>1.0201625089689035</v>
      </c>
      <c r="H70" s="248">
        <f t="shared" si="17"/>
        <v>4637925.6314410726</v>
      </c>
      <c r="I70" s="248">
        <f t="shared" si="18"/>
        <v>160939398.54062441</v>
      </c>
      <c r="J70" s="256">
        <v>32.700000000000003</v>
      </c>
      <c r="K70" s="256">
        <v>42.1</v>
      </c>
      <c r="L70" s="250">
        <v>31</v>
      </c>
      <c r="M70" s="248">
        <v>0</v>
      </c>
      <c r="N70" s="248">
        <v>336</v>
      </c>
      <c r="O70" s="250">
        <v>0</v>
      </c>
      <c r="P70" s="251">
        <v>52.7</v>
      </c>
      <c r="Q70" s="288">
        <v>68</v>
      </c>
      <c r="R70" s="248">
        <v>701.4</v>
      </c>
      <c r="S70" s="252">
        <v>146.08591084328242</v>
      </c>
      <c r="T70" s="248">
        <f>T69+(T80-T68)/12</f>
        <v>77485.749304513593</v>
      </c>
      <c r="U70" s="250">
        <f t="shared" si="14"/>
        <v>153882045.76937947</v>
      </c>
      <c r="V70" s="48">
        <f t="shared" si="15"/>
        <v>-7057352.7712449431</v>
      </c>
      <c r="W70" s="109">
        <f t="shared" si="16"/>
        <v>-5.4685439458940811E-2</v>
      </c>
      <c r="X70" s="13">
        <f t="shared" si="13"/>
        <v>5.4685439458940811E-2</v>
      </c>
      <c r="Z70"/>
    </row>
    <row r="71" spans="1:26" x14ac:dyDescent="0.2">
      <c r="A71" s="247">
        <v>41547</v>
      </c>
      <c r="B71" s="255"/>
      <c r="C71" s="248"/>
      <c r="D71" s="255">
        <v>117047083.73</v>
      </c>
      <c r="E71" s="255">
        <v>24761837.415477086</v>
      </c>
      <c r="F71" s="248">
        <f>'CDM Activity '!H152</f>
        <v>4640991.2007799009</v>
      </c>
      <c r="G71" s="290">
        <v>1.0201625089689035</v>
      </c>
      <c r="H71" s="248">
        <f t="shared" si="17"/>
        <v>4734565.2274902277</v>
      </c>
      <c r="I71" s="248">
        <f t="shared" si="18"/>
        <v>146543486.3729673</v>
      </c>
      <c r="J71" s="256">
        <v>128.10000000000002</v>
      </c>
      <c r="K71" s="256">
        <v>20.5</v>
      </c>
      <c r="L71" s="250">
        <v>30</v>
      </c>
      <c r="M71" s="248">
        <v>1</v>
      </c>
      <c r="N71" s="248">
        <v>320</v>
      </c>
      <c r="O71" s="250">
        <v>0</v>
      </c>
      <c r="P71" s="251">
        <v>50.4</v>
      </c>
      <c r="Q71" s="288">
        <v>69</v>
      </c>
      <c r="R71" s="248">
        <v>698.4</v>
      </c>
      <c r="S71" s="252">
        <v>146.2432353741153</v>
      </c>
      <c r="T71" s="248">
        <f>T70+(T80-T68)/12</f>
        <v>77526.51184160226</v>
      </c>
      <c r="U71" s="250">
        <f t="shared" si="14"/>
        <v>143154446.86168885</v>
      </c>
      <c r="V71" s="48">
        <f t="shared" si="15"/>
        <v>-3389039.5112784505</v>
      </c>
      <c r="W71" s="109">
        <f t="shared" si="16"/>
        <v>-2.8954497654090767E-2</v>
      </c>
      <c r="X71" s="13">
        <f t="shared" si="13"/>
        <v>2.8954497654090767E-2</v>
      </c>
      <c r="Z71"/>
    </row>
    <row r="72" spans="1:26" x14ac:dyDescent="0.2">
      <c r="A72" s="247">
        <v>41578</v>
      </c>
      <c r="B72" s="255"/>
      <c r="C72" s="248"/>
      <c r="D72" s="255">
        <v>118510857.23</v>
      </c>
      <c r="E72" s="255">
        <v>23808060.8365019</v>
      </c>
      <c r="F72" s="248">
        <f>'CDM Activity '!H153</f>
        <v>4735720.8102289196</v>
      </c>
      <c r="G72" s="290">
        <v>1.0201625089689035</v>
      </c>
      <c r="H72" s="248">
        <f t="shared" si="17"/>
        <v>4831204.8235393828</v>
      </c>
      <c r="I72" s="248">
        <f t="shared" si="18"/>
        <v>147150122.89004129</v>
      </c>
      <c r="J72" s="256">
        <v>255.50000000000003</v>
      </c>
      <c r="K72" s="256">
        <v>0</v>
      </c>
      <c r="L72" s="250">
        <v>31</v>
      </c>
      <c r="M72" s="248">
        <v>1</v>
      </c>
      <c r="N72" s="248">
        <v>352</v>
      </c>
      <c r="O72" s="250">
        <v>0</v>
      </c>
      <c r="P72" s="251">
        <v>43.5</v>
      </c>
      <c r="Q72" s="288">
        <v>70</v>
      </c>
      <c r="R72" s="248">
        <v>698.4</v>
      </c>
      <c r="S72" s="252">
        <v>146.4007293327038</v>
      </c>
      <c r="T72" s="248">
        <f>T71+(T80-T68)/12</f>
        <v>77567.274378690927</v>
      </c>
      <c r="U72" s="250">
        <f t="shared" si="14"/>
        <v>147515970.62592191</v>
      </c>
      <c r="V72" s="48">
        <f t="shared" si="15"/>
        <v>365847.73588061333</v>
      </c>
      <c r="W72" s="109">
        <f t="shared" si="16"/>
        <v>3.0870398242972301E-3</v>
      </c>
      <c r="X72" s="13">
        <f t="shared" si="13"/>
        <v>3.0870398242972301E-3</v>
      </c>
      <c r="Z72"/>
    </row>
    <row r="73" spans="1:26" x14ac:dyDescent="0.2">
      <c r="A73" s="247">
        <v>41608</v>
      </c>
      <c r="B73" s="255"/>
      <c r="C73" s="248"/>
      <c r="D73" s="255">
        <v>122250367.67999999</v>
      </c>
      <c r="E73" s="255">
        <v>24683256.6191446</v>
      </c>
      <c r="F73" s="248">
        <f>'CDM Activity '!H154</f>
        <v>4830450.4196779383</v>
      </c>
      <c r="G73" s="290">
        <v>1.0201625089689035</v>
      </c>
      <c r="H73" s="248">
        <f t="shared" si="17"/>
        <v>4927844.4195885379</v>
      </c>
      <c r="I73" s="248">
        <f t="shared" si="18"/>
        <v>151861468.71873313</v>
      </c>
      <c r="J73" s="256">
        <v>517.69999999999993</v>
      </c>
      <c r="K73" s="256">
        <v>0</v>
      </c>
      <c r="L73" s="250">
        <v>30</v>
      </c>
      <c r="M73" s="248">
        <v>1</v>
      </c>
      <c r="N73" s="248">
        <v>336</v>
      </c>
      <c r="O73" s="250">
        <v>0</v>
      </c>
      <c r="P73" s="251">
        <v>38.6</v>
      </c>
      <c r="Q73" s="288">
        <v>71</v>
      </c>
      <c r="R73" s="248">
        <v>700</v>
      </c>
      <c r="S73" s="252">
        <v>146.55839290151005</v>
      </c>
      <c r="T73" s="248">
        <f>T72+(T80-T68)/12</f>
        <v>77608.036915779594</v>
      </c>
      <c r="U73" s="250">
        <f t="shared" si="14"/>
        <v>151178764.34241229</v>
      </c>
      <c r="V73" s="48">
        <f t="shared" si="15"/>
        <v>-682704.37632083893</v>
      </c>
      <c r="W73" s="109">
        <f t="shared" si="16"/>
        <v>-5.5844770799207055E-3</v>
      </c>
      <c r="X73" s="13">
        <f t="shared" si="13"/>
        <v>5.5844770799207055E-3</v>
      </c>
      <c r="Z73"/>
    </row>
    <row r="74" spans="1:26" x14ac:dyDescent="0.2">
      <c r="A74" s="247">
        <v>41639</v>
      </c>
      <c r="B74" s="255"/>
      <c r="C74" s="248"/>
      <c r="D74" s="255">
        <v>126466735.50000012</v>
      </c>
      <c r="E74" s="255">
        <v>27084399.988636643</v>
      </c>
      <c r="F74" s="248">
        <f>'CDM Activity '!H155</f>
        <v>4925180.0291269571</v>
      </c>
      <c r="G74" s="290">
        <v>1.0201625089689035</v>
      </c>
      <c r="H74" s="248">
        <f t="shared" si="17"/>
        <v>5024484.0156376939</v>
      </c>
      <c r="I74" s="248">
        <f t="shared" si="18"/>
        <v>158575619.50427446</v>
      </c>
      <c r="J74" s="256">
        <v>727.3</v>
      </c>
      <c r="K74" s="256">
        <v>0</v>
      </c>
      <c r="L74" s="250">
        <v>31</v>
      </c>
      <c r="M74" s="248">
        <v>0</v>
      </c>
      <c r="N74" s="248">
        <v>320</v>
      </c>
      <c r="O74" s="250">
        <v>0</v>
      </c>
      <c r="P74" s="251">
        <v>38.9</v>
      </c>
      <c r="Q74" s="288">
        <v>72</v>
      </c>
      <c r="R74" s="248">
        <v>695.4</v>
      </c>
      <c r="S74" s="252">
        <v>146.71622626319265</v>
      </c>
      <c r="T74" s="248">
        <f>T73+(T80-T68)/12</f>
        <v>77648.799452868261</v>
      </c>
      <c r="U74" s="250">
        <f t="shared" si="14"/>
        <v>160084668.40163365</v>
      </c>
      <c r="V74" s="48">
        <f t="shared" si="15"/>
        <v>1509048.8973591924</v>
      </c>
      <c r="W74" s="109">
        <f t="shared" si="16"/>
        <v>1.1932378039118365E-2</v>
      </c>
      <c r="X74" s="13">
        <f t="shared" si="13"/>
        <v>1.1932378039118365E-2</v>
      </c>
      <c r="Z74"/>
    </row>
    <row r="75" spans="1:26" x14ac:dyDescent="0.2">
      <c r="A75" s="247">
        <v>41670</v>
      </c>
      <c r="B75" s="255"/>
      <c r="C75" s="248"/>
      <c r="D75" s="255">
        <v>135820222.94551274</v>
      </c>
      <c r="E75" s="255">
        <v>28861546.738988899</v>
      </c>
      <c r="F75" s="248">
        <f>'CDM Activity '!H156</f>
        <v>5042471.6014174633</v>
      </c>
      <c r="G75" s="290">
        <v>1.0300442866551462</v>
      </c>
      <c r="H75" s="248">
        <f t="shared" si="17"/>
        <v>5193969.0636608843</v>
      </c>
      <c r="I75" s="248">
        <f t="shared" si="18"/>
        <v>169875738.74816254</v>
      </c>
      <c r="J75" s="256">
        <v>827.9000000000002</v>
      </c>
      <c r="K75" s="256">
        <v>0</v>
      </c>
      <c r="L75" s="250">
        <v>31</v>
      </c>
      <c r="M75" s="248">
        <v>0</v>
      </c>
      <c r="N75" s="248">
        <v>352</v>
      </c>
      <c r="O75" s="250">
        <v>0</v>
      </c>
      <c r="P75" s="257">
        <v>42.2</v>
      </c>
      <c r="Q75" s="288">
        <v>73</v>
      </c>
      <c r="R75" s="248">
        <v>689.4</v>
      </c>
      <c r="S75" s="252">
        <v>147.04232175221028</v>
      </c>
      <c r="T75" s="248">
        <f>T74+(T80-T68)/12</f>
        <v>77689.561989956928</v>
      </c>
      <c r="U75" s="250">
        <f t="shared" si="14"/>
        <v>163887890.26663762</v>
      </c>
      <c r="V75" s="48">
        <f t="shared" si="15"/>
        <v>-5987848.4815249145</v>
      </c>
      <c r="W75" s="109">
        <f t="shared" si="16"/>
        <v>-4.4086575265946011E-2</v>
      </c>
      <c r="X75" s="13">
        <f t="shared" si="13"/>
        <v>4.4086575265946011E-2</v>
      </c>
      <c r="Y75" s="110"/>
      <c r="Z75"/>
    </row>
    <row r="76" spans="1:26" x14ac:dyDescent="0.2">
      <c r="A76" s="247">
        <v>41698</v>
      </c>
      <c r="B76" s="255"/>
      <c r="C76" s="248"/>
      <c r="D76" s="255">
        <v>120677101.24666667</v>
      </c>
      <c r="E76" s="255">
        <v>25328199.248120297</v>
      </c>
      <c r="F76" s="248">
        <f>'CDM Activity '!H157</f>
        <v>5159763.1737079695</v>
      </c>
      <c r="G76" s="290">
        <v>1.0300442866551462</v>
      </c>
      <c r="H76" s="248">
        <f t="shared" si="17"/>
        <v>5314784.5775715187</v>
      </c>
      <c r="I76" s="248">
        <f t="shared" si="18"/>
        <v>151320085.07235849</v>
      </c>
      <c r="J76" s="256">
        <v>775.2</v>
      </c>
      <c r="K76" s="256">
        <v>0</v>
      </c>
      <c r="L76" s="250">
        <v>28</v>
      </c>
      <c r="M76" s="248">
        <v>0</v>
      </c>
      <c r="N76" s="248">
        <v>304</v>
      </c>
      <c r="O76" s="250">
        <v>0</v>
      </c>
      <c r="P76" s="257">
        <v>43.2</v>
      </c>
      <c r="Q76" s="288">
        <v>74</v>
      </c>
      <c r="R76" s="248">
        <v>682.3</v>
      </c>
      <c r="S76" s="252">
        <v>147.36914202996238</v>
      </c>
      <c r="T76" s="248">
        <f>T75+(T80-T68)/12</f>
        <v>77730.324527045595</v>
      </c>
      <c r="U76" s="250">
        <f t="shared" si="14"/>
        <v>150951820.56297785</v>
      </c>
      <c r="V76" s="48">
        <f t="shared" si="15"/>
        <v>-368264.5093806386</v>
      </c>
      <c r="W76" s="109">
        <f t="shared" si="16"/>
        <v>-3.0516519337657755E-3</v>
      </c>
      <c r="X76" s="13">
        <f t="shared" si="13"/>
        <v>3.0516519337657755E-3</v>
      </c>
      <c r="Z76"/>
    </row>
    <row r="77" spans="1:26" x14ac:dyDescent="0.2">
      <c r="A77" s="247">
        <v>41729</v>
      </c>
      <c r="B77" s="255"/>
      <c r="C77" s="248"/>
      <c r="D77" s="255">
        <v>130033930.61333334</v>
      </c>
      <c r="E77" s="255">
        <v>26535369.333333336</v>
      </c>
      <c r="F77" s="248">
        <f>'CDM Activity '!H158</f>
        <v>5277054.7459984757</v>
      </c>
      <c r="G77" s="290">
        <v>1.0300442866551462</v>
      </c>
      <c r="H77" s="248">
        <f t="shared" si="17"/>
        <v>5435600.0914821541</v>
      </c>
      <c r="I77" s="248">
        <f t="shared" si="18"/>
        <v>162004900.03814885</v>
      </c>
      <c r="J77" s="256">
        <v>756.99999999999989</v>
      </c>
      <c r="K77" s="256">
        <v>0</v>
      </c>
      <c r="L77" s="250">
        <v>31</v>
      </c>
      <c r="M77" s="248">
        <v>1</v>
      </c>
      <c r="N77" s="248">
        <v>336</v>
      </c>
      <c r="O77" s="250">
        <v>0</v>
      </c>
      <c r="P77" s="257">
        <v>44.9</v>
      </c>
      <c r="Q77" s="288">
        <v>75</v>
      </c>
      <c r="R77" s="248">
        <v>680.2</v>
      </c>
      <c r="S77" s="252">
        <v>147.69668870738414</v>
      </c>
      <c r="T77" s="248">
        <f>T76+(T80-T68)/12</f>
        <v>77771.087064134263</v>
      </c>
      <c r="U77" s="250">
        <f t="shared" si="14"/>
        <v>156572961.35363293</v>
      </c>
      <c r="V77" s="48">
        <f t="shared" si="15"/>
        <v>-5431938.6845159233</v>
      </c>
      <c r="W77" s="109">
        <f t="shared" si="16"/>
        <v>-4.1773240714135164E-2</v>
      </c>
      <c r="X77" s="13">
        <f t="shared" si="13"/>
        <v>4.1773240714135164E-2</v>
      </c>
      <c r="Z77"/>
    </row>
    <row r="78" spans="1:26" x14ac:dyDescent="0.2">
      <c r="A78" s="247">
        <v>41759</v>
      </c>
      <c r="B78" s="255"/>
      <c r="C78" s="248"/>
      <c r="D78" s="255">
        <v>115340821.52000001</v>
      </c>
      <c r="E78" s="255">
        <v>22615671.989226624</v>
      </c>
      <c r="F78" s="248">
        <f>'CDM Activity '!H159</f>
        <v>5394346.3182889819</v>
      </c>
      <c r="G78" s="290">
        <v>1.0300442866551462</v>
      </c>
      <c r="H78" s="248">
        <f t="shared" si="17"/>
        <v>5556415.6053927885</v>
      </c>
      <c r="I78" s="248">
        <f t="shared" si="18"/>
        <v>143512909.1146194</v>
      </c>
      <c r="J78" s="256">
        <v>375.90000000000003</v>
      </c>
      <c r="K78" s="256">
        <v>0</v>
      </c>
      <c r="L78" s="250">
        <v>30</v>
      </c>
      <c r="M78" s="248">
        <v>1</v>
      </c>
      <c r="N78" s="248">
        <v>320</v>
      </c>
      <c r="O78" s="250">
        <v>0</v>
      </c>
      <c r="P78" s="257">
        <v>46</v>
      </c>
      <c r="Q78" s="288">
        <v>76</v>
      </c>
      <c r="R78" s="248">
        <v>679.4</v>
      </c>
      <c r="S78" s="252">
        <v>148.02496339899133</v>
      </c>
      <c r="T78" s="248">
        <f>T77+(T80-T68)/12</f>
        <v>77811.84960122293</v>
      </c>
      <c r="U78" s="250">
        <f t="shared" si="14"/>
        <v>144050880.71997315</v>
      </c>
      <c r="V78" s="48">
        <f t="shared" si="15"/>
        <v>537971.60535374284</v>
      </c>
      <c r="W78" s="109">
        <f t="shared" si="16"/>
        <v>4.6641908585717757E-3</v>
      </c>
      <c r="X78" s="13">
        <f t="shared" si="13"/>
        <v>4.6641908585717757E-3</v>
      </c>
      <c r="Z78"/>
    </row>
    <row r="79" spans="1:26" x14ac:dyDescent="0.2">
      <c r="A79" s="247">
        <v>41790</v>
      </c>
      <c r="B79" s="255"/>
      <c r="C79" s="248"/>
      <c r="D79" s="255">
        <v>116194343.06769232</v>
      </c>
      <c r="E79" s="255">
        <v>22402616.453585327</v>
      </c>
      <c r="F79" s="248">
        <f>'CDM Activity '!H160</f>
        <v>5511637.8905794881</v>
      </c>
      <c r="G79" s="290">
        <v>1.0300442866551462</v>
      </c>
      <c r="H79" s="248">
        <f t="shared" si="17"/>
        <v>5677231.1193034239</v>
      </c>
      <c r="I79" s="248">
        <f t="shared" si="18"/>
        <v>144274190.6405811</v>
      </c>
      <c r="J79" s="256">
        <v>135.70000000000002</v>
      </c>
      <c r="K79" s="256">
        <v>5.7</v>
      </c>
      <c r="L79" s="250">
        <v>31</v>
      </c>
      <c r="M79" s="248">
        <v>1</v>
      </c>
      <c r="N79" s="248">
        <v>336</v>
      </c>
      <c r="O79" s="250">
        <v>0</v>
      </c>
      <c r="P79" s="257">
        <v>48</v>
      </c>
      <c r="Q79" s="288">
        <v>77</v>
      </c>
      <c r="R79" s="248">
        <v>690</v>
      </c>
      <c r="S79" s="252">
        <v>148.35396772288814</v>
      </c>
      <c r="T79" s="248">
        <f>T78+(T80-T68)/12</f>
        <v>77852.612138311597</v>
      </c>
      <c r="U79" s="250">
        <f t="shared" si="14"/>
        <v>143594412.36277136</v>
      </c>
      <c r="V79" s="48">
        <f t="shared" si="15"/>
        <v>-679778.27780973911</v>
      </c>
      <c r="W79" s="109">
        <f t="shared" si="16"/>
        <v>-5.8503560488630231E-3</v>
      </c>
      <c r="X79" s="13">
        <f t="shared" si="13"/>
        <v>5.8503560488630231E-3</v>
      </c>
      <c r="Z79"/>
    </row>
    <row r="80" spans="1:26" x14ac:dyDescent="0.2">
      <c r="A80" s="247">
        <v>41820</v>
      </c>
      <c r="B80" s="255"/>
      <c r="C80" s="248"/>
      <c r="D80" s="255">
        <v>125124613.36846155</v>
      </c>
      <c r="E80" s="255">
        <v>24344554.854771785</v>
      </c>
      <c r="F80" s="248">
        <f>'CDM Activity '!H161</f>
        <v>5628929.4628699943</v>
      </c>
      <c r="G80" s="290">
        <v>1.0300442866551462</v>
      </c>
      <c r="H80" s="248">
        <f t="shared" si="17"/>
        <v>5798046.6332140593</v>
      </c>
      <c r="I80" s="248">
        <f t="shared" si="18"/>
        <v>155267214.8564474</v>
      </c>
      <c r="J80" s="256">
        <v>37.300000000000004</v>
      </c>
      <c r="K80" s="256">
        <v>44.3</v>
      </c>
      <c r="L80" s="250">
        <v>30</v>
      </c>
      <c r="M80" s="248">
        <v>0</v>
      </c>
      <c r="N80" s="248">
        <v>336</v>
      </c>
      <c r="O80" s="250">
        <v>0</v>
      </c>
      <c r="P80" s="257">
        <v>45.4</v>
      </c>
      <c r="Q80" s="288">
        <v>78</v>
      </c>
      <c r="R80" s="248">
        <v>704.4</v>
      </c>
      <c r="S80" s="252">
        <v>148.68370330077519</v>
      </c>
      <c r="T80" s="248">
        <f>'Rate Class Customer Model'!S17</f>
        <v>77893.374675400322</v>
      </c>
      <c r="U80" s="250">
        <f t="shared" si="14"/>
        <v>154822184.92775819</v>
      </c>
      <c r="V80" s="48">
        <f t="shared" si="15"/>
        <v>-445029.92868921161</v>
      </c>
      <c r="W80" s="109">
        <f t="shared" si="16"/>
        <v>-3.5566937368166464E-3</v>
      </c>
      <c r="X80" s="13">
        <f t="shared" si="13"/>
        <v>3.5566937368166464E-3</v>
      </c>
      <c r="Z80"/>
    </row>
    <row r="81" spans="1:26" x14ac:dyDescent="0.2">
      <c r="A81" s="247">
        <v>41851</v>
      </c>
      <c r="B81" s="255"/>
      <c r="C81" s="248"/>
      <c r="D81" s="255">
        <v>127319695.26000002</v>
      </c>
      <c r="E81" s="255">
        <v>25584932.225063939</v>
      </c>
      <c r="F81" s="248">
        <f>'CDM Activity '!H162</f>
        <v>5746221.0351605006</v>
      </c>
      <c r="G81" s="290">
        <v>1.0300442866551462</v>
      </c>
      <c r="H81" s="248">
        <f t="shared" si="17"/>
        <v>5918862.1471246937</v>
      </c>
      <c r="I81" s="248">
        <f t="shared" si="18"/>
        <v>158823489.63218868</v>
      </c>
      <c r="J81" s="256">
        <v>36.800000000000004</v>
      </c>
      <c r="K81" s="256">
        <v>31.500000000000004</v>
      </c>
      <c r="L81" s="250">
        <v>31</v>
      </c>
      <c r="M81" s="248">
        <v>0</v>
      </c>
      <c r="N81" s="248">
        <v>352</v>
      </c>
      <c r="O81" s="250">
        <v>0</v>
      </c>
      <c r="P81" s="257">
        <v>45.9</v>
      </c>
      <c r="Q81" s="288">
        <v>79</v>
      </c>
      <c r="R81" s="248">
        <v>715.1</v>
      </c>
      <c r="S81" s="252">
        <v>149.0141717579576</v>
      </c>
      <c r="T81" s="248">
        <f>T80+(T92-T80)/12</f>
        <v>77940.041357497626</v>
      </c>
      <c r="U81" s="250">
        <f t="shared" si="14"/>
        <v>154644193.69959131</v>
      </c>
      <c r="V81" s="48">
        <f t="shared" si="15"/>
        <v>-4179295.932597369</v>
      </c>
      <c r="W81" s="109">
        <f t="shared" si="16"/>
        <v>-3.2825211559474855E-2</v>
      </c>
      <c r="X81" s="13">
        <f t="shared" si="13"/>
        <v>3.2825211559474855E-2</v>
      </c>
      <c r="Y81"/>
      <c r="Z81"/>
    </row>
    <row r="82" spans="1:26" x14ac:dyDescent="0.2">
      <c r="A82" s="247">
        <v>41882</v>
      </c>
      <c r="B82" s="255"/>
      <c r="C82" s="248"/>
      <c r="D82" s="255">
        <v>125661579.63</v>
      </c>
      <c r="E82" s="255">
        <v>26911021.150717348</v>
      </c>
      <c r="F82" s="248">
        <f>'CDM Activity '!H163</f>
        <v>5863512.6074510068</v>
      </c>
      <c r="G82" s="290">
        <v>1.0300442866551462</v>
      </c>
      <c r="H82" s="248">
        <f t="shared" si="17"/>
        <v>6039677.6610353291</v>
      </c>
      <c r="I82" s="248">
        <f t="shared" si="18"/>
        <v>158612278.44175267</v>
      </c>
      <c r="J82" s="256">
        <v>31.099999999999998</v>
      </c>
      <c r="K82" s="256">
        <v>24.500000000000004</v>
      </c>
      <c r="L82" s="250">
        <v>31</v>
      </c>
      <c r="M82" s="248">
        <v>0</v>
      </c>
      <c r="N82" s="248">
        <v>320</v>
      </c>
      <c r="O82" s="250">
        <v>0</v>
      </c>
      <c r="P82" s="257">
        <v>45.7</v>
      </c>
      <c r="Q82" s="288">
        <v>80</v>
      </c>
      <c r="R82" s="248">
        <v>718.7</v>
      </c>
      <c r="S82" s="252">
        <v>149.34537472335285</v>
      </c>
      <c r="T82" s="248">
        <f>T81+(T92-T80)/12</f>
        <v>77986.708039594931</v>
      </c>
      <c r="U82" s="250">
        <f t="shared" si="14"/>
        <v>149729653.65455931</v>
      </c>
      <c r="V82" s="48">
        <f t="shared" si="15"/>
        <v>-8882624.7871933579</v>
      </c>
      <c r="W82" s="109">
        <f t="shared" si="16"/>
        <v>-7.0686878307176335E-2</v>
      </c>
      <c r="X82" s="13">
        <f t="shared" si="13"/>
        <v>7.0686878307176335E-2</v>
      </c>
      <c r="Y82"/>
      <c r="Z82"/>
    </row>
    <row r="83" spans="1:26" x14ac:dyDescent="0.2">
      <c r="A83" s="247">
        <v>41912</v>
      </c>
      <c r="B83" s="255"/>
      <c r="C83" s="248"/>
      <c r="D83" s="255">
        <v>118663196.43615384</v>
      </c>
      <c r="E83" s="255">
        <v>25539662.564360168</v>
      </c>
      <c r="F83" s="248">
        <f>'CDM Activity '!H164</f>
        <v>5980804.179741513</v>
      </c>
      <c r="G83" s="290">
        <v>1.0300442866551462</v>
      </c>
      <c r="H83" s="248">
        <f t="shared" si="17"/>
        <v>6160493.1749459635</v>
      </c>
      <c r="I83" s="248">
        <f t="shared" si="18"/>
        <v>150363352.17545995</v>
      </c>
      <c r="J83" s="256">
        <v>114.00000000000003</v>
      </c>
      <c r="K83" s="256">
        <v>11.4</v>
      </c>
      <c r="L83" s="250">
        <v>30</v>
      </c>
      <c r="M83" s="248">
        <v>1</v>
      </c>
      <c r="N83" s="248">
        <v>336</v>
      </c>
      <c r="O83" s="250">
        <v>0</v>
      </c>
      <c r="P83" s="257">
        <v>46.7</v>
      </c>
      <c r="Q83" s="288">
        <v>81</v>
      </c>
      <c r="R83" s="248">
        <v>719.3</v>
      </c>
      <c r="S83" s="252">
        <v>149.67731382949896</v>
      </c>
      <c r="T83" s="248">
        <f>T82+(T92-T80)/12</f>
        <v>78033.374721692235</v>
      </c>
      <c r="U83" s="250">
        <f t="shared" si="14"/>
        <v>142858415.54983017</v>
      </c>
      <c r="V83" s="48">
        <f t="shared" si="15"/>
        <v>-7504936.6256297827</v>
      </c>
      <c r="W83" s="109">
        <f t="shared" si="16"/>
        <v>-6.3245697495328948E-2</v>
      </c>
      <c r="X83" s="13">
        <f t="shared" si="13"/>
        <v>6.3245697495328948E-2</v>
      </c>
      <c r="Y83"/>
      <c r="Z83"/>
    </row>
    <row r="84" spans="1:26" x14ac:dyDescent="0.2">
      <c r="A84" s="247">
        <v>41943</v>
      </c>
      <c r="B84" s="255"/>
      <c r="C84" s="248"/>
      <c r="D84" s="255">
        <v>117719881.72769232</v>
      </c>
      <c r="E84" s="255">
        <v>24064979.528659873</v>
      </c>
      <c r="F84" s="248">
        <f>'CDM Activity '!H165</f>
        <v>6098095.7520320192</v>
      </c>
      <c r="G84" s="290">
        <v>1.0300442866551462</v>
      </c>
      <c r="H84" s="248">
        <f t="shared" si="17"/>
        <v>6281308.6888565989</v>
      </c>
      <c r="I84" s="248">
        <f t="shared" si="18"/>
        <v>148066169.94520879</v>
      </c>
      <c r="J84" s="256">
        <v>244.6</v>
      </c>
      <c r="K84" s="256">
        <v>0</v>
      </c>
      <c r="L84" s="250">
        <v>31</v>
      </c>
      <c r="M84" s="248">
        <v>1</v>
      </c>
      <c r="N84" s="248">
        <v>352</v>
      </c>
      <c r="O84" s="250">
        <v>0</v>
      </c>
      <c r="P84" s="257">
        <v>39.9</v>
      </c>
      <c r="Q84" s="288">
        <v>82</v>
      </c>
      <c r="R84" s="248">
        <v>723.5</v>
      </c>
      <c r="S84" s="252">
        <v>150.00999071256246</v>
      </c>
      <c r="T84" s="248">
        <f>T83+(T92-T80)/12</f>
        <v>78080.041403789539</v>
      </c>
      <c r="U84" s="250">
        <f t="shared" si="14"/>
        <v>148562339.93177056</v>
      </c>
      <c r="V84" s="48">
        <f t="shared" si="15"/>
        <v>496169.98656177521</v>
      </c>
      <c r="W84" s="109">
        <f t="shared" si="16"/>
        <v>4.2148359247379079E-3</v>
      </c>
      <c r="X84" s="13">
        <f t="shared" si="13"/>
        <v>4.2148359247379079E-3</v>
      </c>
      <c r="Y84"/>
      <c r="Z84"/>
    </row>
    <row r="85" spans="1:26" x14ac:dyDescent="0.2">
      <c r="A85" s="247">
        <v>41973</v>
      </c>
      <c r="B85" s="255"/>
      <c r="C85" s="248"/>
      <c r="D85" s="255">
        <v>121758308.65615384</v>
      </c>
      <c r="E85" s="255">
        <v>25243719.630709428</v>
      </c>
      <c r="F85" s="248">
        <f>'CDM Activity '!H166</f>
        <v>6215387.3243225254</v>
      </c>
      <c r="G85" s="290">
        <v>1.0300442866551462</v>
      </c>
      <c r="H85" s="248">
        <f t="shared" si="17"/>
        <v>6402124.2027672334</v>
      </c>
      <c r="I85" s="248">
        <f t="shared" si="18"/>
        <v>153404152.48963049</v>
      </c>
      <c r="J85" s="256">
        <v>521.9</v>
      </c>
      <c r="K85" s="256">
        <v>0</v>
      </c>
      <c r="L85" s="250">
        <v>30</v>
      </c>
      <c r="M85" s="248">
        <v>1</v>
      </c>
      <c r="N85" s="248">
        <v>304</v>
      </c>
      <c r="O85" s="250">
        <v>0</v>
      </c>
      <c r="P85" s="257">
        <v>36.6</v>
      </c>
      <c r="Q85" s="288">
        <v>83</v>
      </c>
      <c r="R85" s="248">
        <v>721</v>
      </c>
      <c r="S85" s="252">
        <v>150.34340701234646</v>
      </c>
      <c r="T85" s="248">
        <f>T84+(T92-T80)/12</f>
        <v>78126.708085886843</v>
      </c>
      <c r="U85" s="250">
        <f t="shared" si="14"/>
        <v>149199714.56929895</v>
      </c>
      <c r="V85" s="48">
        <f t="shared" si="15"/>
        <v>-4204437.9203315377</v>
      </c>
      <c r="W85" s="109">
        <f t="shared" si="16"/>
        <v>-3.45310144887516E-2</v>
      </c>
      <c r="X85" s="13">
        <f t="shared" si="13"/>
        <v>3.45310144887516E-2</v>
      </c>
      <c r="Y85"/>
      <c r="Z85"/>
    </row>
    <row r="86" spans="1:26" x14ac:dyDescent="0.2">
      <c r="A86" s="247">
        <v>42004</v>
      </c>
      <c r="B86" s="255"/>
      <c r="C86" s="248"/>
      <c r="D86" s="255">
        <v>124290571.52833325</v>
      </c>
      <c r="E86" s="255">
        <v>26383155.282462966</v>
      </c>
      <c r="F86" s="248">
        <f>'CDM Activity '!H167</f>
        <v>6332678.8966130316</v>
      </c>
      <c r="G86" s="290">
        <v>1.0300442866551462</v>
      </c>
      <c r="H86" s="248">
        <f t="shared" si="17"/>
        <v>6522939.7166778687</v>
      </c>
      <c r="I86" s="248">
        <f t="shared" si="18"/>
        <v>157196666.52747408</v>
      </c>
      <c r="J86" s="256">
        <v>597.6</v>
      </c>
      <c r="K86" s="256">
        <v>0</v>
      </c>
      <c r="L86" s="250">
        <v>31</v>
      </c>
      <c r="M86" s="248">
        <v>0</v>
      </c>
      <c r="N86" s="248">
        <v>336</v>
      </c>
      <c r="O86" s="250">
        <v>0</v>
      </c>
      <c r="P86" s="257">
        <v>36.1</v>
      </c>
      <c r="Q86" s="288">
        <v>84</v>
      </c>
      <c r="R86" s="248">
        <v>714.3</v>
      </c>
      <c r="S86" s="252">
        <v>150.67756437229883</v>
      </c>
      <c r="T86" s="248">
        <f>T85+(T92-T80)/12</f>
        <v>78173.374767984147</v>
      </c>
      <c r="U86" s="250">
        <f t="shared" si="14"/>
        <v>159644158.00362706</v>
      </c>
      <c r="V86" s="48">
        <f t="shared" si="15"/>
        <v>2447491.4761529863</v>
      </c>
      <c r="W86" s="109">
        <f t="shared" si="16"/>
        <v>1.9691690576827518E-2</v>
      </c>
      <c r="X86" s="13">
        <f t="shared" si="13"/>
        <v>1.9691690576827518E-2</v>
      </c>
      <c r="Y86"/>
      <c r="Z86"/>
    </row>
    <row r="87" spans="1:26" x14ac:dyDescent="0.2">
      <c r="A87" s="247">
        <v>42035</v>
      </c>
      <c r="B87" s="255"/>
      <c r="C87" s="248"/>
      <c r="D87" s="255">
        <v>133625740.89103362</v>
      </c>
      <c r="E87" s="255">
        <v>28483298.699252803</v>
      </c>
      <c r="F87" s="248">
        <f>'CDM Activity '!H168</f>
        <v>6459183.2072933279</v>
      </c>
      <c r="G87" s="290">
        <v>1.0155378037361846</v>
      </c>
      <c r="H87" s="248">
        <f t="shared" si="17"/>
        <v>6559544.7282643113</v>
      </c>
      <c r="I87" s="248">
        <f t="shared" si="18"/>
        <v>168668584.31855074</v>
      </c>
      <c r="J87" s="256">
        <v>800.80000000000018</v>
      </c>
      <c r="K87" s="256">
        <v>0</v>
      </c>
      <c r="L87" s="250">
        <v>31</v>
      </c>
      <c r="M87" s="248">
        <v>0</v>
      </c>
      <c r="N87" s="248">
        <v>336</v>
      </c>
      <c r="O87" s="250">
        <v>0</v>
      </c>
      <c r="P87" s="257">
        <v>37.5</v>
      </c>
      <c r="Q87" s="288">
        <v>85</v>
      </c>
      <c r="R87" s="248">
        <v>705.7</v>
      </c>
      <c r="S87" s="252">
        <v>150.98793548444445</v>
      </c>
      <c r="T87" s="248">
        <f>T86+(T92-T80)/12</f>
        <v>78220.041450081451</v>
      </c>
      <c r="U87" s="250">
        <f t="shared" si="14"/>
        <v>163580890.98761654</v>
      </c>
      <c r="V87" s="48">
        <f t="shared" si="15"/>
        <v>-5087693.3309341967</v>
      </c>
      <c r="W87" s="109">
        <f t="shared" si="16"/>
        <v>-3.8074201100841823E-2</v>
      </c>
      <c r="X87" s="13">
        <f t="shared" si="13"/>
        <v>3.8074201100841823E-2</v>
      </c>
      <c r="Y87"/>
      <c r="Z87"/>
    </row>
    <row r="88" spans="1:26" x14ac:dyDescent="0.2">
      <c r="A88" s="247">
        <v>42063</v>
      </c>
      <c r="B88" s="255"/>
      <c r="C88" s="248"/>
      <c r="D88" s="255">
        <v>124603163.13823162</v>
      </c>
      <c r="E88" s="255">
        <v>26450485.678704858</v>
      </c>
      <c r="F88" s="248">
        <f>'CDM Activity '!H169</f>
        <v>6585687.5179736242</v>
      </c>
      <c r="G88" s="290">
        <v>1.0155378037361846</v>
      </c>
      <c r="H88" s="248">
        <f t="shared" si="17"/>
        <v>6688014.6380957393</v>
      </c>
      <c r="I88" s="248">
        <f t="shared" si="18"/>
        <v>157741663.45503223</v>
      </c>
      <c r="J88" s="256">
        <v>917.5</v>
      </c>
      <c r="K88" s="256">
        <v>0</v>
      </c>
      <c r="L88" s="250">
        <v>28</v>
      </c>
      <c r="M88" s="248">
        <v>0</v>
      </c>
      <c r="N88" s="248">
        <v>304</v>
      </c>
      <c r="O88" s="250">
        <v>0</v>
      </c>
      <c r="P88" s="257">
        <v>40</v>
      </c>
      <c r="Q88" s="288">
        <v>86</v>
      </c>
      <c r="R88" s="248">
        <v>700.1</v>
      </c>
      <c r="S88" s="252">
        <v>151.298945910264</v>
      </c>
      <c r="T88" s="248">
        <f>T87+(T92-T80)/12</f>
        <v>78266.708132178755</v>
      </c>
      <c r="U88" s="250">
        <f t="shared" si="14"/>
        <v>155200098.6883316</v>
      </c>
      <c r="V88" s="48">
        <f t="shared" si="15"/>
        <v>-2541564.7667006254</v>
      </c>
      <c r="W88" s="109">
        <f t="shared" si="16"/>
        <v>-2.0397273252855366E-2</v>
      </c>
      <c r="X88" s="13">
        <f t="shared" si="13"/>
        <v>2.0397273252855366E-2</v>
      </c>
      <c r="Y88"/>
      <c r="Z88"/>
    </row>
    <row r="89" spans="1:26" x14ac:dyDescent="0.2">
      <c r="A89" s="247">
        <v>42094</v>
      </c>
      <c r="B89" s="255"/>
      <c r="C89" s="248"/>
      <c r="D89" s="255">
        <v>127778879.20298879</v>
      </c>
      <c r="E89" s="255">
        <v>25982067.247820672</v>
      </c>
      <c r="F89" s="248">
        <f>'CDM Activity '!H170</f>
        <v>6712191.8286539204</v>
      </c>
      <c r="G89" s="290">
        <v>1.0155378037361846</v>
      </c>
      <c r="H89" s="248">
        <f t="shared" si="17"/>
        <v>6816484.5479271673</v>
      </c>
      <c r="I89" s="248">
        <f t="shared" si="18"/>
        <v>160577430.99873662</v>
      </c>
      <c r="J89" s="256">
        <v>538</v>
      </c>
      <c r="K89" s="256">
        <v>0</v>
      </c>
      <c r="L89" s="250">
        <v>31</v>
      </c>
      <c r="M89" s="248">
        <v>1</v>
      </c>
      <c r="N89" s="248">
        <v>352</v>
      </c>
      <c r="O89" s="250">
        <v>0</v>
      </c>
      <c r="P89" s="257">
        <v>42.5</v>
      </c>
      <c r="Q89" s="288">
        <v>87</v>
      </c>
      <c r="R89" s="248">
        <v>698.3</v>
      </c>
      <c r="S89" s="252">
        <v>151.61059696663892</v>
      </c>
      <c r="T89" s="248">
        <f>T88+(T92-T80)/12</f>
        <v>78313.37481427606</v>
      </c>
      <c r="U89" s="250">
        <f t="shared" si="14"/>
        <v>154040178.50805184</v>
      </c>
      <c r="V89" s="48">
        <f t="shared" si="15"/>
        <v>-6537252.4906847775</v>
      </c>
      <c r="W89" s="109">
        <f t="shared" si="16"/>
        <v>-5.1160665451602028E-2</v>
      </c>
      <c r="X89" s="13">
        <f t="shared" si="13"/>
        <v>5.1160665451602028E-2</v>
      </c>
      <c r="Y89"/>
      <c r="Z89"/>
    </row>
    <row r="90" spans="1:26" x14ac:dyDescent="0.2">
      <c r="A90" s="247">
        <v>42124</v>
      </c>
      <c r="B90" s="255"/>
      <c r="C90" s="248"/>
      <c r="D90" s="255">
        <v>113553574.09713575</v>
      </c>
      <c r="E90" s="255">
        <v>22692801.992528021</v>
      </c>
      <c r="F90" s="248">
        <f>'CDM Activity '!H171</f>
        <v>6838696.1393342167</v>
      </c>
      <c r="G90" s="290">
        <v>1.0155378037361846</v>
      </c>
      <c r="H90" s="248">
        <f t="shared" si="17"/>
        <v>6944954.4577585952</v>
      </c>
      <c r="I90" s="248">
        <f t="shared" si="18"/>
        <v>143191330.54742238</v>
      </c>
      <c r="J90" s="256">
        <v>359.00000000000011</v>
      </c>
      <c r="K90" s="256">
        <v>0</v>
      </c>
      <c r="L90" s="250">
        <v>30</v>
      </c>
      <c r="M90" s="248">
        <v>1</v>
      </c>
      <c r="N90" s="248">
        <v>336</v>
      </c>
      <c r="O90" s="250">
        <v>0</v>
      </c>
      <c r="P90" s="257">
        <v>46.6</v>
      </c>
      <c r="Q90" s="288">
        <v>88</v>
      </c>
      <c r="R90" s="248">
        <v>697.6</v>
      </c>
      <c r="S90" s="252">
        <v>151.92288997316331</v>
      </c>
      <c r="T90" s="248">
        <f>T89+(T92-T80)/12</f>
        <v>78360.041496373364</v>
      </c>
      <c r="U90" s="250">
        <f t="shared" si="14"/>
        <v>144860000.65244254</v>
      </c>
      <c r="V90" s="48">
        <f t="shared" si="15"/>
        <v>1668670.1050201654</v>
      </c>
      <c r="W90" s="109">
        <f t="shared" si="16"/>
        <v>1.4695002938372994E-2</v>
      </c>
      <c r="X90" s="13">
        <f t="shared" si="13"/>
        <v>1.4695002938372994E-2</v>
      </c>
      <c r="Y90"/>
      <c r="Z90"/>
    </row>
    <row r="91" spans="1:26" x14ac:dyDescent="0.2">
      <c r="A91" s="247">
        <v>42155</v>
      </c>
      <c r="B91" s="255"/>
      <c r="C91" s="248"/>
      <c r="D91" s="255">
        <v>118977011.2079701</v>
      </c>
      <c r="E91" s="255">
        <v>23105902.864259031</v>
      </c>
      <c r="F91" s="248">
        <f>'CDM Activity '!H172</f>
        <v>6965200.450014513</v>
      </c>
      <c r="G91" s="290">
        <v>1.0155378037361846</v>
      </c>
      <c r="H91" s="248">
        <f t="shared" si="17"/>
        <v>7073424.3675900232</v>
      </c>
      <c r="I91" s="248">
        <f t="shared" si="18"/>
        <v>149156338.43981913</v>
      </c>
      <c r="J91" s="256">
        <v>116.20000000000002</v>
      </c>
      <c r="K91" s="256">
        <v>29.8</v>
      </c>
      <c r="L91" s="250">
        <v>31</v>
      </c>
      <c r="M91" s="248">
        <v>1</v>
      </c>
      <c r="N91" s="248">
        <v>320</v>
      </c>
      <c r="O91" s="250">
        <v>0</v>
      </c>
      <c r="P91" s="257">
        <v>46.7</v>
      </c>
      <c r="Q91" s="288">
        <v>89</v>
      </c>
      <c r="R91" s="248">
        <v>704.9</v>
      </c>
      <c r="S91" s="252">
        <v>152.23582625214937</v>
      </c>
      <c r="T91" s="248">
        <f>T90+(T92-T80)/12</f>
        <v>78406.708178470668</v>
      </c>
      <c r="U91" s="250">
        <f t="shared" si="14"/>
        <v>149391817.54188064</v>
      </c>
      <c r="V91" s="48">
        <f t="shared" si="15"/>
        <v>235479.10206151009</v>
      </c>
      <c r="W91" s="109">
        <f t="shared" si="16"/>
        <v>1.9791983314314059E-3</v>
      </c>
      <c r="X91" s="13">
        <f t="shared" si="13"/>
        <v>1.9791983314314059E-3</v>
      </c>
      <c r="Y91"/>
      <c r="Z91"/>
    </row>
    <row r="92" spans="1:26" x14ac:dyDescent="0.2">
      <c r="A92" s="247">
        <v>42185</v>
      </c>
      <c r="B92" s="255"/>
      <c r="C92" s="248"/>
      <c r="D92" s="255">
        <v>121965915.31755915</v>
      </c>
      <c r="E92" s="255">
        <v>22350012.453300126</v>
      </c>
      <c r="F92" s="248">
        <f>'CDM Activity '!H173</f>
        <v>7091704.7606948093</v>
      </c>
      <c r="G92" s="290">
        <v>1.0155378037361846</v>
      </c>
      <c r="H92" s="248">
        <f t="shared" si="17"/>
        <v>7201894.2774214512</v>
      </c>
      <c r="I92" s="248">
        <f t="shared" si="18"/>
        <v>151517822.04828072</v>
      </c>
      <c r="J92" s="256">
        <v>54.699999999999996</v>
      </c>
      <c r="K92" s="256">
        <v>15</v>
      </c>
      <c r="L92" s="250">
        <v>30</v>
      </c>
      <c r="M92" s="248">
        <v>0</v>
      </c>
      <c r="N92" s="248">
        <v>352</v>
      </c>
      <c r="O92" s="250">
        <v>0</v>
      </c>
      <c r="P92" s="257">
        <v>40.4</v>
      </c>
      <c r="Q92" s="288">
        <v>90</v>
      </c>
      <c r="R92" s="248">
        <v>715.1</v>
      </c>
      <c r="S92" s="252">
        <v>152.54940712863302</v>
      </c>
      <c r="T92" s="248">
        <f>'Rate Class Customer Model'!S18</f>
        <v>78453.374860568016</v>
      </c>
      <c r="U92" s="250">
        <f t="shared" si="14"/>
        <v>149683463.73771149</v>
      </c>
      <c r="V92" s="48">
        <f t="shared" si="15"/>
        <v>-1834358.3105692267</v>
      </c>
      <c r="W92" s="109">
        <f t="shared" si="16"/>
        <v>-1.5039925751331104E-2</v>
      </c>
      <c r="X92" s="13">
        <f t="shared" si="13"/>
        <v>1.5039925751331104E-2</v>
      </c>
      <c r="Y92"/>
      <c r="Z92"/>
    </row>
    <row r="93" spans="1:26" x14ac:dyDescent="0.2">
      <c r="A93" s="247">
        <v>42216</v>
      </c>
      <c r="B93" s="255"/>
      <c r="C93" s="248"/>
      <c r="D93" s="255">
        <v>133656338.72976337</v>
      </c>
      <c r="E93" s="255">
        <v>25652191.780821916</v>
      </c>
      <c r="F93" s="248">
        <f>'CDM Activity '!H174</f>
        <v>7218209.0713751055</v>
      </c>
      <c r="G93" s="290">
        <v>1.0155378037361846</v>
      </c>
      <c r="H93" s="248">
        <f t="shared" si="17"/>
        <v>7330364.1872528791</v>
      </c>
      <c r="I93" s="248">
        <f t="shared" si="18"/>
        <v>166638894.69783816</v>
      </c>
      <c r="J93" s="256">
        <v>19.3</v>
      </c>
      <c r="K93" s="256">
        <v>57.70000000000001</v>
      </c>
      <c r="L93" s="250">
        <v>31</v>
      </c>
      <c r="M93" s="248">
        <v>0</v>
      </c>
      <c r="N93" s="248">
        <v>352</v>
      </c>
      <c r="O93" s="250">
        <v>0</v>
      </c>
      <c r="P93" s="257">
        <v>38.700000000000003</v>
      </c>
      <c r="Q93" s="288">
        <v>91</v>
      </c>
      <c r="R93" s="248">
        <v>716.6</v>
      </c>
      <c r="S93" s="252">
        <v>152.86363393037959</v>
      </c>
      <c r="T93" s="248">
        <f>T92+(T104-T92)/12</f>
        <v>78529.653990146006</v>
      </c>
      <c r="U93" s="250">
        <f t="shared" si="14"/>
        <v>164605431.70818895</v>
      </c>
      <c r="V93" s="48">
        <f t="shared" si="15"/>
        <v>-2033462.9896492064</v>
      </c>
      <c r="W93" s="109">
        <f t="shared" si="16"/>
        <v>-1.5214115611535774E-2</v>
      </c>
      <c r="X93" s="13">
        <f t="shared" si="13"/>
        <v>1.5214115611535774E-2</v>
      </c>
      <c r="Y93"/>
      <c r="Z93"/>
    </row>
    <row r="94" spans="1:26" x14ac:dyDescent="0.2">
      <c r="A94" s="247">
        <v>42247</v>
      </c>
      <c r="B94" s="255"/>
      <c r="C94" s="248"/>
      <c r="D94" s="255">
        <v>129788505.60398506</v>
      </c>
      <c r="E94" s="255">
        <v>25172141.96762142</v>
      </c>
      <c r="F94" s="248">
        <f>'CDM Activity '!H175</f>
        <v>7344713.3820554018</v>
      </c>
      <c r="G94" s="290">
        <v>1.0155378037361846</v>
      </c>
      <c r="H94" s="248">
        <f t="shared" si="17"/>
        <v>7458834.0970843071</v>
      </c>
      <c r="I94" s="248">
        <f t="shared" si="18"/>
        <v>162419481.6686908</v>
      </c>
      <c r="J94" s="256">
        <v>29.500000000000004</v>
      </c>
      <c r="K94" s="256">
        <v>47.899999999999991</v>
      </c>
      <c r="L94" s="250">
        <v>31</v>
      </c>
      <c r="M94" s="248">
        <v>0</v>
      </c>
      <c r="N94" s="248">
        <v>320</v>
      </c>
      <c r="O94" s="250">
        <v>0</v>
      </c>
      <c r="P94" s="257">
        <v>42</v>
      </c>
      <c r="Q94" s="288">
        <v>92</v>
      </c>
      <c r="R94" s="248">
        <v>713.1</v>
      </c>
      <c r="S94" s="252">
        <v>153.17850798788936</v>
      </c>
      <c r="T94" s="248">
        <f>T93+(T104-T92)/12</f>
        <v>78605.933119723995</v>
      </c>
      <c r="U94" s="250">
        <f t="shared" si="14"/>
        <v>157958480.93305865</v>
      </c>
      <c r="V94" s="48">
        <f t="shared" si="15"/>
        <v>-4461000.7356321514</v>
      </c>
      <c r="W94" s="109">
        <f t="shared" si="16"/>
        <v>-3.4371308267033315E-2</v>
      </c>
      <c r="X94" s="13">
        <f t="shared" si="13"/>
        <v>3.4371308267033315E-2</v>
      </c>
      <c r="Y94"/>
      <c r="Z94"/>
    </row>
    <row r="95" spans="1:26" x14ac:dyDescent="0.2">
      <c r="A95" s="247">
        <v>42277</v>
      </c>
      <c r="B95" s="255"/>
      <c r="C95" s="248"/>
      <c r="D95" s="255">
        <v>126407011.20797011</v>
      </c>
      <c r="E95" s="255">
        <v>24929937.733499378</v>
      </c>
      <c r="F95" s="248">
        <f>'CDM Activity '!H176</f>
        <v>7471217.6927356981</v>
      </c>
      <c r="G95" s="290">
        <v>1.0155378037361846</v>
      </c>
      <c r="H95" s="248">
        <f t="shared" si="17"/>
        <v>7587304.0069157351</v>
      </c>
      <c r="I95" s="248">
        <f t="shared" si="18"/>
        <v>158924252.94838524</v>
      </c>
      <c r="J95" s="256">
        <v>58.20000000000001</v>
      </c>
      <c r="K95" s="256">
        <v>45.300000000000004</v>
      </c>
      <c r="L95" s="250">
        <v>30</v>
      </c>
      <c r="M95" s="248">
        <v>1</v>
      </c>
      <c r="N95" s="248">
        <v>336</v>
      </c>
      <c r="O95" s="250">
        <v>0</v>
      </c>
      <c r="P95" s="257">
        <v>42.8</v>
      </c>
      <c r="Q95" s="288">
        <v>93</v>
      </c>
      <c r="R95" s="248">
        <v>710.2</v>
      </c>
      <c r="S95" s="252">
        <v>153.4940306344032</v>
      </c>
      <c r="T95" s="248">
        <f>T94+(T104-T92)/12</f>
        <v>78682.212249301985</v>
      </c>
      <c r="U95" s="250">
        <f t="shared" si="14"/>
        <v>153091102.04998845</v>
      </c>
      <c r="V95" s="48">
        <f t="shared" si="15"/>
        <v>-5833150.89839679</v>
      </c>
      <c r="W95" s="109">
        <f t="shared" si="16"/>
        <v>-4.6145786081436935E-2</v>
      </c>
      <c r="X95" s="13">
        <f t="shared" si="13"/>
        <v>4.6145786081436935E-2</v>
      </c>
      <c r="Y95"/>
      <c r="Z95"/>
    </row>
    <row r="96" spans="1:26" x14ac:dyDescent="0.2">
      <c r="A96" s="247">
        <v>42308</v>
      </c>
      <c r="B96" s="255"/>
      <c r="C96" s="248"/>
      <c r="D96" s="255">
        <v>116420946.45080946</v>
      </c>
      <c r="E96" s="255">
        <v>22322054.794520549</v>
      </c>
      <c r="F96" s="248">
        <f>'CDM Activity '!H177</f>
        <v>7597722.0034159943</v>
      </c>
      <c r="G96" s="290">
        <v>1.0155378037361846</v>
      </c>
      <c r="H96" s="248">
        <f t="shared" si="17"/>
        <v>7715773.916747164</v>
      </c>
      <c r="I96" s="248">
        <f t="shared" si="18"/>
        <v>146458775.16207716</v>
      </c>
      <c r="J96" s="256">
        <v>290.09999999999991</v>
      </c>
      <c r="K96" s="256">
        <v>0</v>
      </c>
      <c r="L96" s="250">
        <v>31</v>
      </c>
      <c r="M96" s="248">
        <v>1</v>
      </c>
      <c r="N96" s="248">
        <v>336</v>
      </c>
      <c r="O96" s="250">
        <v>0</v>
      </c>
      <c r="P96" s="257">
        <v>39.700000000000003</v>
      </c>
      <c r="Q96" s="288">
        <v>94</v>
      </c>
      <c r="R96" s="248">
        <v>716.9</v>
      </c>
      <c r="S96" s="252">
        <v>153.81020320590829</v>
      </c>
      <c r="T96" s="248">
        <f>T95+(T104-T92)/12</f>
        <v>78758.491378879975</v>
      </c>
      <c r="U96" s="250">
        <f t="shared" si="14"/>
        <v>148234902.07291713</v>
      </c>
      <c r="V96" s="48">
        <f t="shared" si="15"/>
        <v>1776126.9108399749</v>
      </c>
      <c r="W96" s="109">
        <f t="shared" si="16"/>
        <v>1.5256076891544852E-2</v>
      </c>
      <c r="X96" s="13">
        <f t="shared" si="13"/>
        <v>1.5256076891544852E-2</v>
      </c>
      <c r="Y96"/>
      <c r="Z96"/>
    </row>
    <row r="97" spans="1:26" x14ac:dyDescent="0.2">
      <c r="A97" s="247">
        <v>42338</v>
      </c>
      <c r="B97" s="255"/>
      <c r="C97" s="248"/>
      <c r="D97" s="255">
        <v>117582278.95392279</v>
      </c>
      <c r="E97" s="255">
        <v>22495330.012453299</v>
      </c>
      <c r="F97" s="248">
        <f>'CDM Activity '!H178</f>
        <v>7724226.3140962906</v>
      </c>
      <c r="G97" s="290">
        <v>1.0155378037361846</v>
      </c>
      <c r="H97" s="248">
        <f t="shared" si="17"/>
        <v>7844243.826578592</v>
      </c>
      <c r="I97" s="248">
        <f t="shared" si="18"/>
        <v>147921852.79295468</v>
      </c>
      <c r="J97" s="256">
        <v>391.1</v>
      </c>
      <c r="K97" s="256">
        <v>0</v>
      </c>
      <c r="L97" s="250">
        <v>30</v>
      </c>
      <c r="M97" s="248">
        <v>1</v>
      </c>
      <c r="N97" s="248">
        <v>320</v>
      </c>
      <c r="O97" s="250">
        <v>0</v>
      </c>
      <c r="P97" s="257">
        <v>33.6</v>
      </c>
      <c r="Q97" s="288">
        <v>95</v>
      </c>
      <c r="R97" s="248">
        <v>721</v>
      </c>
      <c r="S97" s="252">
        <v>154.12702704114372</v>
      </c>
      <c r="T97" s="248">
        <f>T96+(T104-T92)/12</f>
        <v>78834.770508457965</v>
      </c>
      <c r="U97" s="250">
        <f t="shared" si="14"/>
        <v>148806541.24881613</v>
      </c>
      <c r="V97" s="48">
        <f t="shared" si="15"/>
        <v>884688.45586144924</v>
      </c>
      <c r="W97" s="109">
        <f t="shared" si="16"/>
        <v>7.5239948037419306E-3</v>
      </c>
      <c r="X97" s="13">
        <f t="shared" si="13"/>
        <v>7.5239948037419306E-3</v>
      </c>
      <c r="Y97"/>
      <c r="Z97"/>
    </row>
    <row r="98" spans="1:26" x14ac:dyDescent="0.2">
      <c r="A98" s="247">
        <v>42369</v>
      </c>
      <c r="B98" s="255"/>
      <c r="C98" s="248"/>
      <c r="D98" s="255">
        <v>119503997.42901617</v>
      </c>
      <c r="E98" s="255">
        <v>23879811.775217932</v>
      </c>
      <c r="F98" s="248">
        <f>'CDM Activity '!H179</f>
        <v>7850730.6247765869</v>
      </c>
      <c r="G98" s="290">
        <v>1.0155378037361846</v>
      </c>
      <c r="H98" s="248">
        <f t="shared" si="17"/>
        <v>7972713.7364100199</v>
      </c>
      <c r="I98" s="248">
        <f t="shared" si="18"/>
        <v>151356522.94064412</v>
      </c>
      <c r="J98" s="256">
        <v>452.99999999999994</v>
      </c>
      <c r="K98" s="256">
        <v>0</v>
      </c>
      <c r="L98" s="250">
        <v>31</v>
      </c>
      <c r="M98" s="248">
        <v>0</v>
      </c>
      <c r="N98" s="248">
        <v>352</v>
      </c>
      <c r="O98" s="250">
        <v>0</v>
      </c>
      <c r="P98" s="257">
        <v>36.1</v>
      </c>
      <c r="Q98" s="288">
        <v>96</v>
      </c>
      <c r="R98" s="248">
        <v>718.7</v>
      </c>
      <c r="S98" s="252">
        <v>154.44450348160629</v>
      </c>
      <c r="T98" s="248">
        <f>T97+(T104-T92)/12</f>
        <v>78911.049638035955</v>
      </c>
      <c r="U98" s="250">
        <f t="shared" si="14"/>
        <v>157879428.75784424</v>
      </c>
      <c r="V98" s="48">
        <f t="shared" si="15"/>
        <v>6522905.8172001243</v>
      </c>
      <c r="W98" s="109">
        <f t="shared" si="16"/>
        <v>5.4583160040940437E-2</v>
      </c>
      <c r="X98" s="13">
        <f t="shared" si="13"/>
        <v>5.4583160040940437E-2</v>
      </c>
      <c r="Y98"/>
      <c r="Z98"/>
    </row>
    <row r="99" spans="1:26" x14ac:dyDescent="0.2">
      <c r="A99" s="247">
        <v>42400</v>
      </c>
      <c r="B99" s="255"/>
      <c r="C99" s="248"/>
      <c r="D99" s="255">
        <v>124164357.45492874</v>
      </c>
      <c r="E99" s="255">
        <v>27315110.418699943</v>
      </c>
      <c r="F99" s="248">
        <f>'CDM Activity '!H180</f>
        <v>7965870.7376582809</v>
      </c>
      <c r="G99" s="290">
        <v>1.0271798679874404</v>
      </c>
      <c r="H99" s="248">
        <f t="shared" si="17"/>
        <v>8182382.0527128475</v>
      </c>
      <c r="I99" s="248">
        <f t="shared" si="18"/>
        <v>159661849.92634153</v>
      </c>
      <c r="J99" s="256">
        <v>717.80000000000007</v>
      </c>
      <c r="K99" s="256">
        <v>0</v>
      </c>
      <c r="L99" s="250">
        <v>31</v>
      </c>
      <c r="M99" s="248">
        <v>0</v>
      </c>
      <c r="N99" s="248">
        <v>320</v>
      </c>
      <c r="O99" s="250">
        <v>1</v>
      </c>
      <c r="P99" s="257">
        <v>39.5</v>
      </c>
      <c r="Q99" s="288">
        <v>97</v>
      </c>
      <c r="R99" s="248">
        <v>715.8</v>
      </c>
      <c r="S99" s="252">
        <v>154.72483615659849</v>
      </c>
      <c r="T99" s="248">
        <f>T98+(T104-T92)/12</f>
        <v>78987.328767613944</v>
      </c>
      <c r="U99" s="250">
        <f t="shared" ref="U99:U130" si="19">$AB$18+$AB$19*J99+$AB$20*K99+$AB$21*L99+$AB$22*M99+$AB$23*N99+$AB$24*O99+$AB$25*P99</f>
        <v>154888502.61215284</v>
      </c>
      <c r="V99" s="48">
        <f t="shared" ref="V99:V122" si="20">U99-I99</f>
        <v>-4773347.314188689</v>
      </c>
      <c r="W99" s="109">
        <f t="shared" ref="W99:W122" si="21">V99/D99</f>
        <v>-3.8443780582695791E-2</v>
      </c>
      <c r="X99" s="13">
        <f t="shared" si="13"/>
        <v>3.8443780582695791E-2</v>
      </c>
      <c r="Y99"/>
      <c r="Z99"/>
    </row>
    <row r="100" spans="1:26" x14ac:dyDescent="0.2">
      <c r="A100" s="247">
        <v>42429</v>
      </c>
      <c r="B100" s="255"/>
      <c r="C100" s="248"/>
      <c r="D100" s="255">
        <v>114712727.27272728</v>
      </c>
      <c r="E100" s="255">
        <v>24324625.983821452</v>
      </c>
      <c r="F100" s="248">
        <f>'CDM Activity '!H181</f>
        <v>8081010.8505399749</v>
      </c>
      <c r="G100" s="290">
        <v>1.0271798679874404</v>
      </c>
      <c r="H100" s="248">
        <f t="shared" si="17"/>
        <v>8300651.6586627252</v>
      </c>
      <c r="I100" s="248">
        <f t="shared" si="18"/>
        <v>147338004.91521147</v>
      </c>
      <c r="J100" s="256">
        <v>627.40000000000009</v>
      </c>
      <c r="K100" s="256">
        <v>0</v>
      </c>
      <c r="L100" s="250">
        <v>29</v>
      </c>
      <c r="M100" s="248">
        <v>0</v>
      </c>
      <c r="N100" s="248">
        <v>320</v>
      </c>
      <c r="O100" s="250">
        <v>1</v>
      </c>
      <c r="P100" s="257">
        <v>41.9</v>
      </c>
      <c r="Q100" s="288">
        <v>98</v>
      </c>
      <c r="R100" s="248">
        <v>710.9</v>
      </c>
      <c r="S100" s="252">
        <v>155.00567766425806</v>
      </c>
      <c r="T100" s="248">
        <f>T99+(T104-T92)/12</f>
        <v>79063.607897191934</v>
      </c>
      <c r="U100" s="250">
        <f t="shared" si="19"/>
        <v>147223770.92324781</v>
      </c>
      <c r="V100" s="48">
        <f t="shared" si="20"/>
        <v>-114233.99196365476</v>
      </c>
      <c r="W100" s="109">
        <f t="shared" si="21"/>
        <v>-9.9582665916455519E-4</v>
      </c>
      <c r="X100" s="13">
        <f t="shared" si="13"/>
        <v>9.9582665916455519E-4</v>
      </c>
      <c r="Y100"/>
      <c r="Z100"/>
    </row>
    <row r="101" spans="1:26" x14ac:dyDescent="0.2">
      <c r="A101" s="247">
        <v>42460</v>
      </c>
      <c r="B101" s="255"/>
      <c r="C101" s="248"/>
      <c r="D101" s="255">
        <v>115985691.1581569</v>
      </c>
      <c r="E101" s="255">
        <v>23571150.531759437</v>
      </c>
      <c r="F101" s="248">
        <f>'CDM Activity '!H182</f>
        <v>8196150.9634216689</v>
      </c>
      <c r="G101" s="290">
        <v>1.0271798679874404</v>
      </c>
      <c r="H101" s="248">
        <f t="shared" si="17"/>
        <v>8418921.2646126021</v>
      </c>
      <c r="I101" s="248">
        <f t="shared" si="18"/>
        <v>147975762.95452896</v>
      </c>
      <c r="J101" s="256">
        <v>492.6</v>
      </c>
      <c r="K101" s="256">
        <v>0</v>
      </c>
      <c r="L101" s="250">
        <v>31</v>
      </c>
      <c r="M101" s="248">
        <v>1</v>
      </c>
      <c r="N101" s="248">
        <v>352</v>
      </c>
      <c r="O101" s="250">
        <v>1</v>
      </c>
      <c r="P101" s="257">
        <v>45</v>
      </c>
      <c r="Q101" s="288">
        <v>99</v>
      </c>
      <c r="R101" s="248">
        <v>709.4</v>
      </c>
      <c r="S101" s="252">
        <v>155.2870289281687</v>
      </c>
      <c r="T101" s="248">
        <f>T100+(T104-T92)/12</f>
        <v>79139.887026769924</v>
      </c>
      <c r="U101" s="250">
        <f t="shared" si="19"/>
        <v>147382412.3306348</v>
      </c>
      <c r="V101" s="48">
        <f t="shared" si="20"/>
        <v>-593350.62389415503</v>
      </c>
      <c r="W101" s="109">
        <f t="shared" si="21"/>
        <v>-5.1157226203451958E-3</v>
      </c>
      <c r="X101" s="13">
        <f t="shared" si="13"/>
        <v>5.1157226203451958E-3</v>
      </c>
      <c r="Y101"/>
      <c r="Z101"/>
    </row>
    <row r="102" spans="1:26" x14ac:dyDescent="0.2">
      <c r="A102" s="247">
        <v>42490</v>
      </c>
      <c r="B102" s="255"/>
      <c r="C102" s="248"/>
      <c r="D102" s="255">
        <v>108711843.08841842</v>
      </c>
      <c r="E102" s="255">
        <v>22027658.292273544</v>
      </c>
      <c r="F102" s="248">
        <f>'CDM Activity '!H183</f>
        <v>8311291.0763033628</v>
      </c>
      <c r="G102" s="290">
        <v>1.0271798679874404</v>
      </c>
      <c r="H102" s="248">
        <f t="shared" si="17"/>
        <v>8537190.8705624808</v>
      </c>
      <c r="I102" s="248">
        <f t="shared" si="18"/>
        <v>139276692.25125447</v>
      </c>
      <c r="J102" s="256">
        <v>431.80000000000007</v>
      </c>
      <c r="K102" s="256">
        <v>0</v>
      </c>
      <c r="L102" s="250">
        <v>30</v>
      </c>
      <c r="M102" s="248">
        <v>1</v>
      </c>
      <c r="N102" s="248">
        <v>336</v>
      </c>
      <c r="O102" s="250">
        <v>1</v>
      </c>
      <c r="P102" s="257">
        <v>45.1</v>
      </c>
      <c r="Q102" s="288">
        <v>100</v>
      </c>
      <c r="R102" s="248">
        <v>707.4</v>
      </c>
      <c r="S102" s="252">
        <v>155.56889087359048</v>
      </c>
      <c r="T102" s="248">
        <f>T101+(T104-T92)/12</f>
        <v>79216.166156347914</v>
      </c>
      <c r="U102" s="250">
        <f t="shared" si="19"/>
        <v>142209776.90650949</v>
      </c>
      <c r="V102" s="48">
        <f t="shared" si="20"/>
        <v>2933084.6552550197</v>
      </c>
      <c r="W102" s="109">
        <f t="shared" si="21"/>
        <v>2.6980359930697327E-2</v>
      </c>
      <c r="X102" s="13">
        <f t="shared" si="13"/>
        <v>2.6980359930697327E-2</v>
      </c>
      <c r="Y102"/>
      <c r="Z102"/>
    </row>
    <row r="103" spans="1:26" x14ac:dyDescent="0.2">
      <c r="A103" s="247">
        <v>42521</v>
      </c>
      <c r="B103" s="255"/>
      <c r="C103" s="248"/>
      <c r="D103" s="255">
        <v>112495043.58655044</v>
      </c>
      <c r="E103" s="255">
        <v>22299544.061383914</v>
      </c>
      <c r="F103" s="248">
        <f>'CDM Activity '!H184</f>
        <v>8426431.1891850568</v>
      </c>
      <c r="G103" s="290">
        <v>1.0271798679874404</v>
      </c>
      <c r="H103" s="248">
        <f t="shared" si="17"/>
        <v>8655460.4765123576</v>
      </c>
      <c r="I103" s="248">
        <f t="shared" si="18"/>
        <v>143450048.12444669</v>
      </c>
      <c r="J103" s="256">
        <v>174.59999999999997</v>
      </c>
      <c r="K103" s="256">
        <v>18.399999999999999</v>
      </c>
      <c r="L103" s="250">
        <v>31</v>
      </c>
      <c r="M103" s="248">
        <v>1</v>
      </c>
      <c r="N103" s="248">
        <v>336</v>
      </c>
      <c r="O103" s="250">
        <v>1</v>
      </c>
      <c r="P103" s="257">
        <v>44.6</v>
      </c>
      <c r="Q103" s="288">
        <v>101</v>
      </c>
      <c r="R103" s="248">
        <v>712.4</v>
      </c>
      <c r="S103" s="252">
        <v>155.85126442746289</v>
      </c>
      <c r="T103" s="248">
        <f>T102+($T$104-$T$92)/12</f>
        <v>79292.445285925904</v>
      </c>
      <c r="U103" s="250">
        <f t="shared" si="19"/>
        <v>144650553.12606585</v>
      </c>
      <c r="V103" s="48">
        <f t="shared" si="20"/>
        <v>1200505.0016191602</v>
      </c>
      <c r="W103" s="109">
        <f t="shared" si="21"/>
        <v>1.0671625729852944E-2</v>
      </c>
      <c r="X103" s="13">
        <f t="shared" si="13"/>
        <v>1.0671625729852944E-2</v>
      </c>
      <c r="Y103"/>
      <c r="Z103"/>
    </row>
    <row r="104" spans="1:26" x14ac:dyDescent="0.2">
      <c r="A104" s="247">
        <v>42551</v>
      </c>
      <c r="B104" s="255"/>
      <c r="C104" s="248"/>
      <c r="D104" s="255">
        <v>119239115.81569116</v>
      </c>
      <c r="E104" s="255">
        <v>23713682.415274829</v>
      </c>
      <c r="F104" s="248">
        <f>'CDM Activity '!H185</f>
        <v>8541571.3020667508</v>
      </c>
      <c r="G104" s="290">
        <v>1.0271798679874404</v>
      </c>
      <c r="H104" s="248">
        <f t="shared" si="17"/>
        <v>8773730.0824622344</v>
      </c>
      <c r="I104" s="248">
        <f t="shared" si="18"/>
        <v>151726528.31342819</v>
      </c>
      <c r="J104" s="256">
        <v>51.2</v>
      </c>
      <c r="K104" s="256">
        <v>34.300000000000004</v>
      </c>
      <c r="L104" s="250">
        <v>30</v>
      </c>
      <c r="M104" s="248">
        <v>0</v>
      </c>
      <c r="N104" s="248">
        <v>352</v>
      </c>
      <c r="O104" s="250">
        <v>1</v>
      </c>
      <c r="P104" s="257">
        <v>41</v>
      </c>
      <c r="Q104" s="288">
        <v>102</v>
      </c>
      <c r="R104" s="248">
        <v>714.6</v>
      </c>
      <c r="S104" s="252">
        <v>156.13415051840798</v>
      </c>
      <c r="T104" s="248">
        <f>'Rate Class Customer Model'!S19</f>
        <v>79368.724415503937</v>
      </c>
      <c r="U104" s="250">
        <f t="shared" si="19"/>
        <v>150345395.92480624</v>
      </c>
      <c r="V104" s="48">
        <f t="shared" si="20"/>
        <v>-1381132.3886219561</v>
      </c>
      <c r="W104" s="109">
        <f t="shared" si="21"/>
        <v>-1.1582880157856783E-2</v>
      </c>
      <c r="X104" s="13">
        <f t="shared" si="13"/>
        <v>1.1582880157856783E-2</v>
      </c>
      <c r="Y104"/>
      <c r="Z104"/>
    </row>
    <row r="105" spans="1:26" x14ac:dyDescent="0.2">
      <c r="A105" s="247">
        <v>42582</v>
      </c>
      <c r="B105" s="255"/>
      <c r="C105" s="248"/>
      <c r="D105" s="255">
        <v>131773673.72353673</v>
      </c>
      <c r="E105" s="255">
        <v>27256183.039972607</v>
      </c>
      <c r="F105" s="248">
        <f>'CDM Activity '!H186</f>
        <v>8656711.4149484448</v>
      </c>
      <c r="G105" s="290">
        <v>1.0271798679874404</v>
      </c>
      <c r="H105" s="248">
        <f t="shared" si="17"/>
        <v>8891999.6884121131</v>
      </c>
      <c r="I105" s="248">
        <f t="shared" si="18"/>
        <v>167921856.45192143</v>
      </c>
      <c r="J105" s="256">
        <v>4.8</v>
      </c>
      <c r="K105" s="256">
        <v>101.2</v>
      </c>
      <c r="L105" s="250">
        <v>31</v>
      </c>
      <c r="M105" s="248">
        <v>0</v>
      </c>
      <c r="N105" s="248">
        <v>320</v>
      </c>
      <c r="O105" s="250">
        <v>1</v>
      </c>
      <c r="P105" s="257">
        <v>41.2</v>
      </c>
      <c r="Q105" s="288">
        <v>103</v>
      </c>
      <c r="R105" s="248">
        <v>712.3</v>
      </c>
      <c r="S105" s="252">
        <v>156.41755007673331</v>
      </c>
      <c r="T105" s="248">
        <f t="shared" ref="T105:T110" si="22">T104+($T$104-$T$92)/12</f>
        <v>79445.003545081927</v>
      </c>
      <c r="U105" s="250">
        <f t="shared" si="19"/>
        <v>168746250.71618101</v>
      </c>
      <c r="V105" s="48">
        <f t="shared" si="20"/>
        <v>824394.2642595768</v>
      </c>
      <c r="W105" s="109">
        <f t="shared" si="21"/>
        <v>6.2561378230159169E-3</v>
      </c>
      <c r="X105" s="13">
        <f t="shared" si="13"/>
        <v>6.2561378230159169E-3</v>
      </c>
      <c r="Y105"/>
      <c r="Z105"/>
    </row>
    <row r="106" spans="1:26" x14ac:dyDescent="0.2">
      <c r="A106" s="247">
        <v>42613</v>
      </c>
      <c r="B106" s="255"/>
      <c r="C106" s="248"/>
      <c r="D106" s="255">
        <v>139667123.28767124</v>
      </c>
      <c r="E106" s="255">
        <v>29367389.813449565</v>
      </c>
      <c r="F106" s="248">
        <f>'CDM Activity '!H187</f>
        <v>8771851.5278301388</v>
      </c>
      <c r="G106" s="290">
        <v>1.0271798679874404</v>
      </c>
      <c r="H106" s="248">
        <f t="shared" si="17"/>
        <v>9010269.2943619899</v>
      </c>
      <c r="I106" s="248">
        <f t="shared" si="18"/>
        <v>178044782.39548278</v>
      </c>
      <c r="J106" s="256">
        <v>2.1</v>
      </c>
      <c r="K106" s="256">
        <v>105</v>
      </c>
      <c r="L106" s="250">
        <v>31</v>
      </c>
      <c r="M106" s="248">
        <v>0</v>
      </c>
      <c r="N106" s="248">
        <v>352</v>
      </c>
      <c r="O106" s="250">
        <v>1</v>
      </c>
      <c r="P106" s="257">
        <v>42.5</v>
      </c>
      <c r="Q106" s="288">
        <v>104</v>
      </c>
      <c r="R106" s="248">
        <v>707.1</v>
      </c>
      <c r="S106" s="252">
        <v>156.70146403443502</v>
      </c>
      <c r="T106" s="248">
        <f t="shared" si="22"/>
        <v>79521.282674659917</v>
      </c>
      <c r="U106" s="250">
        <f t="shared" si="19"/>
        <v>172135396.82795995</v>
      </c>
      <c r="V106" s="48">
        <f t="shared" si="20"/>
        <v>-5909385.5675228238</v>
      </c>
      <c r="W106" s="109">
        <f t="shared" si="21"/>
        <v>-4.2310498193274239E-2</v>
      </c>
      <c r="X106" s="13">
        <f t="shared" si="13"/>
        <v>4.2310498193274239E-2</v>
      </c>
      <c r="Y106"/>
      <c r="Z106"/>
    </row>
    <row r="107" spans="1:26" x14ac:dyDescent="0.2">
      <c r="A107" s="247">
        <v>42643</v>
      </c>
      <c r="B107" s="255"/>
      <c r="C107" s="248"/>
      <c r="D107" s="255">
        <v>118293113.32503113</v>
      </c>
      <c r="E107" s="255">
        <v>25364594.889874332</v>
      </c>
      <c r="F107" s="248">
        <f>'CDM Activity '!H188</f>
        <v>8886991.6407118328</v>
      </c>
      <c r="G107" s="290">
        <v>1.0271798679874404</v>
      </c>
      <c r="H107" s="248">
        <f t="shared" si="17"/>
        <v>9128538.9003118668</v>
      </c>
      <c r="I107" s="248">
        <f t="shared" si="18"/>
        <v>152786247.11521733</v>
      </c>
      <c r="J107" s="256">
        <v>68.600000000000009</v>
      </c>
      <c r="K107" s="256">
        <v>26.6</v>
      </c>
      <c r="L107" s="250">
        <v>30</v>
      </c>
      <c r="M107" s="248">
        <v>1</v>
      </c>
      <c r="N107" s="248">
        <v>336</v>
      </c>
      <c r="O107" s="250">
        <v>1</v>
      </c>
      <c r="P107" s="257">
        <v>41.2</v>
      </c>
      <c r="Q107" s="288">
        <v>105</v>
      </c>
      <c r="R107" s="248">
        <v>702.4</v>
      </c>
      <c r="S107" s="252">
        <v>156.98589332520095</v>
      </c>
      <c r="T107" s="248">
        <f t="shared" si="22"/>
        <v>79597.561804237906</v>
      </c>
      <c r="U107" s="250">
        <f t="shared" si="19"/>
        <v>143565194.60511008</v>
      </c>
      <c r="V107" s="48">
        <f t="shared" si="20"/>
        <v>-9221052.510107249</v>
      </c>
      <c r="W107" s="109">
        <f t="shared" si="21"/>
        <v>-7.7950881931484764E-2</v>
      </c>
      <c r="X107" s="13">
        <f t="shared" si="13"/>
        <v>7.7950881931484764E-2</v>
      </c>
      <c r="Y107"/>
      <c r="Z107"/>
    </row>
    <row r="108" spans="1:26" x14ac:dyDescent="0.2">
      <c r="A108" s="247">
        <v>42674</v>
      </c>
      <c r="B108" s="255"/>
      <c r="C108" s="248"/>
      <c r="D108" s="255">
        <v>110425367.37235369</v>
      </c>
      <c r="E108" s="255">
        <v>23565450.894993588</v>
      </c>
      <c r="F108" s="248">
        <f>'CDM Activity '!H189</f>
        <v>9002131.7535935268</v>
      </c>
      <c r="G108" s="290">
        <v>1.0271798679874404</v>
      </c>
      <c r="H108" s="248">
        <f t="shared" si="17"/>
        <v>9246808.5062617436</v>
      </c>
      <c r="I108" s="248">
        <f t="shared" si="18"/>
        <v>143237626.77360901</v>
      </c>
      <c r="J108" s="256">
        <v>242.10000000000002</v>
      </c>
      <c r="K108" s="256">
        <v>1.9</v>
      </c>
      <c r="L108" s="250">
        <v>31</v>
      </c>
      <c r="M108" s="248">
        <v>1</v>
      </c>
      <c r="N108" s="248">
        <v>320</v>
      </c>
      <c r="O108" s="250">
        <v>1</v>
      </c>
      <c r="P108" s="257">
        <v>38.9</v>
      </c>
      <c r="Q108" s="288">
        <v>106</v>
      </c>
      <c r="R108" s="248">
        <v>702.3</v>
      </c>
      <c r="S108" s="252">
        <v>157.27083888441365</v>
      </c>
      <c r="T108" s="248">
        <f t="shared" si="22"/>
        <v>79673.840933815896</v>
      </c>
      <c r="U108" s="250">
        <f t="shared" si="19"/>
        <v>141869357.77148908</v>
      </c>
      <c r="V108" s="48">
        <f t="shared" si="20"/>
        <v>-1368269.0021199286</v>
      </c>
      <c r="W108" s="109">
        <f t="shared" si="21"/>
        <v>-1.2390893819769995E-2</v>
      </c>
      <c r="X108" s="13">
        <f t="shared" si="13"/>
        <v>1.2390893819769995E-2</v>
      </c>
      <c r="Y108"/>
      <c r="Z108"/>
    </row>
    <row r="109" spans="1:26" x14ac:dyDescent="0.2">
      <c r="A109" s="247">
        <v>42704</v>
      </c>
      <c r="B109" s="255"/>
      <c r="C109" s="248"/>
      <c r="D109" s="255">
        <v>110892453.30012453</v>
      </c>
      <c r="E109" s="255">
        <v>23371535.769803736</v>
      </c>
      <c r="F109" s="248">
        <f>'CDM Activity '!H190</f>
        <v>9117271.8664752208</v>
      </c>
      <c r="G109" s="290">
        <v>1.0271798679874404</v>
      </c>
      <c r="H109" s="248">
        <f t="shared" si="17"/>
        <v>9365078.1122116223</v>
      </c>
      <c r="I109" s="248">
        <f t="shared" si="18"/>
        <v>143629067.18213987</v>
      </c>
      <c r="J109" s="256">
        <v>388.20000000000005</v>
      </c>
      <c r="K109" s="256">
        <v>0</v>
      </c>
      <c r="L109" s="250">
        <v>30</v>
      </c>
      <c r="M109" s="248">
        <v>1</v>
      </c>
      <c r="N109" s="248">
        <v>336</v>
      </c>
      <c r="O109" s="250">
        <v>1</v>
      </c>
      <c r="P109" s="257">
        <v>34.200000000000003</v>
      </c>
      <c r="Q109" s="288">
        <v>107</v>
      </c>
      <c r="R109" s="248">
        <v>699.2</v>
      </c>
      <c r="S109" s="252">
        <v>157.55630164915351</v>
      </c>
      <c r="T109" s="248">
        <f t="shared" si="22"/>
        <v>79750.120063393886</v>
      </c>
      <c r="U109" s="250">
        <f t="shared" si="19"/>
        <v>145146595.52317083</v>
      </c>
      <c r="V109" s="48">
        <f t="shared" si="20"/>
        <v>1517528.3410309553</v>
      </c>
      <c r="W109" s="109">
        <f t="shared" si="21"/>
        <v>1.3684685439538843E-2</v>
      </c>
      <c r="X109" s="13">
        <f t="shared" si="13"/>
        <v>1.3684685439538843E-2</v>
      </c>
      <c r="Y109"/>
      <c r="Z109"/>
    </row>
    <row r="110" spans="1:26" x14ac:dyDescent="0.2">
      <c r="A110" s="247">
        <v>42735</v>
      </c>
      <c r="B110" s="255"/>
      <c r="C110" s="248"/>
      <c r="D110" s="255">
        <v>117700253.61480996</v>
      </c>
      <c r="E110" s="255">
        <v>25949566.888693035</v>
      </c>
      <c r="F110" s="248">
        <f>'CDM Activity '!H191</f>
        <v>9232411.9793569148</v>
      </c>
      <c r="G110" s="290">
        <v>1.0271798679874404</v>
      </c>
      <c r="H110" s="248">
        <f t="shared" si="17"/>
        <v>9483347.7181614991</v>
      </c>
      <c r="I110" s="248">
        <f t="shared" si="18"/>
        <v>153133168.22166449</v>
      </c>
      <c r="J110" s="256">
        <v>647.79999999999984</v>
      </c>
      <c r="K110" s="256">
        <v>0</v>
      </c>
      <c r="L110" s="250">
        <v>31</v>
      </c>
      <c r="M110" s="248">
        <v>0</v>
      </c>
      <c r="N110" s="248">
        <v>336</v>
      </c>
      <c r="O110" s="250">
        <v>1</v>
      </c>
      <c r="P110" s="257">
        <v>35.299999999999997</v>
      </c>
      <c r="Q110" s="288">
        <v>108</v>
      </c>
      <c r="R110" s="248">
        <v>697.8</v>
      </c>
      <c r="S110" s="252">
        <v>157.84228255820162</v>
      </c>
      <c r="T110" s="248">
        <f t="shared" si="22"/>
        <v>79826.399192971876</v>
      </c>
      <c r="U110" s="250">
        <f t="shared" si="19"/>
        <v>156250806.67393085</v>
      </c>
      <c r="V110" s="48">
        <f t="shared" si="20"/>
        <v>3117638.4522663653</v>
      </c>
      <c r="W110" s="109">
        <f t="shared" si="21"/>
        <v>2.6487950165929631E-2</v>
      </c>
      <c r="X110" s="13">
        <f t="shared" si="13"/>
        <v>2.6487950165929631E-2</v>
      </c>
      <c r="Y110"/>
      <c r="Z110"/>
    </row>
    <row r="111" spans="1:26" x14ac:dyDescent="0.2">
      <c r="A111" s="247">
        <v>42766</v>
      </c>
      <c r="B111" s="255"/>
      <c r="C111" s="248"/>
      <c r="D111" s="255">
        <v>121051180</v>
      </c>
      <c r="E111" s="258">
        <v>27189294.073160373</v>
      </c>
      <c r="F111" s="248">
        <f>'CDM Activity '!H192</f>
        <v>9394924.7050699648</v>
      </c>
      <c r="G111" s="290">
        <v>1.0293782012671415</v>
      </c>
      <c r="H111" s="248">
        <f t="shared" si="17"/>
        <v>9670930.6939451508</v>
      </c>
      <c r="I111" s="248">
        <f t="shared" si="18"/>
        <v>157911404.76710552</v>
      </c>
      <c r="J111" s="249">
        <f>'HDD and CDD'!B315</f>
        <v>635.1</v>
      </c>
      <c r="K111" s="249">
        <f>'HDD and CDD'!C315</f>
        <v>0</v>
      </c>
      <c r="L111" s="250">
        <v>31</v>
      </c>
      <c r="M111" s="248">
        <v>0</v>
      </c>
      <c r="N111" s="248">
        <v>336</v>
      </c>
      <c r="O111" s="250">
        <v>1</v>
      </c>
      <c r="P111" s="257">
        <v>37.9</v>
      </c>
      <c r="Q111" s="288">
        <v>109</v>
      </c>
      <c r="R111" s="248">
        <v>695.3</v>
      </c>
      <c r="S111" s="252">
        <v>158.15454692394951</v>
      </c>
      <c r="T111" s="259"/>
      <c r="U111" s="250">
        <f t="shared" si="19"/>
        <v>155045969.43226138</v>
      </c>
      <c r="V111" s="48">
        <f t="shared" si="20"/>
        <v>-2865435.3348441422</v>
      </c>
      <c r="W111" s="109">
        <f t="shared" si="21"/>
        <v>-2.3671271398132115E-2</v>
      </c>
      <c r="X111" s="13">
        <f t="shared" si="13"/>
        <v>2.3671271398132115E-2</v>
      </c>
      <c r="Y111"/>
      <c r="Z111"/>
    </row>
    <row r="112" spans="1:26" x14ac:dyDescent="0.2">
      <c r="A112" s="247">
        <v>42794</v>
      </c>
      <c r="B112" s="255"/>
      <c r="C112" s="248"/>
      <c r="D112" s="255">
        <v>106265432</v>
      </c>
      <c r="E112" s="258">
        <v>22193276.294117648</v>
      </c>
      <c r="F112" s="248">
        <f>'CDM Activity '!H193</f>
        <v>9557437.4307830147</v>
      </c>
      <c r="G112" s="290">
        <v>1.0293782012671415</v>
      </c>
      <c r="H112" s="248">
        <f t="shared" si="17"/>
        <v>9838217.7512226701</v>
      </c>
      <c r="I112" s="248">
        <f t="shared" si="18"/>
        <v>138296926.0453403</v>
      </c>
      <c r="J112" s="249">
        <f>'HDD and CDD'!B316</f>
        <v>537.9</v>
      </c>
      <c r="K112" s="249">
        <f>'HDD and CDD'!C316</f>
        <v>0</v>
      </c>
      <c r="L112" s="250">
        <v>28</v>
      </c>
      <c r="M112" s="248">
        <v>0</v>
      </c>
      <c r="N112" s="248">
        <v>304</v>
      </c>
      <c r="O112" s="250">
        <v>1</v>
      </c>
      <c r="P112" s="257">
        <v>41.3</v>
      </c>
      <c r="Q112" s="288">
        <v>110</v>
      </c>
      <c r="R112" s="248">
        <v>696.5</v>
      </c>
      <c r="S112" s="252">
        <v>158.46742905214063</v>
      </c>
      <c r="T112" s="259"/>
      <c r="U112" s="250">
        <f t="shared" si="19"/>
        <v>141674298.13855091</v>
      </c>
      <c r="V112" s="48">
        <f t="shared" si="20"/>
        <v>3377372.0932106078</v>
      </c>
      <c r="W112" s="109">
        <f t="shared" si="21"/>
        <v>3.1782415312729427E-2</v>
      </c>
      <c r="X112" s="13">
        <f t="shared" si="13"/>
        <v>3.1782415312729427E-2</v>
      </c>
      <c r="Y112"/>
      <c r="Z112"/>
    </row>
    <row r="113" spans="1:26" x14ac:dyDescent="0.2">
      <c r="A113" s="247">
        <v>42825</v>
      </c>
      <c r="B113" s="255"/>
      <c r="C113" s="248"/>
      <c r="D113" s="255">
        <v>118074264</v>
      </c>
      <c r="E113" s="258">
        <v>24660902.764705881</v>
      </c>
      <c r="F113" s="248">
        <f>'CDM Activity '!H194</f>
        <v>9719950.1564960647</v>
      </c>
      <c r="G113" s="290">
        <v>1.0293782012671415</v>
      </c>
      <c r="H113" s="248">
        <f t="shared" si="17"/>
        <v>10005504.808500189</v>
      </c>
      <c r="I113" s="248">
        <f t="shared" si="18"/>
        <v>152740671.5732061</v>
      </c>
      <c r="J113" s="249">
        <f>'HDD and CDD'!B317</f>
        <v>597.6</v>
      </c>
      <c r="K113" s="249">
        <f>'HDD and CDD'!C317</f>
        <v>0</v>
      </c>
      <c r="L113" s="250">
        <v>31</v>
      </c>
      <c r="M113" s="248">
        <v>1</v>
      </c>
      <c r="N113" s="248">
        <v>368</v>
      </c>
      <c r="O113" s="250">
        <v>1</v>
      </c>
      <c r="P113" s="257">
        <v>44.4</v>
      </c>
      <c r="Q113" s="288">
        <v>111</v>
      </c>
      <c r="R113" s="248">
        <v>697.8</v>
      </c>
      <c r="S113" s="252">
        <v>158.78093016491388</v>
      </c>
      <c r="T113" s="259"/>
      <c r="U113" s="250">
        <f t="shared" si="19"/>
        <v>151280925.00791579</v>
      </c>
      <c r="V113" s="48">
        <f t="shared" si="20"/>
        <v>-1459746.565290302</v>
      </c>
      <c r="W113" s="109">
        <f t="shared" si="21"/>
        <v>-1.2362952906403905E-2</v>
      </c>
      <c r="X113" s="13">
        <f t="shared" si="13"/>
        <v>1.2362952906403905E-2</v>
      </c>
      <c r="Y113"/>
      <c r="Z113"/>
    </row>
    <row r="114" spans="1:26" x14ac:dyDescent="0.2">
      <c r="A114" s="247">
        <v>42855</v>
      </c>
      <c r="B114" s="255"/>
      <c r="C114" s="248"/>
      <c r="D114" s="255">
        <v>102416015</v>
      </c>
      <c r="E114" s="258">
        <v>20876767.464562312</v>
      </c>
      <c r="F114" s="248">
        <f>'CDM Activity '!H195</f>
        <v>9882462.8822091147</v>
      </c>
      <c r="G114" s="290">
        <v>1.0293782012671415</v>
      </c>
      <c r="H114" s="248">
        <f t="shared" si="17"/>
        <v>10172791.86577771</v>
      </c>
      <c r="I114" s="248">
        <f t="shared" si="18"/>
        <v>133465574.33034003</v>
      </c>
      <c r="J114" s="249">
        <f>'HDD and CDD'!B318</f>
        <v>281.59999999999991</v>
      </c>
      <c r="K114" s="249">
        <f>'HDD and CDD'!C318</f>
        <v>0</v>
      </c>
      <c r="L114" s="250">
        <v>30</v>
      </c>
      <c r="M114" s="248">
        <v>1</v>
      </c>
      <c r="N114" s="248">
        <v>304</v>
      </c>
      <c r="O114" s="250">
        <v>1</v>
      </c>
      <c r="P114" s="257">
        <v>42.7</v>
      </c>
      <c r="Q114" s="288">
        <v>112</v>
      </c>
      <c r="R114" s="248">
        <v>705.6</v>
      </c>
      <c r="S114" s="252">
        <v>159.09505148682601</v>
      </c>
      <c r="T114" s="259"/>
      <c r="U114" s="250">
        <f t="shared" si="19"/>
        <v>137002620.30349723</v>
      </c>
      <c r="V114" s="48">
        <f t="shared" si="20"/>
        <v>3537045.9731571972</v>
      </c>
      <c r="W114" s="109">
        <f t="shared" si="21"/>
        <v>3.4536063262734812E-2</v>
      </c>
      <c r="X114" s="13">
        <f t="shared" si="13"/>
        <v>3.4536063262734812E-2</v>
      </c>
      <c r="Y114"/>
      <c r="Z114"/>
    </row>
    <row r="115" spans="1:26" x14ac:dyDescent="0.2">
      <c r="A115" s="247">
        <v>42886</v>
      </c>
      <c r="B115" s="255"/>
      <c r="C115" s="248"/>
      <c r="D115" s="255">
        <v>107634284</v>
      </c>
      <c r="E115" s="258">
        <v>21763069.456140351</v>
      </c>
      <c r="F115" s="248">
        <f>'CDM Activity '!H196</f>
        <v>10044975.607922165</v>
      </c>
      <c r="G115" s="290">
        <v>1.0293782012671415</v>
      </c>
      <c r="H115" s="248">
        <f t="shared" si="17"/>
        <v>10340078.92305523</v>
      </c>
      <c r="I115" s="248">
        <f t="shared" si="18"/>
        <v>139737432.37919557</v>
      </c>
      <c r="J115" s="249">
        <f>'HDD and CDD'!B319</f>
        <v>214.39999999999995</v>
      </c>
      <c r="K115" s="249">
        <f>'HDD and CDD'!C319</f>
        <v>2.7</v>
      </c>
      <c r="L115" s="250">
        <v>31</v>
      </c>
      <c r="M115" s="248">
        <v>1</v>
      </c>
      <c r="N115" s="248">
        <v>352</v>
      </c>
      <c r="O115" s="250">
        <v>1</v>
      </c>
      <c r="P115" s="257">
        <v>44.2</v>
      </c>
      <c r="Q115" s="288">
        <v>113</v>
      </c>
      <c r="R115" s="248">
        <v>705.6</v>
      </c>
      <c r="S115" s="252">
        <v>159.4097942448563</v>
      </c>
      <c r="T115" s="259"/>
      <c r="U115" s="250">
        <f t="shared" si="19"/>
        <v>142395449.56263721</v>
      </c>
      <c r="V115" s="48">
        <f t="shared" si="20"/>
        <v>2658017.1834416389</v>
      </c>
      <c r="W115" s="109">
        <f t="shared" si="21"/>
        <v>2.4694893528920944E-2</v>
      </c>
      <c r="X115" s="13">
        <f t="shared" si="13"/>
        <v>2.4694893528920944E-2</v>
      </c>
      <c r="Y115"/>
      <c r="Z115"/>
    </row>
    <row r="116" spans="1:26" x14ac:dyDescent="0.2">
      <c r="A116" s="247">
        <v>42916</v>
      </c>
      <c r="B116" s="255"/>
      <c r="C116" s="248"/>
      <c r="D116" s="255">
        <v>113407678</v>
      </c>
      <c r="E116" s="258">
        <v>23187858.701754387</v>
      </c>
      <c r="F116" s="248">
        <f>'CDM Activity '!H197</f>
        <v>10207488.333635215</v>
      </c>
      <c r="G116" s="290">
        <v>1.0293782012671415</v>
      </c>
      <c r="H116" s="248">
        <f t="shared" si="17"/>
        <v>10507365.980332749</v>
      </c>
      <c r="I116" s="248">
        <f t="shared" si="18"/>
        <v>147102902.68208715</v>
      </c>
      <c r="J116" s="249">
        <f>'HDD and CDD'!B320</f>
        <v>45.2</v>
      </c>
      <c r="K116" s="249">
        <f>'HDD and CDD'!C320</f>
        <v>43</v>
      </c>
      <c r="L116" s="250">
        <v>30</v>
      </c>
      <c r="M116" s="248">
        <v>0</v>
      </c>
      <c r="N116" s="248">
        <v>352</v>
      </c>
      <c r="O116" s="250">
        <v>1</v>
      </c>
      <c r="P116" s="257">
        <v>41.2</v>
      </c>
      <c r="Q116" s="288">
        <v>114</v>
      </c>
      <c r="R116" s="248">
        <v>705.6</v>
      </c>
      <c r="S116" s="252">
        <v>159.72515966841141</v>
      </c>
      <c r="T116" s="259"/>
      <c r="U116" s="250">
        <f t="shared" si="19"/>
        <v>152724703.63867414</v>
      </c>
      <c r="V116" s="48">
        <f t="shared" si="20"/>
        <v>5621800.9565869868</v>
      </c>
      <c r="W116" s="109">
        <f t="shared" si="21"/>
        <v>4.9571607987485528E-2</v>
      </c>
      <c r="X116" s="13">
        <f t="shared" si="13"/>
        <v>4.9571607987485528E-2</v>
      </c>
      <c r="Y116"/>
      <c r="Z116"/>
    </row>
    <row r="117" spans="1:26" x14ac:dyDescent="0.2">
      <c r="A117" s="247">
        <v>42947</v>
      </c>
      <c r="B117" s="255"/>
      <c r="C117" s="248"/>
      <c r="D117" s="255">
        <v>120098351</v>
      </c>
      <c r="E117" s="258">
        <v>25197253.794871796</v>
      </c>
      <c r="F117" s="248">
        <f>'CDM Activity '!H198</f>
        <v>10370001.059348265</v>
      </c>
      <c r="G117" s="290">
        <v>1.0293782012671415</v>
      </c>
      <c r="H117" s="248">
        <f t="shared" si="17"/>
        <v>10674653.037610268</v>
      </c>
      <c r="I117" s="248">
        <f t="shared" si="18"/>
        <v>155970257.83248207</v>
      </c>
      <c r="J117" s="249">
        <f>'HDD and CDD'!B321</f>
        <v>3.2</v>
      </c>
      <c r="K117" s="249">
        <f>'HDD and CDD'!C321</f>
        <v>58.500000000000007</v>
      </c>
      <c r="L117" s="250">
        <v>31</v>
      </c>
      <c r="M117" s="248">
        <v>0</v>
      </c>
      <c r="N117" s="248">
        <v>320</v>
      </c>
      <c r="O117" s="250">
        <v>1</v>
      </c>
      <c r="P117" s="257">
        <v>43.5</v>
      </c>
      <c r="Q117" s="288">
        <v>115</v>
      </c>
      <c r="R117" s="248">
        <v>705.6</v>
      </c>
      <c r="S117" s="252">
        <v>160.0411489893302</v>
      </c>
      <c r="T117" s="259"/>
      <c r="U117" s="250">
        <f t="shared" si="19"/>
        <v>155219917.59471828</v>
      </c>
      <c r="V117" s="48">
        <f t="shared" si="20"/>
        <v>-750340.23776379228</v>
      </c>
      <c r="W117" s="109">
        <f t="shared" si="21"/>
        <v>-6.2477147397618496E-3</v>
      </c>
      <c r="X117" s="13">
        <f t="shared" si="13"/>
        <v>6.2477147397618496E-3</v>
      </c>
      <c r="Y117"/>
      <c r="Z117"/>
    </row>
    <row r="118" spans="1:26" x14ac:dyDescent="0.2">
      <c r="A118" s="247">
        <v>42978</v>
      </c>
      <c r="B118" s="255"/>
      <c r="C118" s="248"/>
      <c r="D118" s="255">
        <v>118460983</v>
      </c>
      <c r="E118" s="258">
        <v>26069248.102564104</v>
      </c>
      <c r="F118" s="248">
        <f>'CDM Activity '!H199</f>
        <v>10532513.785061315</v>
      </c>
      <c r="G118" s="290">
        <v>1.0293782012671415</v>
      </c>
      <c r="H118" s="248">
        <f t="shared" si="17"/>
        <v>10841940.094887789</v>
      </c>
      <c r="I118" s="248">
        <f t="shared" si="18"/>
        <v>155372171.19745189</v>
      </c>
      <c r="J118" s="249">
        <f>'HDD and CDD'!B322</f>
        <v>34.5</v>
      </c>
      <c r="K118" s="249">
        <f>'HDD and CDD'!C322</f>
        <v>28.6</v>
      </c>
      <c r="L118" s="250">
        <v>31</v>
      </c>
      <c r="M118" s="248">
        <v>0</v>
      </c>
      <c r="N118" s="248">
        <v>352</v>
      </c>
      <c r="O118" s="250">
        <v>1</v>
      </c>
      <c r="P118" s="257">
        <v>40.4</v>
      </c>
      <c r="Q118" s="288">
        <v>116</v>
      </c>
      <c r="R118" s="248">
        <v>705.6</v>
      </c>
      <c r="S118" s="252">
        <v>160.35776344188849</v>
      </c>
      <c r="T118" s="259"/>
      <c r="U118" s="250">
        <f t="shared" si="19"/>
        <v>150920899.64880115</v>
      </c>
      <c r="V118" s="48">
        <f t="shared" si="20"/>
        <v>-4451271.5486507416</v>
      </c>
      <c r="W118" s="109">
        <f t="shared" si="21"/>
        <v>-3.7575845108855303E-2</v>
      </c>
      <c r="X118" s="13">
        <f t="shared" si="13"/>
        <v>3.7575845108855303E-2</v>
      </c>
      <c r="Y118"/>
      <c r="Z118"/>
    </row>
    <row r="119" spans="1:26" x14ac:dyDescent="0.2">
      <c r="A119" s="247">
        <v>43008</v>
      </c>
      <c r="B119" s="255"/>
      <c r="C119" s="248"/>
      <c r="D119" s="255">
        <v>113240500</v>
      </c>
      <c r="E119" s="258">
        <v>24049828.859999999</v>
      </c>
      <c r="F119" s="248">
        <f>'CDM Activity '!H200</f>
        <v>10695026.510774365</v>
      </c>
      <c r="G119" s="290">
        <v>1.0293782012671415</v>
      </c>
      <c r="H119" s="248">
        <f t="shared" si="17"/>
        <v>11009227.152165309</v>
      </c>
      <c r="I119" s="248">
        <f t="shared" si="18"/>
        <v>148299556.01216531</v>
      </c>
      <c r="J119" s="249">
        <f>'HDD and CDD'!B323</f>
        <v>81.100000000000009</v>
      </c>
      <c r="K119" s="249">
        <f>'HDD and CDD'!C323</f>
        <v>36.299999999999997</v>
      </c>
      <c r="L119" s="250">
        <v>30</v>
      </c>
      <c r="M119" s="248">
        <v>1</v>
      </c>
      <c r="N119" s="248">
        <v>320</v>
      </c>
      <c r="O119" s="250">
        <v>1</v>
      </c>
      <c r="P119" s="257">
        <v>39.299999999999997</v>
      </c>
      <c r="Q119" s="288">
        <v>117</v>
      </c>
      <c r="R119" s="248">
        <v>705.6</v>
      </c>
      <c r="S119" s="252">
        <v>160.67500426280395</v>
      </c>
      <c r="T119" s="259"/>
      <c r="U119" s="250">
        <f t="shared" si="19"/>
        <v>146002193.81316325</v>
      </c>
      <c r="V119" s="48">
        <f t="shared" si="20"/>
        <v>-2297362.1990020573</v>
      </c>
      <c r="W119" s="109">
        <f t="shared" si="21"/>
        <v>-2.0287460749485009E-2</v>
      </c>
      <c r="X119" s="13">
        <f t="shared" si="13"/>
        <v>2.0287460749485009E-2</v>
      </c>
      <c r="Y119"/>
      <c r="Z119"/>
    </row>
    <row r="120" spans="1:26" x14ac:dyDescent="0.2">
      <c r="A120" s="247">
        <v>43039</v>
      </c>
      <c r="B120" s="255"/>
      <c r="C120" s="248"/>
      <c r="D120" s="255">
        <v>108245386</v>
      </c>
      <c r="E120" s="258">
        <v>22147304.149999999</v>
      </c>
      <c r="F120" s="248">
        <f>'CDM Activity '!H201</f>
        <v>10857539.236487415</v>
      </c>
      <c r="G120" s="290">
        <v>1.0293782012671415</v>
      </c>
      <c r="H120" s="248">
        <f t="shared" si="17"/>
        <v>11176514.209442828</v>
      </c>
      <c r="I120" s="248">
        <f t="shared" si="18"/>
        <v>141569204.35944283</v>
      </c>
      <c r="J120" s="249">
        <f>'HDD and CDD'!B324</f>
        <v>208.89999999999998</v>
      </c>
      <c r="K120" s="249">
        <f>'HDD and CDD'!C324</f>
        <v>3.2</v>
      </c>
      <c r="L120" s="250">
        <v>31</v>
      </c>
      <c r="M120" s="248">
        <v>1</v>
      </c>
      <c r="N120" s="248">
        <v>336</v>
      </c>
      <c r="O120" s="250">
        <v>1</v>
      </c>
      <c r="P120" s="257">
        <v>34.299999999999997</v>
      </c>
      <c r="Q120" s="288">
        <v>118</v>
      </c>
      <c r="R120" s="248">
        <v>705.6</v>
      </c>
      <c r="S120" s="252">
        <v>160.99287269124085</v>
      </c>
      <c r="T120" s="259"/>
      <c r="U120" s="250">
        <f t="shared" si="19"/>
        <v>144563535.07233012</v>
      </c>
      <c r="V120" s="48">
        <f t="shared" si="20"/>
        <v>2994330.7128872871</v>
      </c>
      <c r="W120" s="109">
        <f t="shared" si="21"/>
        <v>2.7662432769996192E-2</v>
      </c>
      <c r="X120" s="13">
        <f t="shared" si="13"/>
        <v>2.7662432769996192E-2</v>
      </c>
      <c r="Y120"/>
      <c r="Z120"/>
    </row>
    <row r="121" spans="1:26" x14ac:dyDescent="0.2">
      <c r="A121" s="247">
        <v>43069</v>
      </c>
      <c r="B121" s="255"/>
      <c r="C121" s="248"/>
      <c r="D121" s="255">
        <v>111845881</v>
      </c>
      <c r="E121" s="258">
        <v>23597020.309999999</v>
      </c>
      <c r="F121" s="248">
        <f>'CDM Activity '!H202</f>
        <v>11020051.962200465</v>
      </c>
      <c r="G121" s="290">
        <v>1.0293782012671415</v>
      </c>
      <c r="H121" s="248">
        <f t="shared" si="17"/>
        <v>11343801.266720347</v>
      </c>
      <c r="I121" s="248">
        <f t="shared" si="18"/>
        <v>146786702.57672036</v>
      </c>
      <c r="J121" s="249">
        <f>'HDD and CDD'!B325</f>
        <v>480.00000000000006</v>
      </c>
      <c r="K121" s="249">
        <f>'HDD and CDD'!C325</f>
        <v>0</v>
      </c>
      <c r="L121" s="250">
        <v>30</v>
      </c>
      <c r="M121" s="248">
        <v>1</v>
      </c>
      <c r="N121" s="248">
        <v>352</v>
      </c>
      <c r="O121" s="250">
        <v>1</v>
      </c>
      <c r="P121" s="257">
        <v>30.3</v>
      </c>
      <c r="Q121" s="288">
        <v>119</v>
      </c>
      <c r="R121" s="248">
        <v>705.6</v>
      </c>
      <c r="S121" s="252">
        <v>161.31136996881492</v>
      </c>
      <c r="T121" s="259"/>
      <c r="U121" s="250">
        <f t="shared" si="19"/>
        <v>149934236.77246854</v>
      </c>
      <c r="V121" s="48">
        <f t="shared" si="20"/>
        <v>3147534.1957481802</v>
      </c>
      <c r="W121" s="109">
        <f t="shared" si="21"/>
        <v>2.8141708640554944E-2</v>
      </c>
      <c r="X121" s="13">
        <f t="shared" si="13"/>
        <v>2.8141708640554944E-2</v>
      </c>
      <c r="Y121"/>
      <c r="Z121"/>
    </row>
    <row r="122" spans="1:26" x14ac:dyDescent="0.2">
      <c r="A122" s="247">
        <v>43100</v>
      </c>
      <c r="B122" s="255"/>
      <c r="C122" s="248"/>
      <c r="D122" s="255">
        <v>116335221</v>
      </c>
      <c r="E122" s="258">
        <v>25575347.579999998</v>
      </c>
      <c r="F122" s="248">
        <f>'CDM Activity '!H203</f>
        <v>11182564.687913515</v>
      </c>
      <c r="G122" s="290">
        <v>1.0293782012671415</v>
      </c>
      <c r="H122" s="248">
        <f t="shared" si="17"/>
        <v>11511088.323997868</v>
      </c>
      <c r="I122" s="248">
        <f t="shared" si="18"/>
        <v>153421656.90399784</v>
      </c>
      <c r="J122" s="249">
        <f>'HDD and CDD'!B326</f>
        <v>755.7</v>
      </c>
      <c r="K122" s="249">
        <f>'HDD and CDD'!C326</f>
        <v>0</v>
      </c>
      <c r="L122" s="250">
        <v>31</v>
      </c>
      <c r="M122" s="248">
        <v>0</v>
      </c>
      <c r="N122" s="248">
        <v>304</v>
      </c>
      <c r="O122" s="250">
        <v>1</v>
      </c>
      <c r="P122" s="257">
        <v>30.1</v>
      </c>
      <c r="Q122" s="288">
        <v>120</v>
      </c>
      <c r="R122" s="248">
        <v>705.6</v>
      </c>
      <c r="S122" s="252">
        <v>161.63049733959846</v>
      </c>
      <c r="T122" s="259"/>
      <c r="U122" s="250">
        <f t="shared" si="19"/>
        <v>157677332.35850418</v>
      </c>
      <c r="V122" s="48">
        <f t="shared" si="20"/>
        <v>4255675.4545063376</v>
      </c>
      <c r="W122" s="109">
        <f t="shared" si="21"/>
        <v>3.6581143852439477E-2</v>
      </c>
      <c r="X122" s="13">
        <f t="shared" si="13"/>
        <v>3.6581143852439477E-2</v>
      </c>
      <c r="Y122"/>
      <c r="Z122"/>
    </row>
    <row r="123" spans="1:26" x14ac:dyDescent="0.2">
      <c r="A123" s="247">
        <v>43131</v>
      </c>
      <c r="B123" s="255"/>
      <c r="C123" s="248"/>
      <c r="D123" s="255"/>
      <c r="E123" s="255"/>
      <c r="F123" s="248">
        <f>'CDM Activity '!H204</f>
        <v>11171127.984005844</v>
      </c>
      <c r="G123" s="290">
        <v>1.0281862442426828</v>
      </c>
      <c r="H123" s="248">
        <f t="shared" si="17"/>
        <v>11486000.125829302</v>
      </c>
      <c r="I123" s="255"/>
      <c r="J123" s="256">
        <f t="shared" ref="J123:K134" si="23">(J3+J15+J27+J39+J51+J63+J75+J87+J99+J111)/10</f>
        <v>738.59000000000015</v>
      </c>
      <c r="K123" s="256">
        <f t="shared" si="23"/>
        <v>0</v>
      </c>
      <c r="L123" s="250">
        <v>31</v>
      </c>
      <c r="M123" s="248">
        <v>0</v>
      </c>
      <c r="N123" s="248">
        <v>352</v>
      </c>
      <c r="O123" s="250">
        <v>1</v>
      </c>
      <c r="P123" s="257">
        <f>AVERAGE(P111:P122)</f>
        <v>39.133333333333333</v>
      </c>
      <c r="Q123" s="288">
        <v>121</v>
      </c>
      <c r="R123" s="248">
        <v>705.6</v>
      </c>
      <c r="S123" s="252">
        <v>161.9238733332927</v>
      </c>
      <c r="T123" s="259"/>
      <c r="U123" s="250">
        <f t="shared" si="19"/>
        <v>158257457.00960326</v>
      </c>
      <c r="V123" s="48"/>
      <c r="X123" s="5">
        <f>AVERAGE(X3:X122)</f>
        <v>2.5064962987901944E-2</v>
      </c>
      <c r="Y123"/>
      <c r="Z123"/>
    </row>
    <row r="124" spans="1:26" x14ac:dyDescent="0.2">
      <c r="A124" s="247">
        <v>43159</v>
      </c>
      <c r="B124" s="255"/>
      <c r="C124" s="248"/>
      <c r="D124" s="255"/>
      <c r="E124" s="255"/>
      <c r="F124" s="248">
        <f>'CDM Activity '!H205</f>
        <v>11159691.280098174</v>
      </c>
      <c r="G124" s="290">
        <v>1.0281862442426828</v>
      </c>
      <c r="H124" s="248">
        <f t="shared" si="17"/>
        <v>11474241.064191958</v>
      </c>
      <c r="I124" s="255"/>
      <c r="J124" s="256">
        <f t="shared" si="23"/>
        <v>671.5200000000001</v>
      </c>
      <c r="K124" s="256">
        <f t="shared" si="23"/>
        <v>0</v>
      </c>
      <c r="L124" s="250">
        <v>28</v>
      </c>
      <c r="M124" s="248">
        <v>0</v>
      </c>
      <c r="N124" s="248">
        <v>304</v>
      </c>
      <c r="O124" s="250">
        <v>1</v>
      </c>
      <c r="P124" s="257">
        <f t="shared" ref="P124:P146" si="24">P123</f>
        <v>39.133333333333333</v>
      </c>
      <c r="Q124" s="288">
        <v>122</v>
      </c>
      <c r="R124" s="248">
        <v>705.6</v>
      </c>
      <c r="S124" s="252">
        <v>162.21778183462067</v>
      </c>
      <c r="T124" s="259"/>
      <c r="U124" s="250">
        <f t="shared" si="19"/>
        <v>145364425.73340163</v>
      </c>
      <c r="V124" s="48"/>
      <c r="Y124"/>
      <c r="Z124"/>
    </row>
    <row r="125" spans="1:26" x14ac:dyDescent="0.2">
      <c r="A125" s="247">
        <v>43190</v>
      </c>
      <c r="B125" s="255"/>
      <c r="C125" s="248"/>
      <c r="D125" s="255"/>
      <c r="E125" s="255"/>
      <c r="F125" s="248">
        <f>'CDM Activity '!H206</f>
        <v>11148254.576190503</v>
      </c>
      <c r="G125" s="290">
        <v>1.0281862442426828</v>
      </c>
      <c r="H125" s="248">
        <f t="shared" si="17"/>
        <v>11462482.002554614</v>
      </c>
      <c r="I125" s="255"/>
      <c r="J125" s="256">
        <f t="shared" si="23"/>
        <v>569.22</v>
      </c>
      <c r="K125" s="256">
        <f t="shared" si="23"/>
        <v>0</v>
      </c>
      <c r="L125" s="250">
        <v>31</v>
      </c>
      <c r="M125" s="248">
        <v>1</v>
      </c>
      <c r="N125" s="248">
        <v>336</v>
      </c>
      <c r="O125" s="250">
        <v>1</v>
      </c>
      <c r="P125" s="257">
        <f t="shared" si="24"/>
        <v>39.133333333333333</v>
      </c>
      <c r="Q125" s="288">
        <v>123</v>
      </c>
      <c r="R125" s="248">
        <v>705.6</v>
      </c>
      <c r="S125" s="252">
        <v>162.51222381013852</v>
      </c>
      <c r="T125" s="259"/>
      <c r="U125" s="250">
        <f t="shared" si="19"/>
        <v>149756013.95222858</v>
      </c>
      <c r="V125" s="48"/>
      <c r="Y125"/>
      <c r="Z125"/>
    </row>
    <row r="126" spans="1:26" x14ac:dyDescent="0.2">
      <c r="A126" s="247">
        <v>43220</v>
      </c>
      <c r="B126" s="255"/>
      <c r="C126" s="248"/>
      <c r="D126" s="255"/>
      <c r="E126" s="255"/>
      <c r="F126" s="248">
        <f>'CDM Activity '!H207</f>
        <v>11136817.872282833</v>
      </c>
      <c r="G126" s="290">
        <v>1.0281862442426828</v>
      </c>
      <c r="H126" s="248">
        <f t="shared" si="17"/>
        <v>11450722.940917272</v>
      </c>
      <c r="I126" s="255"/>
      <c r="J126" s="256">
        <f t="shared" si="23"/>
        <v>337.61</v>
      </c>
      <c r="K126" s="256">
        <f t="shared" si="23"/>
        <v>0.32</v>
      </c>
      <c r="L126" s="250">
        <v>30</v>
      </c>
      <c r="M126" s="248">
        <v>1</v>
      </c>
      <c r="N126" s="248">
        <v>336</v>
      </c>
      <c r="O126" s="250">
        <v>1</v>
      </c>
      <c r="P126" s="257">
        <f t="shared" si="24"/>
        <v>39.133333333333333</v>
      </c>
      <c r="Q126" s="288">
        <v>124</v>
      </c>
      <c r="R126" s="248">
        <v>705.6</v>
      </c>
      <c r="S126" s="252">
        <v>162.80720022815689</v>
      </c>
      <c r="T126" s="259"/>
      <c r="U126" s="250">
        <f t="shared" si="19"/>
        <v>142377074.2619997</v>
      </c>
      <c r="V126" s="48"/>
      <c r="Y126"/>
      <c r="Z126"/>
    </row>
    <row r="127" spans="1:26" x14ac:dyDescent="0.2">
      <c r="A127" s="247">
        <v>43251</v>
      </c>
      <c r="B127" s="255"/>
      <c r="C127" s="248"/>
      <c r="D127" s="255"/>
      <c r="E127" s="255"/>
      <c r="F127" s="248">
        <f>'CDM Activity '!H208</f>
        <v>11125381.168375162</v>
      </c>
      <c r="G127" s="290">
        <v>1.0281862442426828</v>
      </c>
      <c r="H127" s="248">
        <f t="shared" si="17"/>
        <v>11438963.879279928</v>
      </c>
      <c r="I127" s="255"/>
      <c r="J127" s="256">
        <f t="shared" si="23"/>
        <v>162.60999999999996</v>
      </c>
      <c r="K127" s="256">
        <f t="shared" si="23"/>
        <v>13.16</v>
      </c>
      <c r="L127" s="250">
        <v>31</v>
      </c>
      <c r="M127" s="248">
        <v>1</v>
      </c>
      <c r="N127" s="248">
        <v>352</v>
      </c>
      <c r="O127" s="250">
        <v>1</v>
      </c>
      <c r="P127" s="257">
        <f t="shared" si="24"/>
        <v>39.133333333333333</v>
      </c>
      <c r="Q127" s="288">
        <v>125</v>
      </c>
      <c r="R127" s="248">
        <v>705.6</v>
      </c>
      <c r="S127" s="252">
        <v>163.10271205874389</v>
      </c>
      <c r="T127" s="259"/>
      <c r="U127" s="250">
        <f t="shared" si="19"/>
        <v>146176283.53080297</v>
      </c>
      <c r="V127" s="48"/>
      <c r="Y127"/>
      <c r="Z127"/>
    </row>
    <row r="128" spans="1:26" x14ac:dyDescent="0.2">
      <c r="A128" s="247">
        <v>43281</v>
      </c>
      <c r="B128" s="255"/>
      <c r="C128" s="248"/>
      <c r="D128" s="255"/>
      <c r="E128" s="255"/>
      <c r="F128" s="248">
        <f>'CDM Activity '!H209</f>
        <v>11113944.464467492</v>
      </c>
      <c r="G128" s="290">
        <v>1.0281862442426828</v>
      </c>
      <c r="H128" s="248">
        <f t="shared" si="17"/>
        <v>11427204.817642584</v>
      </c>
      <c r="I128" s="255"/>
      <c r="J128" s="256">
        <f t="shared" si="23"/>
        <v>47.94</v>
      </c>
      <c r="K128" s="256">
        <f t="shared" si="23"/>
        <v>35.67</v>
      </c>
      <c r="L128" s="250">
        <v>30</v>
      </c>
      <c r="M128" s="248">
        <v>0</v>
      </c>
      <c r="N128" s="248">
        <v>336</v>
      </c>
      <c r="O128" s="250">
        <v>1</v>
      </c>
      <c r="P128" s="257">
        <f t="shared" si="24"/>
        <v>39.133333333333333</v>
      </c>
      <c r="Q128" s="288">
        <v>126</v>
      </c>
      <c r="R128" s="248">
        <v>705.6</v>
      </c>
      <c r="S128" s="252">
        <v>163.39876027372847</v>
      </c>
      <c r="T128" s="259"/>
      <c r="U128" s="250">
        <f t="shared" si="19"/>
        <v>149954580.55373535</v>
      </c>
      <c r="V128" s="48"/>
      <c r="Y128"/>
      <c r="Z128"/>
    </row>
    <row r="129" spans="1:26" x14ac:dyDescent="0.2">
      <c r="A129" s="247">
        <v>43312</v>
      </c>
      <c r="B129" s="255"/>
      <c r="C129" s="248"/>
      <c r="D129" s="255"/>
      <c r="E129" s="255"/>
      <c r="F129" s="248">
        <f>'CDM Activity '!H210</f>
        <v>11102507.760559822</v>
      </c>
      <c r="G129" s="290">
        <v>1.0281862442426828</v>
      </c>
      <c r="H129" s="248">
        <f t="shared" si="17"/>
        <v>11415445.756005242</v>
      </c>
      <c r="I129" s="255"/>
      <c r="J129" s="256">
        <f t="shared" si="23"/>
        <v>13.190000000000001</v>
      </c>
      <c r="K129" s="256">
        <f t="shared" si="23"/>
        <v>77.03</v>
      </c>
      <c r="L129" s="250">
        <v>31</v>
      </c>
      <c r="M129" s="248">
        <v>0</v>
      </c>
      <c r="N129" s="248">
        <v>336</v>
      </c>
      <c r="O129" s="250">
        <v>1</v>
      </c>
      <c r="P129" s="257">
        <f t="shared" si="24"/>
        <v>39.133333333333333</v>
      </c>
      <c r="Q129" s="288">
        <v>127</v>
      </c>
      <c r="R129" s="248">
        <v>705.6</v>
      </c>
      <c r="S129" s="252">
        <v>163.69534584670356</v>
      </c>
      <c r="T129" s="259"/>
      <c r="U129" s="250">
        <f t="shared" si="19"/>
        <v>163886614.38995883</v>
      </c>
      <c r="V129" s="48"/>
      <c r="W129"/>
      <c r="X129"/>
      <c r="Y129"/>
      <c r="Z129"/>
    </row>
    <row r="130" spans="1:26" x14ac:dyDescent="0.2">
      <c r="A130" s="247">
        <v>43343</v>
      </c>
      <c r="B130" s="255"/>
      <c r="C130" s="248"/>
      <c r="D130" s="255"/>
      <c r="E130" s="255"/>
      <c r="F130" s="248">
        <f>'CDM Activity '!H211</f>
        <v>11091071.056652151</v>
      </c>
      <c r="G130" s="290">
        <v>1.0281862442426828</v>
      </c>
      <c r="H130" s="248">
        <f t="shared" si="17"/>
        <v>11403686.694367899</v>
      </c>
      <c r="I130" s="255"/>
      <c r="J130" s="256">
        <f t="shared" si="23"/>
        <v>23.65</v>
      </c>
      <c r="K130" s="256">
        <f t="shared" si="23"/>
        <v>52.65</v>
      </c>
      <c r="L130" s="250">
        <v>31</v>
      </c>
      <c r="M130" s="248">
        <v>0</v>
      </c>
      <c r="N130" s="248">
        <v>352</v>
      </c>
      <c r="O130" s="250">
        <v>1</v>
      </c>
      <c r="P130" s="257">
        <f t="shared" si="24"/>
        <v>39.133333333333333</v>
      </c>
      <c r="Q130" s="288">
        <v>128</v>
      </c>
      <c r="R130" s="248">
        <v>705.6</v>
      </c>
      <c r="S130" s="252">
        <v>163.99246975302921</v>
      </c>
      <c r="T130" s="259"/>
      <c r="U130" s="250">
        <f t="shared" si="19"/>
        <v>158272550.77227563</v>
      </c>
      <c r="V130" s="48"/>
      <c r="W130"/>
      <c r="X130"/>
      <c r="Y130"/>
      <c r="Z130"/>
    </row>
    <row r="131" spans="1:26" x14ac:dyDescent="0.2">
      <c r="A131" s="247">
        <v>43373</v>
      </c>
      <c r="B131" s="255"/>
      <c r="C131" s="248"/>
      <c r="D131" s="255"/>
      <c r="E131" s="255"/>
      <c r="F131" s="248">
        <f>'CDM Activity '!H212</f>
        <v>11079634.352744481</v>
      </c>
      <c r="G131" s="290">
        <v>1.0281862442426828</v>
      </c>
      <c r="H131" s="248">
        <f t="shared" si="17"/>
        <v>11391927.632730555</v>
      </c>
      <c r="I131" s="255"/>
      <c r="J131" s="256">
        <f t="shared" si="23"/>
        <v>96.9</v>
      </c>
      <c r="K131" s="256">
        <f t="shared" si="23"/>
        <v>20.790000000000003</v>
      </c>
      <c r="L131" s="250">
        <v>30</v>
      </c>
      <c r="M131" s="248">
        <v>1</v>
      </c>
      <c r="N131" s="248">
        <v>304</v>
      </c>
      <c r="O131" s="250">
        <v>1</v>
      </c>
      <c r="P131" s="257">
        <f t="shared" si="24"/>
        <v>39.133333333333333</v>
      </c>
      <c r="Q131" s="288">
        <v>129</v>
      </c>
      <c r="R131" s="248">
        <v>705.6</v>
      </c>
      <c r="S131" s="252">
        <v>164.29013296983589</v>
      </c>
      <c r="T131" s="259"/>
      <c r="U131" s="250">
        <f t="shared" ref="U131:U146" si="25">$AB$18+$AB$19*J131+$AB$20*K131+$AB$21*L131+$AB$22*M131+$AB$23*N131+$AB$24*O131+$AB$25*P131</f>
        <v>140412004.97662023</v>
      </c>
      <c r="V131" s="48"/>
      <c r="W131"/>
      <c r="X131"/>
      <c r="Y131"/>
      <c r="Z131"/>
    </row>
    <row r="132" spans="1:26" x14ac:dyDescent="0.2">
      <c r="A132" s="247">
        <v>43404</v>
      </c>
      <c r="B132" s="255"/>
      <c r="C132" s="248"/>
      <c r="D132" s="255"/>
      <c r="E132" s="255"/>
      <c r="F132" s="248">
        <f>'CDM Activity '!H213</f>
        <v>11068197.64883681</v>
      </c>
      <c r="G132" s="290">
        <v>1.0281862442426828</v>
      </c>
      <c r="H132" s="248">
        <f t="shared" ref="H132:H146" si="26">F132*G132</f>
        <v>11380168.571093211</v>
      </c>
      <c r="I132" s="255"/>
      <c r="J132" s="256">
        <f t="shared" si="23"/>
        <v>273.46999999999997</v>
      </c>
      <c r="K132" s="256">
        <f t="shared" si="23"/>
        <v>0.51</v>
      </c>
      <c r="L132" s="250">
        <v>31</v>
      </c>
      <c r="M132" s="248">
        <v>1</v>
      </c>
      <c r="N132" s="248">
        <v>352</v>
      </c>
      <c r="O132" s="250">
        <v>1</v>
      </c>
      <c r="P132" s="257">
        <f t="shared" si="24"/>
        <v>39.133333333333333</v>
      </c>
      <c r="Q132" s="288">
        <v>130</v>
      </c>
      <c r="R132" s="248">
        <v>705.6</v>
      </c>
      <c r="S132" s="252">
        <v>164.58833647602765</v>
      </c>
      <c r="T132" s="259"/>
      <c r="U132" s="250">
        <f t="shared" si="25"/>
        <v>144842765.06564826</v>
      </c>
      <c r="V132" s="48"/>
      <c r="W132"/>
      <c r="X132"/>
      <c r="Y132"/>
      <c r="Z132"/>
    </row>
    <row r="133" spans="1:26" x14ac:dyDescent="0.2">
      <c r="A133" s="247">
        <v>43434</v>
      </c>
      <c r="B133" s="255"/>
      <c r="C133" s="248"/>
      <c r="D133" s="255"/>
      <c r="E133" s="255"/>
      <c r="F133" s="248">
        <f>'CDM Activity '!H214</f>
        <v>11056760.94492914</v>
      </c>
      <c r="G133" s="290">
        <v>1.0281862442426828</v>
      </c>
      <c r="H133" s="248">
        <f t="shared" si="26"/>
        <v>11368409.509455869</v>
      </c>
      <c r="I133" s="255"/>
      <c r="J133" s="256">
        <f t="shared" si="23"/>
        <v>439.9</v>
      </c>
      <c r="K133" s="256">
        <f t="shared" si="23"/>
        <v>0</v>
      </c>
      <c r="L133" s="250">
        <v>30</v>
      </c>
      <c r="M133" s="248">
        <v>1</v>
      </c>
      <c r="N133" s="248">
        <v>336</v>
      </c>
      <c r="O133" s="250">
        <v>1</v>
      </c>
      <c r="P133" s="257">
        <f t="shared" si="24"/>
        <v>39.133333333333333</v>
      </c>
      <c r="Q133" s="288">
        <v>131</v>
      </c>
      <c r="R133" s="248">
        <v>705.6</v>
      </c>
      <c r="S133" s="252">
        <v>164.88708125228533</v>
      </c>
      <c r="T133" s="259"/>
      <c r="U133" s="250">
        <f t="shared" si="25"/>
        <v>144515279.1014795</v>
      </c>
      <c r="V133" s="48"/>
      <c r="W133"/>
      <c r="X133"/>
      <c r="Y133"/>
      <c r="Z133"/>
    </row>
    <row r="134" spans="1:26" x14ac:dyDescent="0.2">
      <c r="A134" s="247">
        <v>43465</v>
      </c>
      <c r="B134" s="255"/>
      <c r="C134" s="248"/>
      <c r="D134" s="255"/>
      <c r="E134" s="255"/>
      <c r="F134" s="248">
        <f>'CDM Activity '!H215</f>
        <v>11045324.241021469</v>
      </c>
      <c r="G134" s="290">
        <v>1.0281862442426828</v>
      </c>
      <c r="H134" s="248">
        <f t="shared" si="26"/>
        <v>11356650.447818525</v>
      </c>
      <c r="I134" s="255"/>
      <c r="J134" s="256">
        <f t="shared" si="23"/>
        <v>640.46</v>
      </c>
      <c r="K134" s="256">
        <f t="shared" si="23"/>
        <v>0</v>
      </c>
      <c r="L134" s="250">
        <v>31</v>
      </c>
      <c r="M134" s="248">
        <v>0</v>
      </c>
      <c r="N134" s="248">
        <v>304</v>
      </c>
      <c r="O134" s="250">
        <v>1</v>
      </c>
      <c r="P134" s="257">
        <f t="shared" si="24"/>
        <v>39.133333333333333</v>
      </c>
      <c r="Q134" s="288">
        <v>132</v>
      </c>
      <c r="R134" s="248">
        <v>705.6</v>
      </c>
      <c r="S134" s="252">
        <v>165.18636828106963</v>
      </c>
      <c r="T134" s="259"/>
      <c r="U134" s="250">
        <f t="shared" si="25"/>
        <v>151938721.6896418</v>
      </c>
      <c r="V134" s="48"/>
      <c r="W134"/>
      <c r="X134"/>
      <c r="Y134"/>
      <c r="Z134"/>
    </row>
    <row r="135" spans="1:26" x14ac:dyDescent="0.2">
      <c r="A135" s="247">
        <v>43496</v>
      </c>
      <c r="B135" s="255"/>
      <c r="C135" s="248"/>
      <c r="D135" s="255"/>
      <c r="E135" s="255"/>
      <c r="F135" s="248">
        <f>'CDM Activity '!H216</f>
        <v>10973935.710179139</v>
      </c>
      <c r="G135" s="290">
        <v>1.0281862442426828</v>
      </c>
      <c r="H135" s="248">
        <f t="shared" si="26"/>
        <v>11283249.742409747</v>
      </c>
      <c r="I135" s="255"/>
      <c r="J135" s="256">
        <f t="shared" ref="J135:K139" si="27">J123</f>
        <v>738.59000000000015</v>
      </c>
      <c r="K135" s="256">
        <f>K123</f>
        <v>0</v>
      </c>
      <c r="L135" s="250">
        <v>31</v>
      </c>
      <c r="M135" s="248">
        <v>0</v>
      </c>
      <c r="N135" s="248">
        <v>352</v>
      </c>
      <c r="O135" s="250">
        <v>1</v>
      </c>
      <c r="P135" s="257">
        <f t="shared" si="24"/>
        <v>39.133333333333333</v>
      </c>
      <c r="Q135" s="288">
        <v>133</v>
      </c>
      <c r="R135" s="248">
        <v>705.6</v>
      </c>
      <c r="S135" s="252">
        <v>165.45918699825475</v>
      </c>
      <c r="T135" s="259"/>
      <c r="U135" s="250">
        <f t="shared" si="25"/>
        <v>158257457.00960326</v>
      </c>
      <c r="V135" s="48"/>
      <c r="W135"/>
      <c r="X135"/>
      <c r="Y135"/>
      <c r="Z135"/>
    </row>
    <row r="136" spans="1:26" x14ac:dyDescent="0.2">
      <c r="A136" s="247">
        <v>43524</v>
      </c>
      <c r="B136" s="255"/>
      <c r="C136" s="248"/>
      <c r="D136" s="255"/>
      <c r="E136" s="255"/>
      <c r="F136" s="248">
        <f>'CDM Activity '!H217</f>
        <v>10902547.179336809</v>
      </c>
      <c r="G136" s="290">
        <v>1.0281862442426828</v>
      </c>
      <c r="H136" s="248">
        <f t="shared" si="26"/>
        <v>11209849.037000969</v>
      </c>
      <c r="I136" s="255"/>
      <c r="J136" s="256">
        <f t="shared" si="27"/>
        <v>671.5200000000001</v>
      </c>
      <c r="K136" s="256">
        <f t="shared" si="27"/>
        <v>0</v>
      </c>
      <c r="L136" s="250">
        <v>28</v>
      </c>
      <c r="M136" s="248">
        <v>0</v>
      </c>
      <c r="N136" s="248">
        <v>304</v>
      </c>
      <c r="O136" s="250">
        <v>1</v>
      </c>
      <c r="P136" s="257">
        <f t="shared" si="24"/>
        <v>39.133333333333333</v>
      </c>
      <c r="Q136" s="288">
        <v>134</v>
      </c>
      <c r="R136" s="248">
        <v>705.6</v>
      </c>
      <c r="S136" s="252">
        <v>165.732456297732</v>
      </c>
      <c r="T136" s="259"/>
      <c r="U136" s="250">
        <f t="shared" si="25"/>
        <v>145364425.73340163</v>
      </c>
      <c r="V136" s="48"/>
      <c r="W136"/>
      <c r="X136"/>
      <c r="Y136"/>
      <c r="Z136"/>
    </row>
    <row r="137" spans="1:26" x14ac:dyDescent="0.2">
      <c r="A137" s="247">
        <v>43555</v>
      </c>
      <c r="B137" s="255"/>
      <c r="C137" s="248"/>
      <c r="D137" s="255"/>
      <c r="E137" s="255"/>
      <c r="F137" s="248">
        <f>'CDM Activity '!H218</f>
        <v>10831158.648494478</v>
      </c>
      <c r="G137" s="290">
        <v>1.0281862442426828</v>
      </c>
      <c r="H137" s="248">
        <f t="shared" si="26"/>
        <v>11136448.331592189</v>
      </c>
      <c r="I137" s="255"/>
      <c r="J137" s="256">
        <f t="shared" si="27"/>
        <v>569.22</v>
      </c>
      <c r="K137" s="256">
        <f t="shared" si="27"/>
        <v>0</v>
      </c>
      <c r="L137" s="250">
        <v>31</v>
      </c>
      <c r="M137" s="248">
        <v>1</v>
      </c>
      <c r="N137" s="248">
        <v>336</v>
      </c>
      <c r="O137" s="250">
        <v>1</v>
      </c>
      <c r="P137" s="257">
        <f t="shared" si="24"/>
        <v>39.133333333333333</v>
      </c>
      <c r="Q137" s="288">
        <v>135</v>
      </c>
      <c r="R137" s="248">
        <v>705.6</v>
      </c>
      <c r="S137" s="252">
        <v>166.00617692367464</v>
      </c>
      <c r="T137" s="259"/>
      <c r="U137" s="250">
        <f t="shared" si="25"/>
        <v>149756013.95222858</v>
      </c>
      <c r="V137" s="48"/>
      <c r="W137"/>
      <c r="X137"/>
      <c r="Y137"/>
      <c r="Z137"/>
    </row>
    <row r="138" spans="1:26" x14ac:dyDescent="0.2">
      <c r="A138" s="247">
        <v>43585</v>
      </c>
      <c r="B138" s="255"/>
      <c r="C138" s="248"/>
      <c r="D138" s="255"/>
      <c r="E138" s="255"/>
      <c r="F138" s="248">
        <f>'CDM Activity '!H219</f>
        <v>10759770.117652148</v>
      </c>
      <c r="G138" s="290">
        <v>1.0281862442426828</v>
      </c>
      <c r="H138" s="248">
        <f t="shared" si="26"/>
        <v>11063047.626183411</v>
      </c>
      <c r="I138" s="255"/>
      <c r="J138" s="256">
        <f t="shared" si="27"/>
        <v>337.61</v>
      </c>
      <c r="K138" s="256">
        <f t="shared" si="27"/>
        <v>0.32</v>
      </c>
      <c r="L138" s="250">
        <v>30</v>
      </c>
      <c r="M138" s="248">
        <v>1</v>
      </c>
      <c r="N138" s="248">
        <v>336</v>
      </c>
      <c r="O138" s="250">
        <v>1</v>
      </c>
      <c r="P138" s="257">
        <f t="shared" si="24"/>
        <v>39.133333333333333</v>
      </c>
      <c r="Q138" s="288">
        <v>136</v>
      </c>
      <c r="R138" s="248">
        <v>705.6</v>
      </c>
      <c r="S138" s="252">
        <v>166.28034962148504</v>
      </c>
      <c r="T138" s="259"/>
      <c r="U138" s="250">
        <f t="shared" si="25"/>
        <v>142377074.2619997</v>
      </c>
      <c r="V138" s="48"/>
      <c r="W138"/>
      <c r="X138"/>
      <c r="Y138"/>
      <c r="Z138"/>
    </row>
    <row r="139" spans="1:26" x14ac:dyDescent="0.2">
      <c r="A139" s="247">
        <v>43616</v>
      </c>
      <c r="B139" s="255"/>
      <c r="C139" s="248"/>
      <c r="D139" s="255"/>
      <c r="E139" s="255"/>
      <c r="F139" s="248">
        <f>'CDM Activity '!H220</f>
        <v>10688381.586809818</v>
      </c>
      <c r="G139" s="290">
        <v>1.0281862442426828</v>
      </c>
      <c r="H139" s="248">
        <f t="shared" si="26"/>
        <v>10989646.920774633</v>
      </c>
      <c r="I139" s="255"/>
      <c r="J139" s="256">
        <f t="shared" si="27"/>
        <v>162.60999999999996</v>
      </c>
      <c r="K139" s="256">
        <f t="shared" si="27"/>
        <v>13.16</v>
      </c>
      <c r="L139" s="250">
        <v>31</v>
      </c>
      <c r="M139" s="248">
        <v>1</v>
      </c>
      <c r="N139" s="248">
        <v>352</v>
      </c>
      <c r="O139" s="250">
        <v>1</v>
      </c>
      <c r="P139" s="257">
        <f t="shared" si="24"/>
        <v>39.133333333333333</v>
      </c>
      <c r="Q139" s="288">
        <v>137</v>
      </c>
      <c r="R139" s="248">
        <v>705.6</v>
      </c>
      <c r="S139" s="252">
        <v>166.55497513779665</v>
      </c>
      <c r="T139" s="259"/>
      <c r="U139" s="250">
        <f t="shared" si="25"/>
        <v>146176283.53080297</v>
      </c>
      <c r="V139" s="48"/>
      <c r="W139"/>
      <c r="X139"/>
      <c r="Y139"/>
      <c r="Z139"/>
    </row>
    <row r="140" spans="1:26" x14ac:dyDescent="0.2">
      <c r="A140" s="247">
        <v>43646</v>
      </c>
      <c r="B140" s="255"/>
      <c r="C140" s="248"/>
      <c r="D140" s="255"/>
      <c r="E140" s="255"/>
      <c r="F140" s="248">
        <f>'CDM Activity '!H221</f>
        <v>10616993.055967487</v>
      </c>
      <c r="G140" s="290">
        <v>1.0281862442426828</v>
      </c>
      <c r="H140" s="248">
        <f t="shared" si="26"/>
        <v>10916246.215365855</v>
      </c>
      <c r="I140" s="255"/>
      <c r="J140" s="256">
        <f t="shared" ref="J140:K146" si="28">J128</f>
        <v>47.94</v>
      </c>
      <c r="K140" s="256">
        <f t="shared" si="28"/>
        <v>35.67</v>
      </c>
      <c r="L140" s="250">
        <v>30</v>
      </c>
      <c r="M140" s="248">
        <v>0</v>
      </c>
      <c r="N140" s="248">
        <v>320</v>
      </c>
      <c r="O140" s="250">
        <v>1</v>
      </c>
      <c r="P140" s="257">
        <f t="shared" si="24"/>
        <v>39.133333333333333</v>
      </c>
      <c r="Q140" s="288">
        <v>138</v>
      </c>
      <c r="R140" s="248">
        <v>705.6</v>
      </c>
      <c r="S140" s="252">
        <v>166.83005422047603</v>
      </c>
      <c r="T140" s="259"/>
      <c r="U140" s="250">
        <f t="shared" si="25"/>
        <v>148562449.54706573</v>
      </c>
      <c r="V140" s="48"/>
      <c r="W140"/>
      <c r="X140"/>
      <c r="Y140"/>
      <c r="Z140"/>
    </row>
    <row r="141" spans="1:26" x14ac:dyDescent="0.2">
      <c r="A141" s="247">
        <v>43677</v>
      </c>
      <c r="B141" s="255"/>
      <c r="C141" s="248"/>
      <c r="D141" s="255"/>
      <c r="E141" s="255"/>
      <c r="F141" s="248">
        <f>'CDM Activity '!H222</f>
        <v>10545604.525125157</v>
      </c>
      <c r="G141" s="290">
        <v>1.0281862442426828</v>
      </c>
      <c r="H141" s="248">
        <f t="shared" si="26"/>
        <v>10842845.509957075</v>
      </c>
      <c r="I141" s="255"/>
      <c r="J141" s="256">
        <f t="shared" si="28"/>
        <v>13.190000000000001</v>
      </c>
      <c r="K141" s="256">
        <f t="shared" si="28"/>
        <v>77.03</v>
      </c>
      <c r="L141" s="250">
        <v>31</v>
      </c>
      <c r="M141" s="248">
        <v>0</v>
      </c>
      <c r="N141" s="248">
        <v>352</v>
      </c>
      <c r="O141" s="250">
        <v>1</v>
      </c>
      <c r="P141" s="257">
        <f t="shared" si="24"/>
        <v>39.133333333333333</v>
      </c>
      <c r="Q141" s="288">
        <v>139</v>
      </c>
      <c r="R141" s="248">
        <v>705.6</v>
      </c>
      <c r="S141" s="252">
        <v>167.1055876186249</v>
      </c>
      <c r="T141" s="259"/>
      <c r="U141" s="250">
        <f t="shared" si="25"/>
        <v>165278745.39662844</v>
      </c>
      <c r="V141" s="48"/>
      <c r="W141"/>
      <c r="X141"/>
      <c r="Y141"/>
      <c r="Z141"/>
    </row>
    <row r="142" spans="1:26" x14ac:dyDescent="0.2">
      <c r="A142" s="247">
        <v>43708</v>
      </c>
      <c r="B142" s="255"/>
      <c r="C142" s="248"/>
      <c r="D142" s="255"/>
      <c r="E142" s="255"/>
      <c r="F142" s="248">
        <f>'CDM Activity '!H223</f>
        <v>10474215.994282827</v>
      </c>
      <c r="G142" s="290">
        <v>1.0281862442426828</v>
      </c>
      <c r="H142" s="248">
        <f t="shared" si="26"/>
        <v>10769444.804548297</v>
      </c>
      <c r="I142" s="255"/>
      <c r="J142" s="256">
        <f t="shared" si="28"/>
        <v>23.65</v>
      </c>
      <c r="K142" s="256">
        <f t="shared" si="28"/>
        <v>52.65</v>
      </c>
      <c r="L142" s="250">
        <v>31</v>
      </c>
      <c r="M142" s="248">
        <v>0</v>
      </c>
      <c r="N142" s="248">
        <v>336</v>
      </c>
      <c r="O142" s="250">
        <v>1</v>
      </c>
      <c r="P142" s="257">
        <f t="shared" si="24"/>
        <v>39.133333333333333</v>
      </c>
      <c r="Q142" s="288">
        <v>140</v>
      </c>
      <c r="R142" s="248">
        <v>705.6</v>
      </c>
      <c r="S142" s="252">
        <v>167.3815760825822</v>
      </c>
      <c r="T142" s="259"/>
      <c r="U142" s="250">
        <f t="shared" si="25"/>
        <v>156880419.76560602</v>
      </c>
      <c r="V142" s="48"/>
      <c r="W142"/>
      <c r="X142"/>
      <c r="Y142"/>
      <c r="Z142"/>
    </row>
    <row r="143" spans="1:26" x14ac:dyDescent="0.2">
      <c r="A143" s="247">
        <v>43738</v>
      </c>
      <c r="B143" s="255"/>
      <c r="C143" s="247"/>
      <c r="D143" s="255"/>
      <c r="E143" s="255"/>
      <c r="F143" s="248">
        <f>'CDM Activity '!H224</f>
        <v>10402827.463440496</v>
      </c>
      <c r="G143" s="290">
        <v>1.0281862442426828</v>
      </c>
      <c r="H143" s="248">
        <f t="shared" si="26"/>
        <v>10696044.099139519</v>
      </c>
      <c r="I143" s="255"/>
      <c r="J143" s="256">
        <f t="shared" si="28"/>
        <v>96.9</v>
      </c>
      <c r="K143" s="256">
        <f t="shared" si="28"/>
        <v>20.790000000000003</v>
      </c>
      <c r="L143" s="250">
        <v>30</v>
      </c>
      <c r="M143" s="248">
        <v>1</v>
      </c>
      <c r="N143" s="248">
        <v>320</v>
      </c>
      <c r="O143" s="250">
        <v>1</v>
      </c>
      <c r="P143" s="257">
        <f t="shared" si="24"/>
        <v>39.133333333333333</v>
      </c>
      <c r="Q143" s="288">
        <v>141</v>
      </c>
      <c r="R143" s="248">
        <v>705.6</v>
      </c>
      <c r="S143" s="252">
        <v>167.65802036392614</v>
      </c>
      <c r="T143" s="254"/>
      <c r="U143" s="250">
        <f t="shared" si="25"/>
        <v>141804135.98328984</v>
      </c>
      <c r="V143" s="48"/>
      <c r="W143"/>
      <c r="X143"/>
      <c r="Y143"/>
      <c r="Z143"/>
    </row>
    <row r="144" spans="1:26" x14ac:dyDescent="0.2">
      <c r="A144" s="247">
        <v>43769</v>
      </c>
      <c r="B144" s="255"/>
      <c r="C144" s="247"/>
      <c r="D144" s="255"/>
      <c r="E144" s="255"/>
      <c r="F144" s="248">
        <f>'CDM Activity '!H225</f>
        <v>10331438.932598166</v>
      </c>
      <c r="G144" s="290">
        <v>1.0281862442426828</v>
      </c>
      <c r="H144" s="248">
        <f t="shared" si="26"/>
        <v>10622643.393730739</v>
      </c>
      <c r="I144" s="255"/>
      <c r="J144" s="256">
        <f t="shared" si="28"/>
        <v>273.46999999999997</v>
      </c>
      <c r="K144" s="256">
        <f t="shared" si="28"/>
        <v>0.51</v>
      </c>
      <c r="L144" s="250">
        <v>31</v>
      </c>
      <c r="M144" s="248">
        <v>1</v>
      </c>
      <c r="N144" s="248">
        <v>352</v>
      </c>
      <c r="O144" s="250">
        <v>1</v>
      </c>
      <c r="P144" s="257">
        <f t="shared" si="24"/>
        <v>39.133333333333333</v>
      </c>
      <c r="Q144" s="288">
        <v>142</v>
      </c>
      <c r="R144" s="248">
        <v>705.6</v>
      </c>
      <c r="S144" s="252">
        <v>167.93492121547615</v>
      </c>
      <c r="T144" s="254"/>
      <c r="U144" s="250">
        <f t="shared" si="25"/>
        <v>144842765.06564826</v>
      </c>
      <c r="V144" s="48"/>
      <c r="W144"/>
      <c r="X144"/>
      <c r="Y144"/>
      <c r="Z144"/>
    </row>
    <row r="145" spans="1:26" x14ac:dyDescent="0.2">
      <c r="A145" s="247">
        <v>43799</v>
      </c>
      <c r="B145" s="255"/>
      <c r="C145" s="247"/>
      <c r="D145" s="255"/>
      <c r="E145" s="255"/>
      <c r="F145" s="248">
        <f>'CDM Activity '!H226</f>
        <v>10260050.401755836</v>
      </c>
      <c r="G145" s="290">
        <v>1.0281862442426828</v>
      </c>
      <c r="H145" s="248">
        <f t="shared" si="26"/>
        <v>10549242.688321961</v>
      </c>
      <c r="I145" s="255"/>
      <c r="J145" s="256">
        <f t="shared" si="28"/>
        <v>439.9</v>
      </c>
      <c r="K145" s="256">
        <f t="shared" si="28"/>
        <v>0</v>
      </c>
      <c r="L145" s="250">
        <v>30</v>
      </c>
      <c r="M145" s="248">
        <v>1</v>
      </c>
      <c r="N145" s="248">
        <v>320</v>
      </c>
      <c r="O145" s="250">
        <v>1</v>
      </c>
      <c r="P145" s="257">
        <f t="shared" si="24"/>
        <v>39.133333333333333</v>
      </c>
      <c r="Q145" s="288">
        <v>143</v>
      </c>
      <c r="R145" s="248">
        <v>705.6</v>
      </c>
      <c r="S145" s="252">
        <v>168.21227939129508</v>
      </c>
      <c r="T145" s="254"/>
      <c r="U145" s="250">
        <f t="shared" si="25"/>
        <v>143123148.09480992</v>
      </c>
      <c r="V145" s="48"/>
      <c r="Y145"/>
      <c r="Z145"/>
    </row>
    <row r="146" spans="1:26" x14ac:dyDescent="0.2">
      <c r="A146" s="247">
        <v>43830</v>
      </c>
      <c r="B146" s="255"/>
      <c r="C146" s="247"/>
      <c r="D146" s="255"/>
      <c r="E146" s="255"/>
      <c r="F146" s="248">
        <f>'CDM Activity '!H227</f>
        <v>10188661.870913506</v>
      </c>
      <c r="G146" s="290">
        <v>1.0281862442426828</v>
      </c>
      <c r="H146" s="248">
        <f t="shared" si="26"/>
        <v>10475841.982913183</v>
      </c>
      <c r="I146" s="255"/>
      <c r="J146" s="256">
        <f t="shared" si="28"/>
        <v>640.46</v>
      </c>
      <c r="K146" s="256">
        <f t="shared" si="28"/>
        <v>0</v>
      </c>
      <c r="L146" s="250">
        <v>31</v>
      </c>
      <c r="M146" s="248">
        <v>0</v>
      </c>
      <c r="N146" s="248">
        <v>320</v>
      </c>
      <c r="O146" s="250">
        <v>1</v>
      </c>
      <c r="P146" s="257">
        <f t="shared" si="24"/>
        <v>39.133333333333333</v>
      </c>
      <c r="Q146" s="288">
        <v>144</v>
      </c>
      <c r="R146" s="248">
        <v>705.6</v>
      </c>
      <c r="S146" s="252">
        <v>168.49009564669103</v>
      </c>
      <c r="T146" s="254"/>
      <c r="U146" s="250">
        <f t="shared" si="25"/>
        <v>153330852.69631141</v>
      </c>
      <c r="V146" s="48"/>
      <c r="Y146"/>
      <c r="Z146"/>
    </row>
    <row r="147" spans="1:26" x14ac:dyDescent="0.2">
      <c r="A147" s="49"/>
      <c r="C147" s="49"/>
      <c r="L147" s="10"/>
      <c r="M147" s="10"/>
      <c r="O147" s="10"/>
      <c r="Y147"/>
      <c r="Z147"/>
    </row>
    <row r="148" spans="1:26" x14ac:dyDescent="0.2">
      <c r="A148" s="49"/>
      <c r="C148" s="49"/>
      <c r="L148" s="10"/>
      <c r="M148" s="10"/>
      <c r="O148" s="10"/>
      <c r="Y148"/>
      <c r="Z148"/>
    </row>
    <row r="149" spans="1:26" x14ac:dyDescent="0.2">
      <c r="A149" s="49"/>
      <c r="C149" s="49"/>
      <c r="L149" s="10"/>
      <c r="M149" s="10"/>
      <c r="O149" s="10"/>
      <c r="Y149"/>
      <c r="Z149"/>
    </row>
    <row r="150" spans="1:26" x14ac:dyDescent="0.2">
      <c r="A150" s="49"/>
      <c r="C150" s="49"/>
      <c r="F150"/>
      <c r="J150" s="16"/>
      <c r="K150" s="54" t="s">
        <v>70</v>
      </c>
      <c r="L150" s="10"/>
      <c r="M150" s="10"/>
      <c r="O150" s="10"/>
      <c r="U150" s="48">
        <f>SUM(U2:U146)</f>
        <v>21672541868.17083</v>
      </c>
      <c r="Y150"/>
      <c r="Z150"/>
    </row>
    <row r="151" spans="1:26" x14ac:dyDescent="0.2">
      <c r="A151" s="49"/>
      <c r="C151" s="49"/>
      <c r="L151" s="10"/>
      <c r="M151" s="10"/>
      <c r="O151" s="10"/>
      <c r="U151" s="291" t="s">
        <v>246</v>
      </c>
      <c r="Y151" s="291" t="s">
        <v>244</v>
      </c>
      <c r="Z151" s="291" t="s">
        <v>245</v>
      </c>
    </row>
    <row r="152" spans="1:26" x14ac:dyDescent="0.2">
      <c r="A152" s="40">
        <v>2008</v>
      </c>
      <c r="D152" s="6">
        <f>SUM(D3:D14)</f>
        <v>1515917474.9300001</v>
      </c>
      <c r="E152" s="6">
        <f>SUM(E3:E14)</f>
        <v>297492850</v>
      </c>
      <c r="F152" s="6">
        <f>SUM(F3:F14)</f>
        <v>8715686.3449556828</v>
      </c>
      <c r="H152" s="6">
        <f>SUM(H3:H14)</f>
        <v>9028536.3262152188</v>
      </c>
      <c r="I152" s="6">
        <f>SUM(I3:I14)</f>
        <v>1822438861.2562151</v>
      </c>
      <c r="U152" s="6">
        <f>SUM(U3:U14)</f>
        <v>1851364983.3906169</v>
      </c>
      <c r="V152" s="36">
        <f t="shared" ref="V152:V161" si="29">U152-I152</f>
        <v>28926122.134401798</v>
      </c>
      <c r="W152" s="5">
        <f t="shared" ref="W152:W161" si="30">V152/D152</f>
        <v>1.9081594224472878E-2</v>
      </c>
      <c r="X152" s="5">
        <f t="shared" ref="X152:X156" si="31">ABS(W152)</f>
        <v>1.9081594224472878E-2</v>
      </c>
      <c r="Y152" s="6">
        <f>H152</f>
        <v>9028536.3262152188</v>
      </c>
      <c r="Z152" s="6">
        <f>U152-Y152</f>
        <v>1842336447.0644016</v>
      </c>
    </row>
    <row r="153" spans="1:26" x14ac:dyDescent="0.2">
      <c r="A153" s="50">
        <v>2009</v>
      </c>
      <c r="C153" s="50"/>
      <c r="D153" s="6">
        <f>SUM(D15:D26)</f>
        <v>1408643619.3199999</v>
      </c>
      <c r="E153" s="6">
        <f>SUM(E15:E26)</f>
        <v>285044124</v>
      </c>
      <c r="F153" s="6">
        <f>SUM(F15:F26)</f>
        <v>14062057.383293686</v>
      </c>
      <c r="H153" s="6">
        <f>SUM(H15:H26)</f>
        <v>14566815.610553682</v>
      </c>
      <c r="I153" s="6">
        <f>SUM(I15:I26)</f>
        <v>1708254558.9305539</v>
      </c>
      <c r="U153" s="6">
        <f>SUM(U15:U26)</f>
        <v>1732776589.4522536</v>
      </c>
      <c r="V153" s="36">
        <f t="shared" si="29"/>
        <v>24522030.521699667</v>
      </c>
      <c r="W153" s="5">
        <f t="shared" si="30"/>
        <v>1.740825726633205E-2</v>
      </c>
      <c r="X153" s="5">
        <f t="shared" si="31"/>
        <v>1.740825726633205E-2</v>
      </c>
      <c r="Y153" s="6">
        <f t="shared" ref="Y153:Y163" si="32">H153</f>
        <v>14566815.610553682</v>
      </c>
      <c r="Z153" s="6">
        <f t="shared" ref="Z153:Z163" si="33">U153-Y153</f>
        <v>1718209773.8416998</v>
      </c>
    </row>
    <row r="154" spans="1:26" x14ac:dyDescent="0.2">
      <c r="A154" s="40">
        <v>2010</v>
      </c>
      <c r="D154" s="6">
        <f>SUM(D27:D38)</f>
        <v>1470488791.4399998</v>
      </c>
      <c r="E154" s="6">
        <f>SUM(E27:E38)</f>
        <v>291433060</v>
      </c>
      <c r="F154" s="6">
        <f>SUM(F27:F38)</f>
        <v>19632401.026942719</v>
      </c>
      <c r="H154" s="6">
        <f>SUM(H27:H38)</f>
        <v>20337107.007661439</v>
      </c>
      <c r="I154" s="6">
        <f>SUM(I27:I38)</f>
        <v>1782258958.4476616</v>
      </c>
      <c r="U154" s="6">
        <f>SUM(U27:U38)</f>
        <v>1775075940.9491544</v>
      </c>
      <c r="V154" s="36">
        <f t="shared" si="29"/>
        <v>-7183017.4985072613</v>
      </c>
      <c r="W154" s="5">
        <f t="shared" si="30"/>
        <v>-4.8847822168526537E-3</v>
      </c>
      <c r="X154" s="5">
        <f t="shared" si="31"/>
        <v>4.8847822168526537E-3</v>
      </c>
      <c r="Y154" s="6">
        <f t="shared" si="32"/>
        <v>20337107.007661439</v>
      </c>
      <c r="Z154" s="6">
        <f t="shared" si="33"/>
        <v>1754738833.941493</v>
      </c>
    </row>
    <row r="155" spans="1:26" x14ac:dyDescent="0.2">
      <c r="A155" s="40">
        <v>2011</v>
      </c>
      <c r="D155" s="6">
        <f>SUM(D39:D50)</f>
        <v>1473294837.73</v>
      </c>
      <c r="E155" s="6">
        <f>SUM(E39:E50)</f>
        <v>293737263</v>
      </c>
      <c r="F155" s="6">
        <f>SUM(F39:F50)</f>
        <v>30537639.795512404</v>
      </c>
      <c r="H155" s="6">
        <f>SUM(H39:H50)</f>
        <v>31639657.520813152</v>
      </c>
      <c r="I155" s="6">
        <f>SUM(I39:I50)</f>
        <v>1798671758.250813</v>
      </c>
      <c r="U155" s="6">
        <f>SUM(U39:U50)</f>
        <v>1805647029.0912676</v>
      </c>
      <c r="V155" s="36">
        <f t="shared" si="29"/>
        <v>6975270.8404545784</v>
      </c>
      <c r="W155" s="5">
        <f t="shared" si="30"/>
        <v>4.7344704276584765E-3</v>
      </c>
      <c r="X155" s="5">
        <f t="shared" si="31"/>
        <v>4.7344704276584765E-3</v>
      </c>
      <c r="Y155" s="6">
        <f t="shared" si="32"/>
        <v>31639657.520813152</v>
      </c>
      <c r="Z155" s="6">
        <f t="shared" si="33"/>
        <v>1774007371.5704544</v>
      </c>
    </row>
    <row r="156" spans="1:26" x14ac:dyDescent="0.2">
      <c r="A156" s="40">
        <v>2012</v>
      </c>
      <c r="D156" s="6">
        <f>SUM(D51:D62)</f>
        <v>1481727956.7770286</v>
      </c>
      <c r="E156" s="6">
        <f>SUM(E51:E62)</f>
        <v>293429507</v>
      </c>
      <c r="F156" s="6">
        <f>SUM(F51:F62)</f>
        <v>42196083.000687689</v>
      </c>
      <c r="H156" s="6">
        <f>SUM(H51:H62)</f>
        <v>43512813.600121386</v>
      </c>
      <c r="I156" s="6">
        <f>SUM(I51:I62)</f>
        <v>1818670277.3771498</v>
      </c>
      <c r="U156" s="6">
        <f>SUM(U51:U62)</f>
        <v>1830541568.3715415</v>
      </c>
      <c r="V156" s="36">
        <f t="shared" si="29"/>
        <v>11871290.99439168</v>
      </c>
      <c r="W156" s="5">
        <f t="shared" si="30"/>
        <v>8.0117884933570711E-3</v>
      </c>
      <c r="X156" s="5">
        <f t="shared" si="31"/>
        <v>8.0117884933570711E-3</v>
      </c>
      <c r="Y156" s="6">
        <f t="shared" si="32"/>
        <v>43512813.600121386</v>
      </c>
      <c r="Z156" s="6">
        <f t="shared" si="33"/>
        <v>1787028754.77142</v>
      </c>
    </row>
    <row r="157" spans="1:26" x14ac:dyDescent="0.2">
      <c r="A157" s="40">
        <v>2013</v>
      </c>
      <c r="D157" s="6">
        <f>SUM(D63:D74)</f>
        <v>1479631641</v>
      </c>
      <c r="E157" s="6">
        <f>SUM(E63:E74)</f>
        <v>301042483</v>
      </c>
      <c r="F157" s="6">
        <f>SUM(F63:F74)</f>
        <v>52850006.125888243</v>
      </c>
      <c r="H157" s="6">
        <f>SUM(H63:H74)</f>
        <v>53915594.848408081</v>
      </c>
      <c r="I157" s="6">
        <f>SUM(I63:I74)</f>
        <v>1834589718.8484082</v>
      </c>
      <c r="U157" s="6">
        <f>SUM(U63:U74)</f>
        <v>1820921157.0671558</v>
      </c>
      <c r="V157" s="36">
        <f t="shared" si="29"/>
        <v>-13668561.781252384</v>
      </c>
      <c r="W157" s="5">
        <f t="shared" si="30"/>
        <v>-9.2378139278060933E-3</v>
      </c>
      <c r="X157" s="5">
        <f>ABS(W157)</f>
        <v>9.2378139278060933E-3</v>
      </c>
      <c r="Y157" s="6">
        <f t="shared" si="32"/>
        <v>53915594.848408081</v>
      </c>
      <c r="Z157" s="6">
        <f t="shared" si="33"/>
        <v>1767005562.2187479</v>
      </c>
    </row>
    <row r="158" spans="1:26" x14ac:dyDescent="0.2">
      <c r="A158" s="40">
        <v>2014</v>
      </c>
      <c r="D158" s="6">
        <f>SUM(D75:D86)</f>
        <v>1478604265.9999998</v>
      </c>
      <c r="E158" s="6">
        <f>SUM(E75:E86)</f>
        <v>303815429</v>
      </c>
      <c r="F158" s="6">
        <f>SUM(F75:F86)</f>
        <v>68250902.988182977</v>
      </c>
      <c r="H158" s="6">
        <f>SUM(H75:H86)</f>
        <v>70301452.682032526</v>
      </c>
      <c r="I158" s="6">
        <f>SUM(I75:I86)</f>
        <v>1852721147.6820326</v>
      </c>
      <c r="U158" s="6">
        <f>SUM(U75:U86)</f>
        <v>1818518625.6024287</v>
      </c>
      <c r="V158" s="36">
        <f t="shared" si="29"/>
        <v>-34202522.07960391</v>
      </c>
      <c r="W158" s="5">
        <f t="shared" si="30"/>
        <v>-2.313162680920056E-2</v>
      </c>
      <c r="X158" s="5">
        <f>ABS(W158)</f>
        <v>2.313162680920056E-2</v>
      </c>
      <c r="Y158" s="6">
        <f t="shared" si="32"/>
        <v>70301452.682032526</v>
      </c>
      <c r="Z158" s="6">
        <f t="shared" si="33"/>
        <v>1748217172.9203961</v>
      </c>
    </row>
    <row r="159" spans="1:26" x14ac:dyDescent="0.2">
      <c r="A159" s="50">
        <v>2015</v>
      </c>
      <c r="D159" s="6">
        <f>SUM(D87:D98)</f>
        <v>1483863362.230386</v>
      </c>
      <c r="E159" s="6">
        <f>SUM(E87:E98)</f>
        <v>293516037.00000006</v>
      </c>
      <c r="F159" s="6">
        <f>SUM(F87:F98)</f>
        <v>85859482.992419481</v>
      </c>
      <c r="H159" s="6">
        <f>SUM(H87:H98)</f>
        <v>87193550.788045973</v>
      </c>
      <c r="I159" s="6">
        <f>SUM(I87:I98)</f>
        <v>1864572950.0184319</v>
      </c>
      <c r="U159" s="6">
        <f>SUM(U87:U98)</f>
        <v>1847332336.8868487</v>
      </c>
      <c r="V159" s="36">
        <f t="shared" si="29"/>
        <v>-17240613.131583214</v>
      </c>
      <c r="W159" s="5">
        <f t="shared" si="30"/>
        <v>-1.1618733618214654E-2</v>
      </c>
      <c r="X159" s="5">
        <f>ABS(W159)</f>
        <v>1.1618733618214654E-2</v>
      </c>
      <c r="Y159" s="6">
        <f t="shared" si="32"/>
        <v>87193550.788045973</v>
      </c>
      <c r="Z159" s="6">
        <f t="shared" si="33"/>
        <v>1760138786.0988028</v>
      </c>
    </row>
    <row r="160" spans="1:26" x14ac:dyDescent="0.2">
      <c r="A160" s="40">
        <v>2016</v>
      </c>
      <c r="D160" s="6">
        <f>SUM(D99:D110)</f>
        <v>1424060763</v>
      </c>
      <c r="E160" s="6">
        <f>SUM(E99:E110)</f>
        <v>298126493</v>
      </c>
      <c r="F160" s="6">
        <f>SUM(F99:F110)</f>
        <v>103189696.30209118</v>
      </c>
      <c r="H160" s="6">
        <f>SUM(H99:H110)</f>
        <v>105994378.62524608</v>
      </c>
      <c r="I160" s="6">
        <f>SUM(I99:I110)</f>
        <v>1828181634.6252458</v>
      </c>
      <c r="U160" s="6">
        <f>SUM(U99:U110)</f>
        <v>1814414013.9412591</v>
      </c>
      <c r="V160" s="36">
        <f t="shared" si="29"/>
        <v>-13767620.683986664</v>
      </c>
      <c r="W160" s="5">
        <f t="shared" si="30"/>
        <v>-9.6678604183876842E-3</v>
      </c>
      <c r="X160" s="5">
        <f>ABS(W160)</f>
        <v>9.6678604183876842E-3</v>
      </c>
      <c r="Y160" s="6">
        <f t="shared" si="32"/>
        <v>105994378.62524608</v>
      </c>
      <c r="Z160" s="6">
        <f t="shared" si="33"/>
        <v>1708419635.3160131</v>
      </c>
    </row>
    <row r="161" spans="1:28" x14ac:dyDescent="0.2">
      <c r="A161" s="50">
        <v>2017</v>
      </c>
      <c r="D161" s="6">
        <f>SUM(D111:D122)</f>
        <v>1357075175</v>
      </c>
      <c r="E161" s="6">
        <f>SUM(E111:E122)</f>
        <v>286507171.5518769</v>
      </c>
      <c r="F161" s="6">
        <f>SUM(F111:F122)</f>
        <v>123464936.35790089</v>
      </c>
      <c r="H161" s="6">
        <f>SUM(H111:H122)</f>
        <v>127092114.1076581</v>
      </c>
      <c r="I161" s="6">
        <f>SUM(I111:I122)</f>
        <v>1770674460.6595349</v>
      </c>
      <c r="U161" s="6">
        <f>SUM(U111:U122)</f>
        <v>1784442081.3435221</v>
      </c>
      <c r="V161" s="36">
        <f t="shared" si="29"/>
        <v>13767620.683987141</v>
      </c>
      <c r="W161" s="5">
        <f t="shared" si="30"/>
        <v>1.0145068554501514E-2</v>
      </c>
      <c r="X161" s="5">
        <f>ABS(W161)</f>
        <v>1.0145068554501514E-2</v>
      </c>
      <c r="Y161" s="6">
        <f t="shared" si="32"/>
        <v>127092114.1076581</v>
      </c>
      <c r="Z161" s="6">
        <f t="shared" si="33"/>
        <v>1657349967.2358639</v>
      </c>
    </row>
    <row r="162" spans="1:28" x14ac:dyDescent="0.2">
      <c r="A162" s="40">
        <v>2018</v>
      </c>
      <c r="F162" s="6">
        <f>SUM(F123:F134)</f>
        <v>133298713.35016388</v>
      </c>
      <c r="H162" s="6">
        <f>SUM(H123:H134)</f>
        <v>137055903.44188696</v>
      </c>
      <c r="U162" s="6">
        <f>SUM(U123:U134)</f>
        <v>1795753771.0373957</v>
      </c>
      <c r="V162" s="36"/>
      <c r="W162" s="5"/>
      <c r="X162" s="5"/>
      <c r="Y162" s="6">
        <f t="shared" si="32"/>
        <v>137055903.44188696</v>
      </c>
      <c r="Z162" s="6">
        <f t="shared" si="33"/>
        <v>1658697867.5955088</v>
      </c>
    </row>
    <row r="163" spans="1:28" x14ac:dyDescent="0.2">
      <c r="A163" s="50">
        <v>2019</v>
      </c>
      <c r="F163" s="6">
        <f>SUM(F135:F146)</f>
        <v>126975585.48655587</v>
      </c>
      <c r="H163" s="6">
        <f>SUM(H135:H146)</f>
        <v>130554550.35193758</v>
      </c>
      <c r="P163" s="25"/>
      <c r="Q163" s="25"/>
      <c r="U163" s="6">
        <f>SUM(U135:U146)</f>
        <v>1795753771.0373957</v>
      </c>
      <c r="V163" s="36"/>
      <c r="W163" s="5"/>
      <c r="X163" s="5"/>
      <c r="Y163" s="6">
        <f t="shared" si="32"/>
        <v>130554550.35193758</v>
      </c>
      <c r="Z163" s="6">
        <f t="shared" si="33"/>
        <v>1665199220.6854582</v>
      </c>
      <c r="AA163" s="6"/>
      <c r="AB163" s="55"/>
    </row>
    <row r="164" spans="1:28" x14ac:dyDescent="0.2">
      <c r="F164" s="6"/>
      <c r="U164" s="6"/>
      <c r="Y164" s="5"/>
      <c r="Z164" s="5"/>
      <c r="AA164" s="6"/>
      <c r="AB164" s="55"/>
    </row>
    <row r="165" spans="1:28" x14ac:dyDescent="0.2">
      <c r="A165" s="110" t="s">
        <v>12</v>
      </c>
      <c r="D165" s="6">
        <f>SUM(D152:D161)</f>
        <v>14573307887.427416</v>
      </c>
      <c r="E165" s="6">
        <f t="shared" ref="E165:I165" si="34">SUM(E152:E161)</f>
        <v>2944144417.551877</v>
      </c>
      <c r="F165" s="6">
        <f>SUM(F152:F163)</f>
        <v>809033191.15459466</v>
      </c>
      <c r="G165" s="290">
        <f>H165/F165</f>
        <v>1.0273898327018713</v>
      </c>
      <c r="H165" s="6">
        <f>SUM(H152:H163)</f>
        <v>831192474.91058016</v>
      </c>
      <c r="I165" s="6">
        <f t="shared" si="34"/>
        <v>18081034326.09605</v>
      </c>
      <c r="U165" s="6">
        <f t="shared" ref="U165" si="35">SUM(U152:U161)</f>
        <v>18081034326.096046</v>
      </c>
      <c r="V165" s="48">
        <f>U165-I165</f>
        <v>0</v>
      </c>
      <c r="Y165" s="6">
        <f>SUM(Y152:Y163)</f>
        <v>831192474.91058016</v>
      </c>
      <c r="Z165" s="5"/>
      <c r="AA165" s="6"/>
      <c r="AB165" s="55"/>
    </row>
    <row r="166" spans="1:28" x14ac:dyDescent="0.2">
      <c r="Y166" s="5"/>
      <c r="Z166" s="5"/>
      <c r="AA166" s="6"/>
      <c r="AB166" s="55"/>
    </row>
    <row r="167" spans="1:28" x14ac:dyDescent="0.2">
      <c r="U167" s="6">
        <f>SUM(U152:U163)</f>
        <v>21672541868.170837</v>
      </c>
      <c r="V167" s="48">
        <f>U150-U167</f>
        <v>0</v>
      </c>
      <c r="Y167" s="5"/>
      <c r="Z167" s="5"/>
      <c r="AA167" s="6"/>
      <c r="AB167" s="55"/>
    </row>
    <row r="168" spans="1:28" x14ac:dyDescent="0.2">
      <c r="U168" s="16"/>
      <c r="V168" s="16" t="s">
        <v>65</v>
      </c>
      <c r="W168" s="16"/>
      <c r="X168" s="16"/>
      <c r="Y168" s="5"/>
      <c r="Z168" s="5"/>
      <c r="AA168" s="6"/>
      <c r="AB168" s="55"/>
    </row>
    <row r="169" spans="1:28" x14ac:dyDescent="0.2">
      <c r="Y169" s="6"/>
      <c r="Z169" s="5"/>
      <c r="AA169" s="6"/>
      <c r="AB169" s="55"/>
    </row>
    <row r="170" spans="1:28" x14ac:dyDescent="0.2">
      <c r="Y170" s="6"/>
      <c r="Z170" s="5"/>
      <c r="AA170" s="6"/>
      <c r="AB170" s="55"/>
    </row>
    <row r="171" spans="1:28" x14ac:dyDescent="0.2">
      <c r="B171" s="40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 s="6"/>
      <c r="Z171" s="5"/>
      <c r="AA171" s="6"/>
      <c r="AB171" s="55"/>
    </row>
    <row r="172" spans="1:28" x14ac:dyDescent="0.2">
      <c r="A172" s="49">
        <v>43496</v>
      </c>
      <c r="C172" s="15"/>
      <c r="F172" s="15">
        <f>F135</f>
        <v>10973935.710179139</v>
      </c>
      <c r="J172" s="131">
        <f>'Weather Analysis '!AA8</f>
        <v>728.58541353383453</v>
      </c>
      <c r="K172" s="131">
        <f>'Weather Analysis '!AA28</f>
        <v>0</v>
      </c>
      <c r="L172" s="10">
        <f>L135</f>
        <v>31</v>
      </c>
      <c r="M172" s="10">
        <f t="shared" ref="M172:O172" si="36">M135</f>
        <v>0</v>
      </c>
      <c r="N172" s="10">
        <f t="shared" si="36"/>
        <v>352</v>
      </c>
      <c r="O172" s="10">
        <f t="shared" si="36"/>
        <v>1</v>
      </c>
      <c r="P172" s="239">
        <f>P135</f>
        <v>39.133333333333333</v>
      </c>
      <c r="Q172" s="239"/>
      <c r="R172" s="15">
        <v>705.6</v>
      </c>
      <c r="S172" s="105">
        <v>165.45918699825475</v>
      </c>
      <c r="T172" s="30"/>
      <c r="U172" s="15">
        <f t="shared" ref="U172:U183" si="37">$AB$18+$AB$19*J172+$AB$20*K172+$AB$21*L172+$AB$22*M172+$AB$23*N172+$AB$24*O172+$AB$25*P172+F172*$AB$26</f>
        <v>158039040.12608141</v>
      </c>
      <c r="V172" s="48"/>
      <c r="W172"/>
      <c r="X172"/>
      <c r="Y172" s="15"/>
      <c r="Z172"/>
    </row>
    <row r="173" spans="1:28" x14ac:dyDescent="0.2">
      <c r="A173" s="49">
        <v>43524</v>
      </c>
      <c r="C173" s="15"/>
      <c r="F173" s="15">
        <f t="shared" ref="F173:F183" si="38">F136</f>
        <v>10902547.179336809</v>
      </c>
      <c r="J173" s="131">
        <f>'Weather Analysis '!AA9</f>
        <v>711.62060150376055</v>
      </c>
      <c r="K173" s="131">
        <f>'Weather Analysis '!AA29</f>
        <v>0</v>
      </c>
      <c r="L173" s="10">
        <f t="shared" ref="L173:O183" si="39">L136</f>
        <v>28</v>
      </c>
      <c r="M173" s="10">
        <f t="shared" si="39"/>
        <v>0</v>
      </c>
      <c r="N173" s="10">
        <f t="shared" si="39"/>
        <v>304</v>
      </c>
      <c r="O173" s="10">
        <f t="shared" si="39"/>
        <v>1</v>
      </c>
      <c r="P173" s="239">
        <f t="shared" ref="P173:P183" si="40">P172</f>
        <v>39.133333333333333</v>
      </c>
      <c r="Q173" s="239"/>
      <c r="R173" s="15">
        <v>705.6</v>
      </c>
      <c r="S173" s="105">
        <v>165.732456297732</v>
      </c>
      <c r="T173" s="30"/>
      <c r="U173" s="15">
        <f t="shared" si="37"/>
        <v>146239889.04589579</v>
      </c>
      <c r="V173" s="48"/>
      <c r="W173"/>
      <c r="X173"/>
      <c r="Y173" s="15"/>
      <c r="Z173"/>
    </row>
    <row r="174" spans="1:28" x14ac:dyDescent="0.2">
      <c r="A174" s="49">
        <v>43555</v>
      </c>
      <c r="C174" s="15"/>
      <c r="F174" s="15">
        <f t="shared" si="38"/>
        <v>10831158.648494478</v>
      </c>
      <c r="J174" s="131">
        <f>'Weather Analysis '!AA10</f>
        <v>577.69691729323313</v>
      </c>
      <c r="K174" s="131">
        <f>'Weather Analysis '!AA30</f>
        <v>0</v>
      </c>
      <c r="L174" s="10">
        <f t="shared" si="39"/>
        <v>31</v>
      </c>
      <c r="M174" s="10">
        <f t="shared" si="39"/>
        <v>1</v>
      </c>
      <c r="N174" s="10">
        <f t="shared" si="39"/>
        <v>336</v>
      </c>
      <c r="O174" s="10">
        <f t="shared" si="39"/>
        <v>1</v>
      </c>
      <c r="P174" s="239">
        <f t="shared" si="40"/>
        <v>39.133333333333333</v>
      </c>
      <c r="Q174" s="239"/>
      <c r="R174" s="15">
        <v>705.6</v>
      </c>
      <c r="S174" s="105">
        <v>166.00617692367464</v>
      </c>
      <c r="T174" s="30"/>
      <c r="U174" s="15">
        <f t="shared" si="37"/>
        <v>149941079.25835815</v>
      </c>
      <c r="V174" s="48"/>
      <c r="W174"/>
      <c r="X174"/>
      <c r="Y174" s="15"/>
      <c r="Z174"/>
    </row>
    <row r="175" spans="1:28" x14ac:dyDescent="0.2">
      <c r="A175" s="49">
        <v>43585</v>
      </c>
      <c r="C175" s="15"/>
      <c r="F175" s="15">
        <f t="shared" si="38"/>
        <v>10759770.117652148</v>
      </c>
      <c r="J175" s="131">
        <f>'Weather Analysis '!AA11</f>
        <v>350.66067669172912</v>
      </c>
      <c r="K175" s="131">
        <f>'Weather Analysis '!AA31</f>
        <v>-2.210526315788286E-2</v>
      </c>
      <c r="L175" s="10">
        <f t="shared" si="39"/>
        <v>30</v>
      </c>
      <c r="M175" s="10">
        <f t="shared" si="39"/>
        <v>1</v>
      </c>
      <c r="N175" s="10">
        <f t="shared" si="39"/>
        <v>336</v>
      </c>
      <c r="O175" s="10">
        <f t="shared" si="39"/>
        <v>1</v>
      </c>
      <c r="P175" s="239">
        <f t="shared" si="40"/>
        <v>39.133333333333333</v>
      </c>
      <c r="Q175" s="239"/>
      <c r="R175" s="15">
        <v>705.6</v>
      </c>
      <c r="S175" s="105">
        <v>166.28034962148504</v>
      </c>
      <c r="T175" s="30"/>
      <c r="U175" s="15">
        <f t="shared" si="37"/>
        <v>142560475.6230261</v>
      </c>
      <c r="V175" s="48"/>
      <c r="W175"/>
      <c r="X175"/>
      <c r="Y175" s="15"/>
      <c r="Z175"/>
    </row>
    <row r="176" spans="1:28" x14ac:dyDescent="0.2">
      <c r="A176" s="49">
        <v>43616</v>
      </c>
      <c r="C176" s="15"/>
      <c r="F176" s="15">
        <f t="shared" si="38"/>
        <v>10688381.586809818</v>
      </c>
      <c r="J176" s="131">
        <f>'Weather Analysis '!AA12</f>
        <v>168.09691729323305</v>
      </c>
      <c r="K176" s="131">
        <f>'Weather Analysis '!AA32</f>
        <v>14.639999999999873</v>
      </c>
      <c r="L176" s="10">
        <f t="shared" si="39"/>
        <v>31</v>
      </c>
      <c r="M176" s="10">
        <f t="shared" si="39"/>
        <v>1</v>
      </c>
      <c r="N176" s="10">
        <f t="shared" si="39"/>
        <v>352</v>
      </c>
      <c r="O176" s="10">
        <f t="shared" si="39"/>
        <v>1</v>
      </c>
      <c r="P176" s="239">
        <f t="shared" si="40"/>
        <v>39.133333333333333</v>
      </c>
      <c r="Q176" s="239"/>
      <c r="R176" s="15">
        <v>705.6</v>
      </c>
      <c r="S176" s="105">
        <v>166.55497513779665</v>
      </c>
      <c r="T176" s="30"/>
      <c r="U176" s="15">
        <f t="shared" si="37"/>
        <v>146735249.3157022</v>
      </c>
      <c r="V176" s="48"/>
      <c r="W176"/>
      <c r="X176"/>
      <c r="Y176" s="15"/>
      <c r="Z176"/>
    </row>
    <row r="177" spans="1:26" x14ac:dyDescent="0.2">
      <c r="A177" s="49">
        <v>43646</v>
      </c>
      <c r="C177" s="15"/>
      <c r="F177" s="15">
        <f t="shared" si="38"/>
        <v>10616993.055967487</v>
      </c>
      <c r="J177" s="131">
        <f>'Weather Analysis '!AA13</f>
        <v>44.168571428571454</v>
      </c>
      <c r="K177" s="131">
        <f>'Weather Analysis '!AA33</f>
        <v>28.525789473684199</v>
      </c>
      <c r="L177" s="10">
        <f t="shared" si="39"/>
        <v>30</v>
      </c>
      <c r="M177" s="10">
        <f t="shared" si="39"/>
        <v>0</v>
      </c>
      <c r="N177" s="10">
        <f t="shared" si="39"/>
        <v>320</v>
      </c>
      <c r="O177" s="10">
        <f t="shared" si="39"/>
        <v>1</v>
      </c>
      <c r="P177" s="239">
        <f t="shared" si="40"/>
        <v>39.133333333333333</v>
      </c>
      <c r="Q177" s="239"/>
      <c r="R177" s="15">
        <v>705.6</v>
      </c>
      <c r="S177" s="105">
        <v>166.83005422047603</v>
      </c>
      <c r="T177" s="30"/>
      <c r="U177" s="15">
        <f t="shared" si="37"/>
        <v>146360130.31497505</v>
      </c>
      <c r="V177" s="48"/>
      <c r="W177"/>
      <c r="X177"/>
      <c r="Y177" s="15"/>
      <c r="Z177"/>
    </row>
    <row r="178" spans="1:26" x14ac:dyDescent="0.2">
      <c r="A178" s="49">
        <v>43677</v>
      </c>
      <c r="C178" s="15"/>
      <c r="F178" s="15">
        <f t="shared" si="38"/>
        <v>10545604.525125157</v>
      </c>
      <c r="J178" s="131">
        <f>'Weather Analysis '!AA14</f>
        <v>13.884661654135343</v>
      </c>
      <c r="K178" s="131">
        <f>'Weather Analysis '!AA34</f>
        <v>74.357894736842013</v>
      </c>
      <c r="L178" s="10">
        <f t="shared" si="39"/>
        <v>31</v>
      </c>
      <c r="M178" s="10">
        <f t="shared" si="39"/>
        <v>0</v>
      </c>
      <c r="N178" s="10">
        <f t="shared" si="39"/>
        <v>352</v>
      </c>
      <c r="O178" s="10">
        <f t="shared" si="39"/>
        <v>1</v>
      </c>
      <c r="P178" s="239">
        <f t="shared" si="40"/>
        <v>39.133333333333333</v>
      </c>
      <c r="Q178" s="239"/>
      <c r="R178" s="15">
        <v>705.6</v>
      </c>
      <c r="S178" s="105">
        <v>167.1055876186249</v>
      </c>
      <c r="T178" s="30"/>
      <c r="U178" s="15">
        <f t="shared" si="37"/>
        <v>164500986.91924596</v>
      </c>
      <c r="V178" s="48"/>
      <c r="W178"/>
      <c r="X178"/>
      <c r="Y178" s="15"/>
      <c r="Z178"/>
    </row>
    <row r="179" spans="1:26" x14ac:dyDescent="0.2">
      <c r="A179" s="49">
        <v>43708</v>
      </c>
      <c r="C179" s="15"/>
      <c r="F179" s="15">
        <f t="shared" si="38"/>
        <v>10474215.994282827</v>
      </c>
      <c r="J179" s="131">
        <f>'Weather Analysis '!AA15</f>
        <v>25.054736842105285</v>
      </c>
      <c r="K179" s="131">
        <f>'Weather Analysis '!AA35</f>
        <v>49.661578947368298</v>
      </c>
      <c r="L179" s="10">
        <f t="shared" si="39"/>
        <v>31</v>
      </c>
      <c r="M179" s="10">
        <f t="shared" si="39"/>
        <v>0</v>
      </c>
      <c r="N179" s="10">
        <f t="shared" si="39"/>
        <v>336</v>
      </c>
      <c r="O179" s="10">
        <f t="shared" si="39"/>
        <v>1</v>
      </c>
      <c r="P179" s="239">
        <f t="shared" si="40"/>
        <v>39.133333333333333</v>
      </c>
      <c r="Q179" s="239"/>
      <c r="R179" s="15">
        <v>705.6</v>
      </c>
      <c r="S179" s="105">
        <v>167.3815760825822</v>
      </c>
      <c r="T179" s="30"/>
      <c r="U179" s="15">
        <f t="shared" si="37"/>
        <v>156024299.44692823</v>
      </c>
      <c r="V179" s="48"/>
      <c r="W179"/>
      <c r="X179"/>
      <c r="Y179" s="15"/>
      <c r="Z179"/>
    </row>
    <row r="180" spans="1:26" x14ac:dyDescent="0.2">
      <c r="A180" s="49">
        <v>43738</v>
      </c>
      <c r="C180" s="49"/>
      <c r="F180" s="15">
        <f t="shared" si="38"/>
        <v>10402827.463440496</v>
      </c>
      <c r="J180" s="131">
        <f>'Weather Analysis '!AA16</f>
        <v>94.78315789473686</v>
      </c>
      <c r="K180" s="131">
        <f>'Weather Analysis '!AA36</f>
        <v>22.606842105263183</v>
      </c>
      <c r="L180" s="10">
        <f t="shared" si="39"/>
        <v>30</v>
      </c>
      <c r="M180" s="10">
        <f t="shared" si="39"/>
        <v>1</v>
      </c>
      <c r="N180" s="10">
        <f t="shared" si="39"/>
        <v>320</v>
      </c>
      <c r="O180" s="10">
        <f t="shared" si="39"/>
        <v>1</v>
      </c>
      <c r="P180" s="239">
        <f t="shared" si="40"/>
        <v>39.133333333333333</v>
      </c>
      <c r="Q180" s="239"/>
      <c r="R180" s="15">
        <v>705.6</v>
      </c>
      <c r="S180" s="105">
        <v>167.65802036392614</v>
      </c>
      <c r="U180" s="15">
        <f t="shared" si="37"/>
        <v>142297053.94050455</v>
      </c>
      <c r="V180" s="48"/>
      <c r="W180"/>
      <c r="X180"/>
      <c r="Y180" s="15"/>
      <c r="Z180"/>
    </row>
    <row r="181" spans="1:26" x14ac:dyDescent="0.2">
      <c r="A181" s="49">
        <v>43769</v>
      </c>
      <c r="C181" s="49"/>
      <c r="F181" s="15">
        <f t="shared" si="38"/>
        <v>10331438.932598166</v>
      </c>
      <c r="J181" s="131">
        <f>'Weather Analysis '!AA17</f>
        <v>250.08022556391006</v>
      </c>
      <c r="K181" s="131">
        <f>'Weather Analysis '!AA37</f>
        <v>1.2442105263157892</v>
      </c>
      <c r="L181" s="10">
        <f t="shared" si="39"/>
        <v>31</v>
      </c>
      <c r="M181" s="10">
        <f t="shared" si="39"/>
        <v>1</v>
      </c>
      <c r="N181" s="10">
        <f t="shared" si="39"/>
        <v>352</v>
      </c>
      <c r="O181" s="10">
        <f t="shared" si="39"/>
        <v>1</v>
      </c>
      <c r="P181" s="239">
        <f t="shared" si="40"/>
        <v>39.133333333333333</v>
      </c>
      <c r="Q181" s="239"/>
      <c r="R181" s="15">
        <v>705.6</v>
      </c>
      <c r="S181" s="105">
        <v>167.93492121547615</v>
      </c>
      <c r="U181" s="15">
        <f t="shared" si="37"/>
        <v>144549997.72196329</v>
      </c>
      <c r="V181" s="48"/>
      <c r="W181"/>
      <c r="X181"/>
      <c r="Y181" s="15"/>
      <c r="Z181"/>
    </row>
    <row r="182" spans="1:26" x14ac:dyDescent="0.2">
      <c r="A182" s="49">
        <v>43799</v>
      </c>
      <c r="C182" s="49"/>
      <c r="F182" s="15">
        <f t="shared" si="38"/>
        <v>10260050.401755836</v>
      </c>
      <c r="J182" s="131">
        <f>'Weather Analysis '!AA18</f>
        <v>449.75090225563918</v>
      </c>
      <c r="K182" s="131">
        <f>'Weather Analysis '!AA38</f>
        <v>0</v>
      </c>
      <c r="L182" s="10">
        <f t="shared" si="39"/>
        <v>30</v>
      </c>
      <c r="M182" s="10">
        <f t="shared" si="39"/>
        <v>1</v>
      </c>
      <c r="N182" s="10">
        <f t="shared" si="39"/>
        <v>320</v>
      </c>
      <c r="O182" s="10">
        <f t="shared" si="39"/>
        <v>1</v>
      </c>
      <c r="P182" s="239">
        <f t="shared" si="40"/>
        <v>39.133333333333333</v>
      </c>
      <c r="Q182" s="239"/>
      <c r="R182" s="15">
        <v>705.6</v>
      </c>
      <c r="S182" s="105">
        <v>168.21227939129508</v>
      </c>
      <c r="U182" s="15">
        <f t="shared" si="37"/>
        <v>143338209.79454452</v>
      </c>
      <c r="V182" s="48"/>
      <c r="Y182" s="15"/>
      <c r="Z182"/>
    </row>
    <row r="183" spans="1:26" x14ac:dyDescent="0.2">
      <c r="A183" s="49">
        <v>43830</v>
      </c>
      <c r="C183" s="49"/>
      <c r="F183" s="15">
        <f t="shared" si="38"/>
        <v>10188661.870913506</v>
      </c>
      <c r="J183" s="131">
        <f>'Weather Analysis '!AA19</f>
        <v>632.64684210526275</v>
      </c>
      <c r="K183" s="131">
        <f>'Weather Analysis '!AA39</f>
        <v>0</v>
      </c>
      <c r="L183" s="10">
        <f t="shared" si="39"/>
        <v>31</v>
      </c>
      <c r="M183" s="10">
        <f t="shared" si="39"/>
        <v>0</v>
      </c>
      <c r="N183" s="10">
        <f t="shared" si="39"/>
        <v>320</v>
      </c>
      <c r="O183" s="10">
        <f t="shared" si="39"/>
        <v>1</v>
      </c>
      <c r="P183" s="239">
        <f t="shared" si="40"/>
        <v>39.133333333333333</v>
      </c>
      <c r="Q183" s="239"/>
      <c r="R183" s="15">
        <v>705.6</v>
      </c>
      <c r="S183" s="105">
        <v>168.49009564669103</v>
      </c>
      <c r="U183" s="15">
        <f t="shared" si="37"/>
        <v>153160278.36986583</v>
      </c>
      <c r="V183" s="48">
        <f>SUM(U172:U183)</f>
        <v>1793746689.8770912</v>
      </c>
      <c r="Y183" s="15"/>
      <c r="Z183"/>
    </row>
    <row r="184" spans="1:26" x14ac:dyDescent="0.2">
      <c r="A184"/>
    </row>
    <row r="185" spans="1:26" x14ac:dyDescent="0.2">
      <c r="A185"/>
      <c r="B185" s="4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6" x14ac:dyDescent="0.2">
      <c r="A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6" x14ac:dyDescent="0.2">
      <c r="A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6" x14ac:dyDescent="0.2">
      <c r="A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6" x14ac:dyDescent="0.2">
      <c r="A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6" x14ac:dyDescent="0.2">
      <c r="A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6" x14ac:dyDescent="0.2">
      <c r="A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6" x14ac:dyDescent="0.2">
      <c r="A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6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x14ac:dyDescent="0.2">
      <c r="A198"/>
      <c r="B198"/>
      <c r="C198"/>
      <c r="W198"/>
      <c r="X198"/>
      <c r="Y198"/>
      <c r="Z198"/>
    </row>
    <row r="199" spans="1:26" x14ac:dyDescent="0.2">
      <c r="A199"/>
      <c r="B199"/>
      <c r="C199"/>
      <c r="W199"/>
      <c r="X199"/>
      <c r="Y199"/>
      <c r="Z199"/>
    </row>
    <row r="200" spans="1:26" x14ac:dyDescent="0.2">
      <c r="A200"/>
      <c r="B200"/>
      <c r="C200"/>
      <c r="W200"/>
      <c r="X200"/>
      <c r="Y200"/>
      <c r="Z200"/>
    </row>
    <row r="201" spans="1:26" x14ac:dyDescent="0.2">
      <c r="A201"/>
      <c r="B201"/>
      <c r="C201"/>
      <c r="W201"/>
      <c r="X201"/>
      <c r="Y201"/>
      <c r="Z201"/>
    </row>
    <row r="202" spans="1:26" x14ac:dyDescent="0.2">
      <c r="A202"/>
      <c r="B202"/>
      <c r="C202"/>
      <c r="W202"/>
      <c r="X202"/>
      <c r="Y202"/>
      <c r="Z202"/>
    </row>
    <row r="203" spans="1:26" x14ac:dyDescent="0.2">
      <c r="A203"/>
      <c r="B203"/>
      <c r="C203"/>
      <c r="W203"/>
      <c r="X203"/>
      <c r="Y203"/>
      <c r="Z203"/>
    </row>
    <row r="204" spans="1:26" x14ac:dyDescent="0.2">
      <c r="A204"/>
      <c r="B204"/>
      <c r="C204"/>
      <c r="W204"/>
      <c r="X204"/>
      <c r="Y204"/>
      <c r="Z204"/>
    </row>
    <row r="205" spans="1:26" x14ac:dyDescent="0.2">
      <c r="A205"/>
      <c r="B205"/>
      <c r="C205"/>
      <c r="W205"/>
      <c r="X205"/>
      <c r="Y205"/>
      <c r="Z205"/>
    </row>
    <row r="206" spans="1:26" x14ac:dyDescent="0.2">
      <c r="A206"/>
      <c r="B206"/>
      <c r="C206"/>
      <c r="W206"/>
      <c r="X206"/>
      <c r="Y206"/>
      <c r="Z206"/>
    </row>
    <row r="207" spans="1:26" x14ac:dyDescent="0.2">
      <c r="A207"/>
      <c r="B207"/>
      <c r="C207"/>
      <c r="W207"/>
      <c r="X207"/>
      <c r="Y207"/>
      <c r="Z207"/>
    </row>
    <row r="208" spans="1:26" x14ac:dyDescent="0.2">
      <c r="A208"/>
      <c r="B208"/>
      <c r="C208"/>
      <c r="W208"/>
      <c r="X208"/>
      <c r="Y208"/>
      <c r="Z208"/>
    </row>
    <row r="209" spans="1:26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</sheetData>
  <printOptions gridLines="1"/>
  <pageMargins left="0.38" right="0.75" top="0.73" bottom="0.74" header="0.5" footer="0.5"/>
  <pageSetup scale="15" orientation="landscape" r:id="rId1"/>
  <headerFooter alignWithMargins="0">
    <oddFooter>&amp;L&amp;Z&amp;F</oddFooter>
  </headerFooter>
  <ignoredErrors>
    <ignoredError sqref="E152:E160 P123" formulaRange="1"/>
    <ignoredError sqref="P173:P183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B1:J96"/>
  <sheetViews>
    <sheetView workbookViewId="0"/>
  </sheetViews>
  <sheetFormatPr defaultRowHeight="12.75" x14ac:dyDescent="0.2"/>
  <cols>
    <col min="1" max="1" width="11.7109375" customWidth="1"/>
    <col min="2" max="2" width="14" customWidth="1"/>
    <col min="3" max="3" width="16.28515625" customWidth="1"/>
    <col min="4" max="5" width="11.7109375" customWidth="1"/>
    <col min="6" max="6" width="10.7109375" customWidth="1"/>
    <col min="7" max="7" width="14" customWidth="1"/>
    <col min="8" max="8" width="16.28515625" customWidth="1"/>
    <col min="9" max="10" width="11.7109375" customWidth="1"/>
    <col min="11" max="11" width="11.7109375" bestFit="1" customWidth="1"/>
  </cols>
  <sheetData>
    <row r="1" spans="2:10" ht="13.5" thickBot="1" x14ac:dyDescent="0.25"/>
    <row r="2" spans="2:10" ht="13.5" thickBot="1" x14ac:dyDescent="0.25">
      <c r="G2" s="183" t="s">
        <v>166</v>
      </c>
      <c r="H2" s="184"/>
      <c r="I2" s="184"/>
      <c r="J2" s="185"/>
    </row>
    <row r="3" spans="2:10" x14ac:dyDescent="0.2">
      <c r="B3" s="174" t="s">
        <v>164</v>
      </c>
      <c r="C3" s="174" t="s">
        <v>163</v>
      </c>
      <c r="G3" s="186" t="s">
        <v>164</v>
      </c>
      <c r="H3" s="187" t="s">
        <v>163</v>
      </c>
      <c r="I3" s="57"/>
      <c r="J3" s="157"/>
    </row>
    <row r="4" spans="2:10" x14ac:dyDescent="0.2">
      <c r="B4" s="174" t="s">
        <v>161</v>
      </c>
      <c r="C4" t="s">
        <v>158</v>
      </c>
      <c r="D4" t="s">
        <v>146</v>
      </c>
      <c r="E4" t="s">
        <v>162</v>
      </c>
      <c r="G4" s="186" t="s">
        <v>161</v>
      </c>
      <c r="H4" s="57" t="s">
        <v>158</v>
      </c>
      <c r="I4" s="57" t="s">
        <v>146</v>
      </c>
      <c r="J4" s="157" t="s">
        <v>162</v>
      </c>
    </row>
    <row r="5" spans="2:10" x14ac:dyDescent="0.2">
      <c r="B5" s="40">
        <v>2006</v>
      </c>
      <c r="C5" s="175">
        <v>10983655.91</v>
      </c>
      <c r="D5" s="175">
        <v>28895186.34</v>
      </c>
      <c r="E5" s="175">
        <v>39878842.25</v>
      </c>
      <c r="G5" s="188">
        <v>2006</v>
      </c>
      <c r="H5" s="189">
        <v>10983655.91</v>
      </c>
      <c r="I5" s="189">
        <v>28895186.34</v>
      </c>
      <c r="J5" s="190">
        <v>39878842.25</v>
      </c>
    </row>
    <row r="6" spans="2:10" x14ac:dyDescent="0.2">
      <c r="B6" s="176">
        <v>1</v>
      </c>
      <c r="C6" s="175">
        <v>652776.65</v>
      </c>
      <c r="D6" s="175">
        <v>2352629.7799999998</v>
      </c>
      <c r="E6" s="175">
        <v>3005406.4299999997</v>
      </c>
      <c r="G6" s="191">
        <v>1</v>
      </c>
      <c r="H6" s="189">
        <v>652776.65</v>
      </c>
      <c r="I6" s="189">
        <v>2352629.7799999998</v>
      </c>
      <c r="J6" s="190">
        <v>3005406.4299999997</v>
      </c>
    </row>
    <row r="7" spans="2:10" x14ac:dyDescent="0.2">
      <c r="B7" s="176">
        <v>2</v>
      </c>
      <c r="C7" s="175">
        <v>561230.96</v>
      </c>
      <c r="D7" s="175">
        <v>2111513.52</v>
      </c>
      <c r="E7" s="175">
        <v>2672744.48</v>
      </c>
      <c r="G7" s="191">
        <v>2</v>
      </c>
      <c r="H7" s="189">
        <v>561230.96</v>
      </c>
      <c r="I7" s="189">
        <v>2111513.52</v>
      </c>
      <c r="J7" s="190">
        <v>2672744.48</v>
      </c>
    </row>
    <row r="8" spans="2:10" x14ac:dyDescent="0.2">
      <c r="B8" s="176">
        <v>3</v>
      </c>
      <c r="C8" s="175">
        <v>662890.46</v>
      </c>
      <c r="D8" s="175">
        <v>2336512.73</v>
      </c>
      <c r="E8" s="175">
        <v>2999403.19</v>
      </c>
      <c r="G8" s="191">
        <v>3</v>
      </c>
      <c r="H8" s="189">
        <v>662890.46</v>
      </c>
      <c r="I8" s="189">
        <v>2336512.73</v>
      </c>
      <c r="J8" s="190">
        <v>2999403.19</v>
      </c>
    </row>
    <row r="9" spans="2:10" x14ac:dyDescent="0.2">
      <c r="B9" s="176">
        <v>4</v>
      </c>
      <c r="C9" s="175">
        <v>657244.67999999993</v>
      </c>
      <c r="D9" s="175">
        <v>2282493.7000000002</v>
      </c>
      <c r="E9" s="175">
        <v>2939738.38</v>
      </c>
      <c r="G9" s="191">
        <v>4</v>
      </c>
      <c r="H9" s="189">
        <v>657244.67999999993</v>
      </c>
      <c r="I9" s="189">
        <v>2282493.7000000002</v>
      </c>
      <c r="J9" s="190">
        <v>2939738.38</v>
      </c>
    </row>
    <row r="10" spans="2:10" x14ac:dyDescent="0.2">
      <c r="B10" s="176">
        <v>5</v>
      </c>
      <c r="C10" s="175">
        <v>927719.11</v>
      </c>
      <c r="D10" s="175">
        <v>2496581.63</v>
      </c>
      <c r="E10" s="175">
        <v>3424300.7399999998</v>
      </c>
      <c r="G10" s="191">
        <v>5</v>
      </c>
      <c r="H10" s="189">
        <v>927719.11</v>
      </c>
      <c r="I10" s="189">
        <v>2496581.63</v>
      </c>
      <c r="J10" s="190">
        <v>3424300.7399999998</v>
      </c>
    </row>
    <row r="11" spans="2:10" x14ac:dyDescent="0.2">
      <c r="B11" s="176">
        <v>6</v>
      </c>
      <c r="C11" s="175">
        <v>1116678.9100000001</v>
      </c>
      <c r="D11" s="175">
        <v>2557542.91</v>
      </c>
      <c r="E11" s="175">
        <v>3674221.8200000003</v>
      </c>
      <c r="G11" s="191">
        <v>6</v>
      </c>
      <c r="H11" s="189">
        <v>1116678.9100000001</v>
      </c>
      <c r="I11" s="189">
        <v>2557542.91</v>
      </c>
      <c r="J11" s="190">
        <v>3674221.8200000003</v>
      </c>
    </row>
    <row r="12" spans="2:10" x14ac:dyDescent="0.2">
      <c r="B12" s="176">
        <v>7</v>
      </c>
      <c r="C12" s="175">
        <v>1203425.8900000001</v>
      </c>
      <c r="D12" s="175">
        <v>2820256.11</v>
      </c>
      <c r="E12" s="175">
        <v>4023682</v>
      </c>
      <c r="G12" s="191">
        <v>7</v>
      </c>
      <c r="H12" s="189">
        <v>1203425.8900000001</v>
      </c>
      <c r="I12" s="189">
        <v>2820256.11</v>
      </c>
      <c r="J12" s="190">
        <v>4023682</v>
      </c>
    </row>
    <row r="13" spans="2:10" x14ac:dyDescent="0.2">
      <c r="B13" s="176">
        <v>8</v>
      </c>
      <c r="C13" s="175">
        <v>1172014.6299999999</v>
      </c>
      <c r="D13" s="175">
        <v>2676935.79</v>
      </c>
      <c r="E13" s="175">
        <v>3848950.42</v>
      </c>
      <c r="G13" s="191">
        <v>8</v>
      </c>
      <c r="H13" s="189">
        <v>1172014.6299999999</v>
      </c>
      <c r="I13" s="189">
        <v>2676935.79</v>
      </c>
      <c r="J13" s="190">
        <v>3848950.42</v>
      </c>
    </row>
    <row r="14" spans="2:10" x14ac:dyDescent="0.2">
      <c r="B14" s="176">
        <v>9</v>
      </c>
      <c r="C14" s="175">
        <v>1047357.85</v>
      </c>
      <c r="D14" s="175">
        <v>2425889.27</v>
      </c>
      <c r="E14" s="175">
        <v>3473247.12</v>
      </c>
      <c r="G14" s="191">
        <v>9</v>
      </c>
      <c r="H14" s="189">
        <v>1047357.85</v>
      </c>
      <c r="I14" s="189">
        <v>2425889.27</v>
      </c>
      <c r="J14" s="190">
        <v>3473247.12</v>
      </c>
    </row>
    <row r="15" spans="2:10" x14ac:dyDescent="0.2">
      <c r="B15" s="176">
        <v>10</v>
      </c>
      <c r="C15" s="175">
        <v>1009860.3200000001</v>
      </c>
      <c r="D15" s="175">
        <v>2369985.73</v>
      </c>
      <c r="E15" s="175">
        <v>3379846.05</v>
      </c>
      <c r="G15" s="191">
        <v>10</v>
      </c>
      <c r="H15" s="189">
        <v>1009860.3200000001</v>
      </c>
      <c r="I15" s="189">
        <v>2369985.73</v>
      </c>
      <c r="J15" s="190">
        <v>3379846.05</v>
      </c>
    </row>
    <row r="16" spans="2:10" x14ac:dyDescent="0.2">
      <c r="B16" s="176">
        <v>11</v>
      </c>
      <c r="C16" s="175">
        <v>975918.23</v>
      </c>
      <c r="D16" s="175">
        <v>2209706.0699999998</v>
      </c>
      <c r="E16" s="175">
        <v>3185624.3</v>
      </c>
      <c r="G16" s="191">
        <v>11</v>
      </c>
      <c r="H16" s="189">
        <v>975918.23</v>
      </c>
      <c r="I16" s="189">
        <v>2209706.0699999998</v>
      </c>
      <c r="J16" s="190">
        <v>3185624.3</v>
      </c>
    </row>
    <row r="17" spans="2:10" x14ac:dyDescent="0.2">
      <c r="B17" s="176">
        <v>12</v>
      </c>
      <c r="C17" s="175">
        <v>996538.22</v>
      </c>
      <c r="D17" s="175">
        <v>2255139.1</v>
      </c>
      <c r="E17" s="175">
        <v>3251677.3200000003</v>
      </c>
      <c r="G17" s="191">
        <v>12</v>
      </c>
      <c r="H17" s="189">
        <v>996538.22</v>
      </c>
      <c r="I17" s="189">
        <v>2255139.1</v>
      </c>
      <c r="J17" s="190">
        <v>3251677.3200000003</v>
      </c>
    </row>
    <row r="18" spans="2:10" x14ac:dyDescent="0.2">
      <c r="B18" s="40">
        <v>2007</v>
      </c>
      <c r="C18" s="175">
        <v>12658522.370000001</v>
      </c>
      <c r="D18" s="175">
        <v>28728216.75</v>
      </c>
      <c r="E18" s="175">
        <v>41386739.119999997</v>
      </c>
      <c r="G18" s="188">
        <v>2007</v>
      </c>
      <c r="H18" s="189">
        <v>12658522.370000001</v>
      </c>
      <c r="I18" s="189">
        <v>28728216.75</v>
      </c>
      <c r="J18" s="190">
        <v>41386739.119999997</v>
      </c>
    </row>
    <row r="19" spans="2:10" x14ac:dyDescent="0.2">
      <c r="B19" s="176">
        <v>1</v>
      </c>
      <c r="C19" s="175">
        <v>986345.73</v>
      </c>
      <c r="D19" s="175">
        <v>2251091.42</v>
      </c>
      <c r="E19" s="175">
        <v>3237437.15</v>
      </c>
      <c r="G19" s="191">
        <v>1</v>
      </c>
      <c r="H19" s="189">
        <v>986345.73</v>
      </c>
      <c r="I19" s="189">
        <v>2251091.42</v>
      </c>
      <c r="J19" s="190">
        <v>3237437.15</v>
      </c>
    </row>
    <row r="20" spans="2:10" x14ac:dyDescent="0.2">
      <c r="B20" s="176">
        <v>2</v>
      </c>
      <c r="C20" s="175">
        <v>886214.18000000017</v>
      </c>
      <c r="D20" s="175">
        <v>2016992.14</v>
      </c>
      <c r="E20" s="175">
        <v>2903206.3200000003</v>
      </c>
      <c r="G20" s="191">
        <v>2</v>
      </c>
      <c r="H20" s="189">
        <v>886214.18000000017</v>
      </c>
      <c r="I20" s="189">
        <v>2016992.14</v>
      </c>
      <c r="J20" s="190">
        <v>2903206.3200000003</v>
      </c>
    </row>
    <row r="21" spans="2:10" x14ac:dyDescent="0.2">
      <c r="B21" s="176">
        <v>3</v>
      </c>
      <c r="C21" s="175">
        <v>988850.3600000001</v>
      </c>
      <c r="D21" s="175">
        <v>2301318.81</v>
      </c>
      <c r="E21" s="175">
        <v>3290169.17</v>
      </c>
      <c r="G21" s="191">
        <v>3</v>
      </c>
      <c r="H21" s="189">
        <v>988850.3600000001</v>
      </c>
      <c r="I21" s="189">
        <v>2301318.81</v>
      </c>
      <c r="J21" s="190">
        <v>3290169.17</v>
      </c>
    </row>
    <row r="22" spans="2:10" x14ac:dyDescent="0.2">
      <c r="B22" s="176">
        <v>4</v>
      </c>
      <c r="C22" s="175">
        <v>975433.52</v>
      </c>
      <c r="D22" s="175">
        <v>2216954.69</v>
      </c>
      <c r="E22" s="175">
        <v>3192388.21</v>
      </c>
      <c r="G22" s="191">
        <v>4</v>
      </c>
      <c r="H22" s="189">
        <v>975433.52</v>
      </c>
      <c r="I22" s="189">
        <v>2216954.69</v>
      </c>
      <c r="J22" s="190">
        <v>3192388.21</v>
      </c>
    </row>
    <row r="23" spans="2:10" x14ac:dyDescent="0.2">
      <c r="B23" s="176">
        <v>5</v>
      </c>
      <c r="C23" s="175">
        <v>1096851.94</v>
      </c>
      <c r="D23" s="175">
        <v>2383481.1</v>
      </c>
      <c r="E23" s="175">
        <v>3480333.04</v>
      </c>
      <c r="G23" s="191">
        <v>5</v>
      </c>
      <c r="H23" s="189">
        <v>1096851.94</v>
      </c>
      <c r="I23" s="189">
        <v>2383481.1</v>
      </c>
      <c r="J23" s="190">
        <v>3480333.04</v>
      </c>
    </row>
    <row r="24" spans="2:10" x14ac:dyDescent="0.2">
      <c r="B24" s="176">
        <v>6</v>
      </c>
      <c r="C24" s="175">
        <v>1158494.74</v>
      </c>
      <c r="D24" s="175">
        <v>2564032.9300000002</v>
      </c>
      <c r="E24" s="175">
        <v>3722527.67</v>
      </c>
      <c r="G24" s="191">
        <v>6</v>
      </c>
      <c r="H24" s="189">
        <v>1158494.74</v>
      </c>
      <c r="I24" s="189">
        <v>2564032.9300000002</v>
      </c>
      <c r="J24" s="190">
        <v>3722527.67</v>
      </c>
    </row>
    <row r="25" spans="2:10" x14ac:dyDescent="0.2">
      <c r="B25" s="176">
        <v>7</v>
      </c>
      <c r="C25" s="175">
        <v>1151661.77</v>
      </c>
      <c r="D25" s="175">
        <v>2653374.13</v>
      </c>
      <c r="E25" s="175">
        <v>3805035.9</v>
      </c>
      <c r="G25" s="191">
        <v>7</v>
      </c>
      <c r="H25" s="189">
        <v>1151661.77</v>
      </c>
      <c r="I25" s="189">
        <v>2653374.13</v>
      </c>
      <c r="J25" s="190">
        <v>3805035.9</v>
      </c>
    </row>
    <row r="26" spans="2:10" x14ac:dyDescent="0.2">
      <c r="B26" s="176">
        <v>8</v>
      </c>
      <c r="C26" s="175">
        <v>1191437.76</v>
      </c>
      <c r="D26" s="175">
        <v>2770716.71</v>
      </c>
      <c r="E26" s="175">
        <v>3962154.4699999997</v>
      </c>
      <c r="G26" s="191">
        <v>8</v>
      </c>
      <c r="H26" s="189">
        <v>1191437.76</v>
      </c>
      <c r="I26" s="189">
        <v>2770716.71</v>
      </c>
      <c r="J26" s="190">
        <v>3962154.4699999997</v>
      </c>
    </row>
    <row r="27" spans="2:10" x14ac:dyDescent="0.2">
      <c r="B27" s="176">
        <v>9</v>
      </c>
      <c r="C27" s="175">
        <v>1106190.92</v>
      </c>
      <c r="D27" s="175">
        <v>2535396.9700000002</v>
      </c>
      <c r="E27" s="175">
        <v>3641587.89</v>
      </c>
      <c r="G27" s="191">
        <v>9</v>
      </c>
      <c r="H27" s="189">
        <v>1106190.92</v>
      </c>
      <c r="I27" s="189">
        <v>2535396.9700000002</v>
      </c>
      <c r="J27" s="190">
        <v>3641587.89</v>
      </c>
    </row>
    <row r="28" spans="2:10" x14ac:dyDescent="0.2">
      <c r="B28" s="176">
        <v>10</v>
      </c>
      <c r="C28" s="175">
        <v>1099430.3999999999</v>
      </c>
      <c r="D28" s="175">
        <v>2509946.52</v>
      </c>
      <c r="E28" s="175">
        <v>3609376.92</v>
      </c>
      <c r="G28" s="191">
        <v>10</v>
      </c>
      <c r="H28" s="189">
        <v>1099430.3999999999</v>
      </c>
      <c r="I28" s="189">
        <v>2509946.52</v>
      </c>
      <c r="J28" s="190">
        <v>3609376.92</v>
      </c>
    </row>
    <row r="29" spans="2:10" x14ac:dyDescent="0.2">
      <c r="B29" s="176">
        <v>11</v>
      </c>
      <c r="C29" s="175">
        <v>992246.33000000007</v>
      </c>
      <c r="D29" s="175">
        <v>2250196</v>
      </c>
      <c r="E29" s="175">
        <v>3242442.33</v>
      </c>
      <c r="G29" s="191">
        <v>11</v>
      </c>
      <c r="H29" s="189">
        <v>992246.33000000007</v>
      </c>
      <c r="I29" s="189">
        <v>2250196</v>
      </c>
      <c r="J29" s="190">
        <v>3242442.33</v>
      </c>
    </row>
    <row r="30" spans="2:10" x14ac:dyDescent="0.2">
      <c r="B30" s="176">
        <v>12</v>
      </c>
      <c r="C30" s="175">
        <v>1025364.72</v>
      </c>
      <c r="D30" s="175">
        <v>2274715.33</v>
      </c>
      <c r="E30" s="175">
        <v>3300080.05</v>
      </c>
      <c r="G30" s="191">
        <v>12</v>
      </c>
      <c r="H30" s="189">
        <v>1025364.72</v>
      </c>
      <c r="I30" s="189">
        <v>2274715.33</v>
      </c>
      <c r="J30" s="190">
        <v>3300080.05</v>
      </c>
    </row>
    <row r="31" spans="2:10" x14ac:dyDescent="0.2">
      <c r="B31" s="40">
        <v>2008</v>
      </c>
      <c r="C31" s="175">
        <v>12753302.910000002</v>
      </c>
      <c r="D31" s="175">
        <v>28852451.160000004</v>
      </c>
      <c r="E31" s="175">
        <v>41605754.07</v>
      </c>
      <c r="G31" s="188">
        <v>2008</v>
      </c>
      <c r="H31" s="189">
        <v>12753302.910000002</v>
      </c>
      <c r="I31" s="189">
        <v>28852451.160000004</v>
      </c>
      <c r="J31" s="190">
        <v>41605754.07</v>
      </c>
    </row>
    <row r="32" spans="2:10" x14ac:dyDescent="0.2">
      <c r="B32" s="176">
        <v>1</v>
      </c>
      <c r="C32" s="175">
        <v>1017042.25</v>
      </c>
      <c r="D32" s="175">
        <v>2302524.36</v>
      </c>
      <c r="E32" s="175">
        <v>3319566.61</v>
      </c>
      <c r="G32" s="191">
        <v>1</v>
      </c>
      <c r="H32" s="189">
        <v>1017042.25</v>
      </c>
      <c r="I32" s="189">
        <v>2302524.36</v>
      </c>
      <c r="J32" s="190">
        <v>3319566.61</v>
      </c>
    </row>
    <row r="33" spans="2:10" x14ac:dyDescent="0.2">
      <c r="B33" s="176">
        <v>2</v>
      </c>
      <c r="C33" s="175">
        <v>929790.98</v>
      </c>
      <c r="D33" s="175">
        <v>2098246.88</v>
      </c>
      <c r="E33" s="175">
        <v>3028037.86</v>
      </c>
      <c r="G33" s="191">
        <v>2</v>
      </c>
      <c r="H33" s="189">
        <v>929790.98</v>
      </c>
      <c r="I33" s="189">
        <v>2098246.88</v>
      </c>
      <c r="J33" s="190">
        <v>3028037.86</v>
      </c>
    </row>
    <row r="34" spans="2:10" x14ac:dyDescent="0.2">
      <c r="B34" s="176">
        <v>3</v>
      </c>
      <c r="C34" s="175">
        <v>987893.02</v>
      </c>
      <c r="D34" s="175">
        <v>2226410.83</v>
      </c>
      <c r="E34" s="175">
        <v>3214303.85</v>
      </c>
      <c r="G34" s="191">
        <v>3</v>
      </c>
      <c r="H34" s="189">
        <v>987893.02</v>
      </c>
      <c r="I34" s="189">
        <v>2226410.83</v>
      </c>
      <c r="J34" s="190">
        <v>3214303.85</v>
      </c>
    </row>
    <row r="35" spans="2:10" x14ac:dyDescent="0.2">
      <c r="B35" s="176">
        <v>4</v>
      </c>
      <c r="C35" s="175">
        <v>1015647.5700000001</v>
      </c>
      <c r="D35" s="175">
        <v>2254963.5299999998</v>
      </c>
      <c r="E35" s="175">
        <v>3270611.0999999996</v>
      </c>
      <c r="G35" s="191">
        <v>4</v>
      </c>
      <c r="H35" s="189">
        <v>1015647.5700000001</v>
      </c>
      <c r="I35" s="189">
        <v>2254963.5299999998</v>
      </c>
      <c r="J35" s="190">
        <v>3270611.0999999996</v>
      </c>
    </row>
    <row r="36" spans="2:10" x14ac:dyDescent="0.2">
      <c r="B36" s="176">
        <v>5</v>
      </c>
      <c r="C36" s="175">
        <v>1064061.3</v>
      </c>
      <c r="D36" s="175">
        <v>2401306.35</v>
      </c>
      <c r="E36" s="175">
        <v>3465367.6500000004</v>
      </c>
      <c r="G36" s="191">
        <v>5</v>
      </c>
      <c r="H36" s="189">
        <v>1064061.3</v>
      </c>
      <c r="I36" s="189">
        <v>2401306.35</v>
      </c>
      <c r="J36" s="190">
        <v>3465367.6500000004</v>
      </c>
    </row>
    <row r="37" spans="2:10" x14ac:dyDescent="0.2">
      <c r="B37" s="176">
        <v>6</v>
      </c>
      <c r="C37" s="175">
        <v>1158591.1599999999</v>
      </c>
      <c r="D37" s="175">
        <v>2550283.7200000002</v>
      </c>
      <c r="E37" s="175">
        <v>3708874.88</v>
      </c>
      <c r="G37" s="191">
        <v>6</v>
      </c>
      <c r="H37" s="189">
        <v>1158591.1599999999</v>
      </c>
      <c r="I37" s="189">
        <v>2550283.7200000002</v>
      </c>
      <c r="J37" s="190">
        <v>3708874.88</v>
      </c>
    </row>
    <row r="38" spans="2:10" x14ac:dyDescent="0.2">
      <c r="B38" s="176">
        <v>7</v>
      </c>
      <c r="C38" s="175">
        <v>1216029.9300000002</v>
      </c>
      <c r="D38" s="175">
        <v>2718027.7</v>
      </c>
      <c r="E38" s="175">
        <v>3934057.6300000004</v>
      </c>
      <c r="G38" s="191">
        <v>7</v>
      </c>
      <c r="H38" s="189">
        <v>1216029.9300000002</v>
      </c>
      <c r="I38" s="189">
        <v>2718027.7</v>
      </c>
      <c r="J38" s="190">
        <v>3934057.6300000004</v>
      </c>
    </row>
    <row r="39" spans="2:10" x14ac:dyDescent="0.2">
      <c r="B39" s="176">
        <v>8</v>
      </c>
      <c r="C39" s="175">
        <v>1159348.76</v>
      </c>
      <c r="D39" s="175">
        <v>2691122.83</v>
      </c>
      <c r="E39" s="175">
        <v>3850471.59</v>
      </c>
      <c r="G39" s="191">
        <v>8</v>
      </c>
      <c r="H39" s="189">
        <v>1159348.76</v>
      </c>
      <c r="I39" s="189">
        <v>2691122.83</v>
      </c>
      <c r="J39" s="190">
        <v>3850471.59</v>
      </c>
    </row>
    <row r="40" spans="2:10" x14ac:dyDescent="0.2">
      <c r="B40" s="176">
        <v>9</v>
      </c>
      <c r="C40" s="175">
        <v>1108848.43</v>
      </c>
      <c r="D40" s="175">
        <v>2516322.0299999998</v>
      </c>
      <c r="E40" s="175">
        <v>3625170.46</v>
      </c>
      <c r="G40" s="191">
        <v>9</v>
      </c>
      <c r="H40" s="189">
        <v>1108848.43</v>
      </c>
      <c r="I40" s="189">
        <v>2516322.0299999998</v>
      </c>
      <c r="J40" s="190">
        <v>3625170.46</v>
      </c>
    </row>
    <row r="41" spans="2:10" x14ac:dyDescent="0.2">
      <c r="B41" s="176">
        <v>10</v>
      </c>
      <c r="C41" s="175">
        <v>1050115.55</v>
      </c>
      <c r="D41" s="175">
        <v>2431597.2000000002</v>
      </c>
      <c r="E41" s="175">
        <v>3481712.75</v>
      </c>
      <c r="G41" s="191">
        <v>10</v>
      </c>
      <c r="H41" s="189">
        <v>1050115.55</v>
      </c>
      <c r="I41" s="189">
        <v>2431597.2000000002</v>
      </c>
      <c r="J41" s="190">
        <v>3481712.75</v>
      </c>
    </row>
    <row r="42" spans="2:10" x14ac:dyDescent="0.2">
      <c r="B42" s="176">
        <v>11</v>
      </c>
      <c r="C42" s="175">
        <v>1003846.99</v>
      </c>
      <c r="D42" s="175">
        <v>2295109.1</v>
      </c>
      <c r="E42" s="175">
        <v>3298956.09</v>
      </c>
      <c r="G42" s="191">
        <v>11</v>
      </c>
      <c r="H42" s="189">
        <v>1003846.99</v>
      </c>
      <c r="I42" s="189">
        <v>2295109.1</v>
      </c>
      <c r="J42" s="190">
        <v>3298956.09</v>
      </c>
    </row>
    <row r="43" spans="2:10" x14ac:dyDescent="0.2">
      <c r="B43" s="176">
        <v>12</v>
      </c>
      <c r="C43" s="175">
        <v>1042086.97</v>
      </c>
      <c r="D43" s="175">
        <v>2366536.63</v>
      </c>
      <c r="E43" s="175">
        <v>3408623.5999999996</v>
      </c>
      <c r="G43" s="191">
        <v>12</v>
      </c>
      <c r="H43" s="189">
        <v>1042086.97</v>
      </c>
      <c r="I43" s="189">
        <v>2366536.63</v>
      </c>
      <c r="J43" s="190">
        <v>3408623.5999999996</v>
      </c>
    </row>
    <row r="44" spans="2:10" x14ac:dyDescent="0.2">
      <c r="B44" s="40">
        <v>2009</v>
      </c>
      <c r="C44" s="175">
        <v>12766388.01</v>
      </c>
      <c r="D44" s="175">
        <v>28944838.669999998</v>
      </c>
      <c r="E44" s="175">
        <v>41711226.68</v>
      </c>
      <c r="G44" s="188">
        <v>2009</v>
      </c>
      <c r="H44" s="189">
        <v>12766388.01</v>
      </c>
      <c r="I44" s="189">
        <v>28944838.669999998</v>
      </c>
      <c r="J44" s="190">
        <v>41711226.68</v>
      </c>
    </row>
    <row r="45" spans="2:10" x14ac:dyDescent="0.2">
      <c r="B45" s="176">
        <v>1</v>
      </c>
      <c r="C45" s="175">
        <v>1020621.25</v>
      </c>
      <c r="D45" s="175">
        <v>2278971.1</v>
      </c>
      <c r="E45" s="175">
        <v>3299592.35</v>
      </c>
      <c r="G45" s="191">
        <v>1</v>
      </c>
      <c r="H45" s="189">
        <v>1020621.25</v>
      </c>
      <c r="I45" s="189">
        <v>2278971.1</v>
      </c>
      <c r="J45" s="190">
        <v>3299592.35</v>
      </c>
    </row>
    <row r="46" spans="2:10" x14ac:dyDescent="0.2">
      <c r="B46" s="176">
        <v>2</v>
      </c>
      <c r="C46" s="175">
        <v>924348.58000000007</v>
      </c>
      <c r="D46" s="175">
        <v>2108440.7599999998</v>
      </c>
      <c r="E46" s="175">
        <v>3032789.34</v>
      </c>
      <c r="G46" s="191">
        <v>2</v>
      </c>
      <c r="H46" s="189">
        <v>924348.58000000007</v>
      </c>
      <c r="I46" s="189">
        <v>2108440.7599999998</v>
      </c>
      <c r="J46" s="190">
        <v>3032789.34</v>
      </c>
    </row>
    <row r="47" spans="2:10" x14ac:dyDescent="0.2">
      <c r="B47" s="176">
        <v>3</v>
      </c>
      <c r="C47" s="175">
        <v>1025895.6400000001</v>
      </c>
      <c r="D47" s="175">
        <v>2411364.08</v>
      </c>
      <c r="E47" s="175">
        <v>3437259.72</v>
      </c>
      <c r="G47" s="191">
        <v>3</v>
      </c>
      <c r="H47" s="189">
        <v>1025895.6400000001</v>
      </c>
      <c r="I47" s="189">
        <v>2411364.08</v>
      </c>
      <c r="J47" s="190">
        <v>3437259.72</v>
      </c>
    </row>
    <row r="48" spans="2:10" x14ac:dyDescent="0.2">
      <c r="B48" s="176">
        <v>4</v>
      </c>
      <c r="C48" s="175">
        <v>1012638.71</v>
      </c>
      <c r="D48" s="175">
        <v>2326534.0499999998</v>
      </c>
      <c r="E48" s="175">
        <v>3339172.76</v>
      </c>
      <c r="G48" s="191">
        <v>4</v>
      </c>
      <c r="H48" s="189">
        <v>1012638.71</v>
      </c>
      <c r="I48" s="189">
        <v>2326534.0499999998</v>
      </c>
      <c r="J48" s="190">
        <v>3339172.76</v>
      </c>
    </row>
    <row r="49" spans="2:10" x14ac:dyDescent="0.2">
      <c r="B49" s="176">
        <v>5</v>
      </c>
      <c r="C49" s="175">
        <v>1091644.27</v>
      </c>
      <c r="D49" s="175">
        <v>2504926.83</v>
      </c>
      <c r="E49" s="175">
        <v>3596571.1</v>
      </c>
      <c r="G49" s="191">
        <v>5</v>
      </c>
      <c r="H49" s="189">
        <v>1091644.27</v>
      </c>
      <c r="I49" s="189">
        <v>2504926.83</v>
      </c>
      <c r="J49" s="190">
        <v>3596571.1</v>
      </c>
    </row>
    <row r="50" spans="2:10" x14ac:dyDescent="0.2">
      <c r="B50" s="176">
        <v>6</v>
      </c>
      <c r="C50" s="175">
        <v>1132126.5</v>
      </c>
      <c r="D50" s="175">
        <v>2490087.52</v>
      </c>
      <c r="E50" s="175">
        <v>3622214.02</v>
      </c>
      <c r="G50" s="191">
        <v>6</v>
      </c>
      <c r="H50" s="189">
        <v>1132126.5</v>
      </c>
      <c r="I50" s="189">
        <v>2490087.52</v>
      </c>
      <c r="J50" s="190">
        <v>3622214.02</v>
      </c>
    </row>
    <row r="51" spans="2:10" x14ac:dyDescent="0.2">
      <c r="B51" s="176">
        <v>7</v>
      </c>
      <c r="C51" s="175">
        <v>1176945.01</v>
      </c>
      <c r="D51" s="175">
        <v>2575656.87</v>
      </c>
      <c r="E51" s="175">
        <v>3752601.88</v>
      </c>
      <c r="G51" s="191">
        <v>7</v>
      </c>
      <c r="H51" s="189">
        <v>1176945.01</v>
      </c>
      <c r="I51" s="189">
        <v>2575656.87</v>
      </c>
      <c r="J51" s="190">
        <v>3752601.88</v>
      </c>
    </row>
    <row r="52" spans="2:10" x14ac:dyDescent="0.2">
      <c r="B52" s="176">
        <v>8</v>
      </c>
      <c r="C52" s="175">
        <v>1203543.79</v>
      </c>
      <c r="D52" s="175">
        <v>2637078.38</v>
      </c>
      <c r="E52" s="175">
        <v>3840622.17</v>
      </c>
      <c r="G52" s="191">
        <v>8</v>
      </c>
      <c r="H52" s="189">
        <v>1203543.79</v>
      </c>
      <c r="I52" s="189">
        <v>2637078.38</v>
      </c>
      <c r="J52" s="190">
        <v>3840622.17</v>
      </c>
    </row>
    <row r="53" spans="2:10" x14ac:dyDescent="0.2">
      <c r="B53" s="176">
        <v>9</v>
      </c>
      <c r="C53" s="175">
        <v>1097844.48</v>
      </c>
      <c r="D53" s="175">
        <v>2473082.14</v>
      </c>
      <c r="E53" s="175">
        <v>3570926.62</v>
      </c>
      <c r="G53" s="191">
        <v>9</v>
      </c>
      <c r="H53" s="189">
        <v>1097844.48</v>
      </c>
      <c r="I53" s="189">
        <v>2473082.14</v>
      </c>
      <c r="J53" s="190">
        <v>3570926.62</v>
      </c>
    </row>
    <row r="54" spans="2:10" x14ac:dyDescent="0.2">
      <c r="B54" s="176">
        <v>10</v>
      </c>
      <c r="C54" s="175">
        <v>1053868.01</v>
      </c>
      <c r="D54" s="175">
        <v>2436162.34</v>
      </c>
      <c r="E54" s="175">
        <v>3490030.3499999996</v>
      </c>
      <c r="G54" s="191">
        <v>10</v>
      </c>
      <c r="H54" s="189">
        <v>1053868.01</v>
      </c>
      <c r="I54" s="189">
        <v>2436162.34</v>
      </c>
      <c r="J54" s="190">
        <v>3490030.3499999996</v>
      </c>
    </row>
    <row r="55" spans="2:10" x14ac:dyDescent="0.2">
      <c r="B55" s="176">
        <v>11</v>
      </c>
      <c r="C55" s="175">
        <v>1013487.3499999999</v>
      </c>
      <c r="D55" s="175">
        <v>2354430.6</v>
      </c>
      <c r="E55" s="175">
        <v>3367917.95</v>
      </c>
      <c r="G55" s="191">
        <v>11</v>
      </c>
      <c r="H55" s="189">
        <v>1013487.3499999999</v>
      </c>
      <c r="I55" s="189">
        <v>2354430.6</v>
      </c>
      <c r="J55" s="190">
        <v>3367917.95</v>
      </c>
    </row>
    <row r="56" spans="2:10" x14ac:dyDescent="0.2">
      <c r="B56" s="176">
        <v>12</v>
      </c>
      <c r="C56" s="175">
        <v>1013424.42</v>
      </c>
      <c r="D56" s="175">
        <v>2348104</v>
      </c>
      <c r="E56" s="175">
        <v>3361528.42</v>
      </c>
      <c r="G56" s="191">
        <v>12</v>
      </c>
      <c r="H56" s="189">
        <v>1013424.42</v>
      </c>
      <c r="I56" s="189">
        <v>2348104</v>
      </c>
      <c r="J56" s="190">
        <v>3361528.42</v>
      </c>
    </row>
    <row r="57" spans="2:10" x14ac:dyDescent="0.2">
      <c r="B57" s="40">
        <v>2010</v>
      </c>
      <c r="C57" s="175">
        <v>13074528.029999999</v>
      </c>
      <c r="D57" s="175">
        <v>29602310.529999997</v>
      </c>
      <c r="E57" s="175">
        <v>42676838.560000002</v>
      </c>
      <c r="G57" s="188">
        <v>2010</v>
      </c>
      <c r="H57" s="189">
        <v>13074528.029999999</v>
      </c>
      <c r="I57" s="189">
        <v>29602310.529999997</v>
      </c>
      <c r="J57" s="190">
        <v>42676838.560000002</v>
      </c>
    </row>
    <row r="58" spans="2:10" x14ac:dyDescent="0.2">
      <c r="B58" s="176">
        <v>1</v>
      </c>
      <c r="C58" s="175">
        <v>997111.48</v>
      </c>
      <c r="D58" s="175">
        <v>2350374.13</v>
      </c>
      <c r="E58" s="175">
        <v>3347485.61</v>
      </c>
      <c r="G58" s="191">
        <v>1</v>
      </c>
      <c r="H58" s="189">
        <v>997111.48</v>
      </c>
      <c r="I58" s="189">
        <v>2350374.13</v>
      </c>
      <c r="J58" s="190">
        <v>3347485.61</v>
      </c>
    </row>
    <row r="59" spans="2:10" x14ac:dyDescent="0.2">
      <c r="B59" s="176">
        <v>2</v>
      </c>
      <c r="C59" s="175">
        <v>908478.2</v>
      </c>
      <c r="D59" s="175">
        <v>2080664.34</v>
      </c>
      <c r="E59" s="175">
        <v>2989142.54</v>
      </c>
      <c r="G59" s="191">
        <v>2</v>
      </c>
      <c r="H59" s="189">
        <v>908478.2</v>
      </c>
      <c r="I59" s="189">
        <v>2080664.34</v>
      </c>
      <c r="J59" s="190">
        <v>2989142.54</v>
      </c>
    </row>
    <row r="60" spans="2:10" x14ac:dyDescent="0.2">
      <c r="B60" s="176">
        <v>3</v>
      </c>
      <c r="C60" s="175">
        <v>1045743.93</v>
      </c>
      <c r="D60" s="175">
        <v>2324860.14</v>
      </c>
      <c r="E60" s="175">
        <v>3370604.0700000003</v>
      </c>
      <c r="G60" s="191">
        <v>3</v>
      </c>
      <c r="H60" s="189">
        <v>1045743.93</v>
      </c>
      <c r="I60" s="189">
        <v>2324860.14</v>
      </c>
      <c r="J60" s="190">
        <v>3370604.0700000003</v>
      </c>
    </row>
    <row r="61" spans="2:10" x14ac:dyDescent="0.2">
      <c r="B61" s="176">
        <v>4</v>
      </c>
      <c r="C61" s="175">
        <v>1035524.74</v>
      </c>
      <c r="D61" s="175">
        <v>2359545.69</v>
      </c>
      <c r="E61" s="175">
        <v>3395070.4299999997</v>
      </c>
      <c r="G61" s="191">
        <v>4</v>
      </c>
      <c r="H61" s="189">
        <v>1035524.74</v>
      </c>
      <c r="I61" s="189">
        <v>2359545.69</v>
      </c>
      <c r="J61" s="190">
        <v>3395070.4299999997</v>
      </c>
    </row>
    <row r="62" spans="2:10" x14ac:dyDescent="0.2">
      <c r="B62" s="176">
        <v>5</v>
      </c>
      <c r="C62" s="175">
        <v>1116813.8399999999</v>
      </c>
      <c r="D62" s="175">
        <v>2511761.23</v>
      </c>
      <c r="E62" s="175">
        <v>3628575.07</v>
      </c>
      <c r="G62" s="191">
        <v>5</v>
      </c>
      <c r="H62" s="189">
        <v>1116813.8399999999</v>
      </c>
      <c r="I62" s="189">
        <v>2511761.23</v>
      </c>
      <c r="J62" s="190">
        <v>3628575.07</v>
      </c>
    </row>
    <row r="63" spans="2:10" x14ac:dyDescent="0.2">
      <c r="B63" s="176">
        <v>6</v>
      </c>
      <c r="C63" s="175">
        <v>1180760.08</v>
      </c>
      <c r="D63" s="175">
        <v>2580321.14</v>
      </c>
      <c r="E63" s="175">
        <v>3761081.22</v>
      </c>
      <c r="G63" s="191">
        <v>6</v>
      </c>
      <c r="H63" s="189">
        <v>1180760.08</v>
      </c>
      <c r="I63" s="189">
        <v>2580321.14</v>
      </c>
      <c r="J63" s="190">
        <v>3761081.22</v>
      </c>
    </row>
    <row r="64" spans="2:10" x14ac:dyDescent="0.2">
      <c r="B64" s="176">
        <v>7</v>
      </c>
      <c r="C64" s="175">
        <v>1293367.52</v>
      </c>
      <c r="D64" s="175">
        <v>2833027.69</v>
      </c>
      <c r="E64" s="175">
        <v>4126395.21</v>
      </c>
      <c r="G64" s="191">
        <v>7</v>
      </c>
      <c r="H64" s="189">
        <v>1293367.52</v>
      </c>
      <c r="I64" s="189">
        <v>2833027.69</v>
      </c>
      <c r="J64" s="190">
        <v>4126395.21</v>
      </c>
    </row>
    <row r="65" spans="2:10" x14ac:dyDescent="0.2">
      <c r="B65" s="176">
        <v>8</v>
      </c>
      <c r="C65" s="175">
        <v>1256509.49</v>
      </c>
      <c r="D65" s="175">
        <v>2796046.35</v>
      </c>
      <c r="E65" s="175">
        <v>4052555.84</v>
      </c>
      <c r="G65" s="191">
        <v>8</v>
      </c>
      <c r="H65" s="189">
        <v>1256509.49</v>
      </c>
      <c r="I65" s="189">
        <v>2796046.35</v>
      </c>
      <c r="J65" s="190">
        <v>4052555.84</v>
      </c>
    </row>
    <row r="66" spans="2:10" x14ac:dyDescent="0.2">
      <c r="B66" s="176">
        <v>9</v>
      </c>
      <c r="C66" s="175">
        <v>1127893.99</v>
      </c>
      <c r="D66" s="175">
        <v>2567970.4500000002</v>
      </c>
      <c r="E66" s="175">
        <v>3695864.4400000004</v>
      </c>
      <c r="G66" s="191">
        <v>9</v>
      </c>
      <c r="H66" s="189">
        <v>1127893.99</v>
      </c>
      <c r="I66" s="189">
        <v>2567970.4500000002</v>
      </c>
      <c r="J66" s="190">
        <v>3695864.4400000004</v>
      </c>
    </row>
    <row r="67" spans="2:10" x14ac:dyDescent="0.2">
      <c r="B67" s="176">
        <v>10</v>
      </c>
      <c r="C67" s="175">
        <v>1082575.5299999998</v>
      </c>
      <c r="D67" s="175">
        <v>2502291.86</v>
      </c>
      <c r="E67" s="175">
        <v>3584867.3899999997</v>
      </c>
      <c r="G67" s="191">
        <v>10</v>
      </c>
      <c r="H67" s="189">
        <v>1082575.5299999998</v>
      </c>
      <c r="I67" s="189">
        <v>2502291.86</v>
      </c>
      <c r="J67" s="190">
        <v>3584867.3899999997</v>
      </c>
    </row>
    <row r="68" spans="2:10" x14ac:dyDescent="0.2">
      <c r="B68" s="176">
        <v>11</v>
      </c>
      <c r="C68" s="175">
        <v>1010390.31</v>
      </c>
      <c r="D68" s="175">
        <v>2340013.4</v>
      </c>
      <c r="E68" s="175">
        <v>3350403.71</v>
      </c>
      <c r="G68" s="191">
        <v>11</v>
      </c>
      <c r="H68" s="189">
        <v>1010390.31</v>
      </c>
      <c r="I68" s="189">
        <v>2340013.4</v>
      </c>
      <c r="J68" s="190">
        <v>3350403.71</v>
      </c>
    </row>
    <row r="69" spans="2:10" x14ac:dyDescent="0.2">
      <c r="B69" s="176">
        <v>12</v>
      </c>
      <c r="C69" s="175">
        <v>1019358.92</v>
      </c>
      <c r="D69" s="175">
        <v>2355434.11</v>
      </c>
      <c r="E69" s="175">
        <v>3374793.03</v>
      </c>
      <c r="G69" s="191">
        <v>12</v>
      </c>
      <c r="H69" s="189">
        <v>1019358.92</v>
      </c>
      <c r="I69" s="189">
        <v>2355434.11</v>
      </c>
      <c r="J69" s="190">
        <v>3374793.03</v>
      </c>
    </row>
    <row r="70" spans="2:10" x14ac:dyDescent="0.2">
      <c r="B70" s="40">
        <v>2011</v>
      </c>
      <c r="C70" s="175">
        <v>13608650.189999999</v>
      </c>
      <c r="D70" s="175">
        <v>32535779.789999995</v>
      </c>
      <c r="E70" s="175">
        <v>46144429.980000004</v>
      </c>
      <c r="G70" s="188">
        <v>2011</v>
      </c>
      <c r="H70" s="189">
        <v>13608650.189999999</v>
      </c>
      <c r="I70" s="189">
        <v>32535779.789999995</v>
      </c>
      <c r="J70" s="190">
        <v>46144429.980000004</v>
      </c>
    </row>
    <row r="71" spans="2:10" x14ac:dyDescent="0.2">
      <c r="B71" s="176">
        <v>1</v>
      </c>
      <c r="C71" s="175">
        <v>1012288.91</v>
      </c>
      <c r="D71" s="175">
        <v>2257049.94</v>
      </c>
      <c r="E71" s="175">
        <v>3269338.85</v>
      </c>
      <c r="G71" s="191">
        <v>1</v>
      </c>
      <c r="H71" s="189">
        <v>1012288.91</v>
      </c>
      <c r="I71" s="189">
        <v>2257049.94</v>
      </c>
      <c r="J71" s="190">
        <v>3269338.85</v>
      </c>
    </row>
    <row r="72" spans="2:10" x14ac:dyDescent="0.2">
      <c r="B72" s="176">
        <v>2</v>
      </c>
      <c r="C72" s="175">
        <v>918056.53</v>
      </c>
      <c r="D72" s="175">
        <v>2190041.08</v>
      </c>
      <c r="E72" s="175">
        <v>3108097.6100000003</v>
      </c>
      <c r="G72" s="191">
        <v>2</v>
      </c>
      <c r="H72" s="189">
        <v>918056.53</v>
      </c>
      <c r="I72" s="189">
        <v>2190041.08</v>
      </c>
      <c r="J72" s="190">
        <v>3108097.6100000003</v>
      </c>
    </row>
    <row r="73" spans="2:10" x14ac:dyDescent="0.2">
      <c r="B73" s="176">
        <v>3</v>
      </c>
      <c r="C73" s="175">
        <v>1026943.0399999999</v>
      </c>
      <c r="D73" s="175">
        <v>2594560.65</v>
      </c>
      <c r="E73" s="175">
        <v>3621503.69</v>
      </c>
      <c r="G73" s="191">
        <v>3</v>
      </c>
      <c r="H73" s="189">
        <v>1026943.0399999999</v>
      </c>
      <c r="I73" s="189">
        <v>2594560.65</v>
      </c>
      <c r="J73" s="190">
        <v>3621503.69</v>
      </c>
    </row>
    <row r="74" spans="2:10" x14ac:dyDescent="0.2">
      <c r="B74" s="176">
        <v>4</v>
      </c>
      <c r="C74" s="175">
        <v>1011631.3</v>
      </c>
      <c r="D74" s="175">
        <v>2567441.42</v>
      </c>
      <c r="E74" s="175">
        <v>3579072.7199999997</v>
      </c>
      <c r="G74" s="191">
        <v>4</v>
      </c>
      <c r="H74" s="189">
        <v>1011631.3</v>
      </c>
      <c r="I74" s="189">
        <v>2567441.42</v>
      </c>
      <c r="J74" s="190">
        <v>3579072.7199999997</v>
      </c>
    </row>
    <row r="75" spans="2:10" x14ac:dyDescent="0.2">
      <c r="B75" s="176">
        <v>5</v>
      </c>
      <c r="C75" s="175">
        <v>1123381.3700000001</v>
      </c>
      <c r="D75" s="175">
        <v>2857072.18</v>
      </c>
      <c r="E75" s="175">
        <v>3980453.5500000003</v>
      </c>
      <c r="G75" s="191">
        <v>5</v>
      </c>
      <c r="H75" s="189">
        <v>1123381.3700000001</v>
      </c>
      <c r="I75" s="189">
        <v>2857072.18</v>
      </c>
      <c r="J75" s="190">
        <v>3980453.5500000003</v>
      </c>
    </row>
    <row r="76" spans="2:10" x14ac:dyDescent="0.2">
      <c r="B76" s="176">
        <v>6</v>
      </c>
      <c r="C76" s="175">
        <v>1175010.04</v>
      </c>
      <c r="D76" s="175">
        <v>2998378.76</v>
      </c>
      <c r="E76" s="175">
        <v>4173388.8</v>
      </c>
      <c r="G76" s="191">
        <v>6</v>
      </c>
      <c r="H76" s="189">
        <v>1175010.04</v>
      </c>
      <c r="I76" s="189">
        <v>2998378.76</v>
      </c>
      <c r="J76" s="190">
        <v>4173388.8</v>
      </c>
    </row>
    <row r="77" spans="2:10" x14ac:dyDescent="0.2">
      <c r="B77" s="176">
        <v>7</v>
      </c>
      <c r="C77" s="175">
        <v>1405000.54</v>
      </c>
      <c r="D77" s="175">
        <v>3318222.39</v>
      </c>
      <c r="E77" s="175">
        <v>4723222.93</v>
      </c>
      <c r="G77" s="191">
        <v>7</v>
      </c>
      <c r="H77" s="189">
        <v>1405000.54</v>
      </c>
      <c r="I77" s="189">
        <v>3318222.39</v>
      </c>
      <c r="J77" s="190">
        <v>4723222.93</v>
      </c>
    </row>
    <row r="78" spans="2:10" x14ac:dyDescent="0.2">
      <c r="B78" s="176">
        <v>8</v>
      </c>
      <c r="C78" s="175">
        <v>1342993.08</v>
      </c>
      <c r="D78" s="175">
        <v>3197649.61</v>
      </c>
      <c r="E78" s="175">
        <v>4540642.6899999995</v>
      </c>
      <c r="G78" s="191">
        <v>8</v>
      </c>
      <c r="H78" s="189">
        <v>1342993.08</v>
      </c>
      <c r="I78" s="189">
        <v>3197649.61</v>
      </c>
      <c r="J78" s="190">
        <v>4540642.6899999995</v>
      </c>
    </row>
    <row r="79" spans="2:10" x14ac:dyDescent="0.2">
      <c r="B79" s="176">
        <v>9</v>
      </c>
      <c r="C79" s="175">
        <v>1231904.92</v>
      </c>
      <c r="D79" s="175">
        <v>2864394.01</v>
      </c>
      <c r="E79" s="175">
        <v>4096298.9299999997</v>
      </c>
      <c r="G79" s="191">
        <v>9</v>
      </c>
      <c r="H79" s="189">
        <v>1231904.92</v>
      </c>
      <c r="I79" s="189">
        <v>2864394.01</v>
      </c>
      <c r="J79" s="190">
        <v>4096298.9299999997</v>
      </c>
    </row>
    <row r="80" spans="2:10" x14ac:dyDescent="0.2">
      <c r="B80" s="176">
        <v>10</v>
      </c>
      <c r="C80" s="175">
        <v>1161619.68</v>
      </c>
      <c r="D80" s="175">
        <v>2642556.7000000002</v>
      </c>
      <c r="E80" s="175">
        <v>3804176.38</v>
      </c>
      <c r="G80" s="191">
        <v>10</v>
      </c>
      <c r="H80" s="189">
        <v>1161619.68</v>
      </c>
      <c r="I80" s="189">
        <v>2642556.7000000002</v>
      </c>
      <c r="J80" s="190">
        <v>3804176.38</v>
      </c>
    </row>
    <row r="81" spans="2:10" x14ac:dyDescent="0.2">
      <c r="B81" s="176">
        <v>11</v>
      </c>
      <c r="C81" s="175">
        <v>1091067.83</v>
      </c>
      <c r="D81" s="175">
        <v>2505724.2400000002</v>
      </c>
      <c r="E81" s="175">
        <v>3596792.0700000003</v>
      </c>
      <c r="G81" s="191">
        <v>11</v>
      </c>
      <c r="H81" s="189">
        <v>1091067.83</v>
      </c>
      <c r="I81" s="189">
        <v>2505724.2400000002</v>
      </c>
      <c r="J81" s="190">
        <v>3596792.0700000003</v>
      </c>
    </row>
    <row r="82" spans="2:10" x14ac:dyDescent="0.2">
      <c r="B82" s="176">
        <v>12</v>
      </c>
      <c r="C82" s="175">
        <v>1108752.95</v>
      </c>
      <c r="D82" s="175">
        <v>2542688.81</v>
      </c>
      <c r="E82" s="175">
        <v>3651441.76</v>
      </c>
      <c r="G82" s="191">
        <v>12</v>
      </c>
      <c r="H82" s="189">
        <v>1108752.95</v>
      </c>
      <c r="I82" s="189">
        <v>2542688.81</v>
      </c>
      <c r="J82" s="190">
        <v>3651441.76</v>
      </c>
    </row>
    <row r="83" spans="2:10" x14ac:dyDescent="0.2">
      <c r="B83" s="40">
        <v>2012</v>
      </c>
      <c r="C83" s="175">
        <v>13017089.180972196</v>
      </c>
      <c r="D83" s="175">
        <v>31846290.331999402</v>
      </c>
      <c r="E83" s="175">
        <v>44863379.512971595</v>
      </c>
      <c r="G83" s="188">
        <v>2012</v>
      </c>
      <c r="H83" s="189">
        <v>13017089.180972196</v>
      </c>
      <c r="I83" s="189">
        <v>31846290.331999402</v>
      </c>
      <c r="J83" s="190">
        <v>44863379.512971595</v>
      </c>
    </row>
    <row r="84" spans="2:10" x14ac:dyDescent="0.2">
      <c r="B84" s="176">
        <v>1</v>
      </c>
      <c r="C84" s="175">
        <v>1079068.83</v>
      </c>
      <c r="D84" s="175">
        <v>2468359.02</v>
      </c>
      <c r="E84" s="175">
        <v>3547427.85</v>
      </c>
      <c r="G84" s="191">
        <v>1</v>
      </c>
      <c r="H84" s="189">
        <v>1079068.83</v>
      </c>
      <c r="I84" s="189">
        <v>2468359.02</v>
      </c>
      <c r="J84" s="190">
        <v>3547427.85</v>
      </c>
    </row>
    <row r="85" spans="2:10" x14ac:dyDescent="0.2">
      <c r="B85" s="176">
        <v>2</v>
      </c>
      <c r="C85" s="175">
        <v>992604.71</v>
      </c>
      <c r="D85" s="175">
        <v>2270361.7999999998</v>
      </c>
      <c r="E85" s="175">
        <v>3262966.51</v>
      </c>
      <c r="G85" s="191">
        <v>2</v>
      </c>
      <c r="H85" s="189">
        <v>992604.71</v>
      </c>
      <c r="I85" s="189">
        <v>2270361.7999999998</v>
      </c>
      <c r="J85" s="190">
        <v>3262966.51</v>
      </c>
    </row>
    <row r="86" spans="2:10" x14ac:dyDescent="0.2">
      <c r="B86" s="176">
        <v>3</v>
      </c>
      <c r="C86" s="175">
        <v>1091720.22</v>
      </c>
      <c r="D86" s="175">
        <v>2554749.11</v>
      </c>
      <c r="E86" s="175">
        <v>3646469.33</v>
      </c>
      <c r="G86" s="191">
        <v>3</v>
      </c>
      <c r="H86" s="189">
        <v>1091720.22</v>
      </c>
      <c r="I86" s="189">
        <v>2554749.11</v>
      </c>
      <c r="J86" s="190">
        <v>3646469.33</v>
      </c>
    </row>
    <row r="87" spans="2:10" x14ac:dyDescent="0.2">
      <c r="B87" s="176">
        <v>4</v>
      </c>
      <c r="C87" s="175">
        <v>945450.45</v>
      </c>
      <c r="D87" s="175">
        <v>2122659.12</v>
      </c>
      <c r="E87" s="175">
        <v>3068109.5700000003</v>
      </c>
      <c r="G87" s="191">
        <v>4</v>
      </c>
      <c r="H87" s="189">
        <v>945450.45</v>
      </c>
      <c r="I87" s="189">
        <v>2122659.12</v>
      </c>
      <c r="J87" s="190">
        <v>3068109.5700000003</v>
      </c>
    </row>
    <row r="88" spans="2:10" x14ac:dyDescent="0.2">
      <c r="B88" s="176">
        <v>5</v>
      </c>
      <c r="C88" s="175">
        <v>1266346.9099999999</v>
      </c>
      <c r="D88" s="175">
        <v>3014442.9971008701</v>
      </c>
      <c r="E88" s="175">
        <v>4280789.9071008703</v>
      </c>
      <c r="G88" s="191">
        <v>5</v>
      </c>
      <c r="H88" s="189">
        <v>1266346.9099999999</v>
      </c>
      <c r="I88" s="189">
        <v>3014442.9971008701</v>
      </c>
      <c r="J88" s="190">
        <v>4280789.9071008703</v>
      </c>
    </row>
    <row r="89" spans="2:10" x14ac:dyDescent="0.2">
      <c r="B89" s="176">
        <v>6</v>
      </c>
      <c r="C89" s="175">
        <v>1113139.4291250245</v>
      </c>
      <c r="D89" s="175">
        <v>2889801.28</v>
      </c>
      <c r="E89" s="175">
        <v>4002940.7091250243</v>
      </c>
      <c r="G89" s="191">
        <v>6</v>
      </c>
      <c r="H89" s="189">
        <v>1113139.4291250245</v>
      </c>
      <c r="I89" s="189">
        <v>2889801.28</v>
      </c>
      <c r="J89" s="190">
        <v>4002940.7091250243</v>
      </c>
    </row>
    <row r="90" spans="2:10" x14ac:dyDescent="0.2">
      <c r="B90" s="176">
        <v>7</v>
      </c>
      <c r="C90" s="175">
        <v>1341362.8907602567</v>
      </c>
      <c r="D90" s="175">
        <v>3114912.7461761474</v>
      </c>
      <c r="E90" s="175">
        <v>4456275.6369364038</v>
      </c>
      <c r="G90" s="191">
        <v>7</v>
      </c>
      <c r="H90" s="189">
        <v>1341362.8907602567</v>
      </c>
      <c r="I90" s="189">
        <v>3114912.7461761474</v>
      </c>
      <c r="J90" s="190">
        <v>4456275.6369364038</v>
      </c>
    </row>
    <row r="91" spans="2:10" x14ac:dyDescent="0.2">
      <c r="B91" s="176">
        <v>8</v>
      </c>
      <c r="C91" s="175">
        <v>1186013.0569434182</v>
      </c>
      <c r="D91" s="175">
        <v>3018456.0731780464</v>
      </c>
      <c r="E91" s="175">
        <v>4204469.1301214648</v>
      </c>
      <c r="G91" s="191">
        <v>8</v>
      </c>
      <c r="H91" s="189">
        <v>1186013.0569434182</v>
      </c>
      <c r="I91" s="189">
        <v>3018456.0731780464</v>
      </c>
      <c r="J91" s="190">
        <v>4204469.1301214648</v>
      </c>
    </row>
    <row r="92" spans="2:10" x14ac:dyDescent="0.2">
      <c r="B92" s="176">
        <v>9</v>
      </c>
      <c r="C92" s="175">
        <v>1066381.8972622985</v>
      </c>
      <c r="D92" s="175">
        <v>2757059.9720083973</v>
      </c>
      <c r="E92" s="175">
        <v>3823441.8692706958</v>
      </c>
      <c r="G92" s="191">
        <v>9</v>
      </c>
      <c r="H92" s="189">
        <v>1066381.8972622985</v>
      </c>
      <c r="I92" s="189">
        <v>2757059.9720083973</v>
      </c>
      <c r="J92" s="190">
        <v>3823441.8692706958</v>
      </c>
    </row>
    <row r="93" spans="2:10" x14ac:dyDescent="0.2">
      <c r="B93" s="176">
        <v>10</v>
      </c>
      <c r="C93" s="175">
        <v>1032299.0682267159</v>
      </c>
      <c r="D93" s="175">
        <v>2654281.6854943521</v>
      </c>
      <c r="E93" s="175">
        <v>3686580.7537210681</v>
      </c>
      <c r="G93" s="191">
        <v>10</v>
      </c>
      <c r="H93" s="189">
        <v>1032299.0682267159</v>
      </c>
      <c r="I93" s="189">
        <v>2654281.6854943521</v>
      </c>
      <c r="J93" s="190">
        <v>3686580.7537210681</v>
      </c>
    </row>
    <row r="94" spans="2:10" x14ac:dyDescent="0.2">
      <c r="B94" s="176">
        <v>11</v>
      </c>
      <c r="C94" s="175">
        <v>950888.46108496981</v>
      </c>
      <c r="D94" s="175">
        <v>2484508.7973607918</v>
      </c>
      <c r="E94" s="175">
        <v>3435397.2584457616</v>
      </c>
      <c r="G94" s="191">
        <v>11</v>
      </c>
      <c r="H94" s="189">
        <v>950888.46108496981</v>
      </c>
      <c r="I94" s="189">
        <v>2484508.7973607918</v>
      </c>
      <c r="J94" s="190">
        <v>3435397.2584457616</v>
      </c>
    </row>
    <row r="95" spans="2:10" x14ac:dyDescent="0.2">
      <c r="B95" s="176">
        <v>12</v>
      </c>
      <c r="C95" s="175">
        <v>951813.257569512</v>
      </c>
      <c r="D95" s="175">
        <v>2496697.7306807959</v>
      </c>
      <c r="E95" s="175">
        <v>3448510.9882503077</v>
      </c>
      <c r="G95" s="191">
        <v>12</v>
      </c>
      <c r="H95" s="189">
        <v>951813.257569512</v>
      </c>
      <c r="I95" s="189">
        <v>2496697.7306807959</v>
      </c>
      <c r="J95" s="190">
        <v>3448510.9882503077</v>
      </c>
    </row>
    <row r="96" spans="2:10" ht="13.5" thickBot="1" x14ac:dyDescent="0.25">
      <c r="B96" s="40" t="s">
        <v>162</v>
      </c>
      <c r="C96" s="175">
        <v>88862136.60097222</v>
      </c>
      <c r="D96" s="175">
        <v>209405073.57199946</v>
      </c>
      <c r="E96" s="175">
        <v>298267210.17297155</v>
      </c>
      <c r="G96" s="192" t="s">
        <v>162</v>
      </c>
      <c r="H96" s="193">
        <v>88862136.60097222</v>
      </c>
      <c r="I96" s="193">
        <v>209405073.57199946</v>
      </c>
      <c r="J96" s="194">
        <v>298267210.17297155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</sheetPr>
  <dimension ref="A1:H1047487"/>
  <sheetViews>
    <sheetView workbookViewId="0"/>
  </sheetViews>
  <sheetFormatPr defaultRowHeight="12.75" x14ac:dyDescent="0.2"/>
  <cols>
    <col min="1" max="1" width="17.28515625" bestFit="1" customWidth="1"/>
    <col min="2" max="4" width="16.28515625" customWidth="1"/>
    <col min="5" max="5" width="9.28515625" bestFit="1" customWidth="1"/>
    <col min="7" max="7" width="10.28515625" bestFit="1" customWidth="1"/>
  </cols>
  <sheetData>
    <row r="1" spans="1:8" x14ac:dyDescent="0.2">
      <c r="A1" t="s">
        <v>151</v>
      </c>
      <c r="B1" t="s">
        <v>157</v>
      </c>
      <c r="C1" t="s">
        <v>160</v>
      </c>
      <c r="D1" t="s">
        <v>159</v>
      </c>
      <c r="E1" t="s">
        <v>150</v>
      </c>
      <c r="F1" t="s">
        <v>148</v>
      </c>
      <c r="G1" t="s">
        <v>149</v>
      </c>
      <c r="H1" t="s">
        <v>153</v>
      </c>
    </row>
    <row r="2" spans="1:8" x14ac:dyDescent="0.2">
      <c r="A2" t="s">
        <v>156</v>
      </c>
      <c r="B2" t="s">
        <v>146</v>
      </c>
      <c r="C2">
        <v>2005</v>
      </c>
      <c r="D2">
        <v>12</v>
      </c>
      <c r="E2" s="173">
        <v>38718</v>
      </c>
      <c r="F2">
        <v>2381295.56</v>
      </c>
      <c r="G2">
        <v>45485</v>
      </c>
      <c r="H2">
        <v>2440351.69</v>
      </c>
    </row>
    <row r="3" spans="1:8" x14ac:dyDescent="0.2">
      <c r="A3" t="s">
        <v>156</v>
      </c>
      <c r="B3" t="s">
        <v>146</v>
      </c>
      <c r="C3">
        <v>2006</v>
      </c>
      <c r="D3">
        <v>1</v>
      </c>
      <c r="E3" s="173">
        <v>38749</v>
      </c>
      <c r="F3">
        <v>2352629.7799999998</v>
      </c>
      <c r="G3">
        <v>45485</v>
      </c>
      <c r="H3">
        <v>2410974.9900000002</v>
      </c>
    </row>
    <row r="4" spans="1:8" x14ac:dyDescent="0.2">
      <c r="A4" t="s">
        <v>156</v>
      </c>
      <c r="B4" t="s">
        <v>146</v>
      </c>
      <c r="C4">
        <v>2006</v>
      </c>
      <c r="D4">
        <v>2</v>
      </c>
      <c r="E4" s="173">
        <v>38777</v>
      </c>
      <c r="F4">
        <v>2111513.52</v>
      </c>
      <c r="G4">
        <v>45485</v>
      </c>
      <c r="H4">
        <v>2163879.06</v>
      </c>
    </row>
    <row r="5" spans="1:8" x14ac:dyDescent="0.2">
      <c r="A5" t="s">
        <v>156</v>
      </c>
      <c r="B5" t="s">
        <v>146</v>
      </c>
      <c r="C5">
        <v>2006</v>
      </c>
      <c r="D5">
        <v>3</v>
      </c>
      <c r="E5" s="173">
        <v>38808</v>
      </c>
      <c r="F5">
        <v>2336512.73</v>
      </c>
      <c r="G5">
        <v>45485</v>
      </c>
      <c r="H5">
        <v>2394458.25</v>
      </c>
    </row>
    <row r="6" spans="1:8" x14ac:dyDescent="0.2">
      <c r="A6" t="s">
        <v>156</v>
      </c>
      <c r="B6" t="s">
        <v>146</v>
      </c>
      <c r="C6">
        <v>2006</v>
      </c>
      <c r="D6">
        <v>4</v>
      </c>
      <c r="E6" s="173">
        <v>38838</v>
      </c>
      <c r="F6">
        <v>2282493.7000000002</v>
      </c>
      <c r="G6">
        <v>45485</v>
      </c>
      <c r="H6">
        <v>2339099.54</v>
      </c>
    </row>
    <row r="7" spans="1:8" x14ac:dyDescent="0.2">
      <c r="A7" t="s">
        <v>156</v>
      </c>
      <c r="B7" t="s">
        <v>146</v>
      </c>
      <c r="C7">
        <v>2006</v>
      </c>
      <c r="D7">
        <v>5</v>
      </c>
      <c r="E7" s="173">
        <v>38869</v>
      </c>
      <c r="F7">
        <v>2496581.63</v>
      </c>
      <c r="G7">
        <v>45485</v>
      </c>
      <c r="H7">
        <v>2575223.9500000002</v>
      </c>
    </row>
    <row r="8" spans="1:8" x14ac:dyDescent="0.2">
      <c r="A8" t="s">
        <v>156</v>
      </c>
      <c r="B8" t="s">
        <v>146</v>
      </c>
      <c r="C8">
        <v>2006</v>
      </c>
      <c r="D8">
        <v>6</v>
      </c>
      <c r="E8" s="173">
        <v>38899</v>
      </c>
      <c r="F8">
        <v>2557542.91</v>
      </c>
      <c r="G8">
        <v>45485</v>
      </c>
      <c r="H8">
        <v>2638105.5099999998</v>
      </c>
    </row>
    <row r="9" spans="1:8" x14ac:dyDescent="0.2">
      <c r="A9" t="s">
        <v>156</v>
      </c>
      <c r="B9" t="s">
        <v>146</v>
      </c>
      <c r="C9">
        <v>2006</v>
      </c>
      <c r="D9">
        <v>7</v>
      </c>
      <c r="E9" s="173">
        <v>38930</v>
      </c>
      <c r="F9">
        <v>2820256.11</v>
      </c>
      <c r="G9">
        <v>45485</v>
      </c>
      <c r="H9">
        <v>2909094.18</v>
      </c>
    </row>
    <row r="10" spans="1:8" x14ac:dyDescent="0.2">
      <c r="A10" t="s">
        <v>156</v>
      </c>
      <c r="B10" t="s">
        <v>146</v>
      </c>
      <c r="C10">
        <v>2006</v>
      </c>
      <c r="D10">
        <v>8</v>
      </c>
      <c r="E10" s="173">
        <v>38961</v>
      </c>
      <c r="F10">
        <v>2676935.79</v>
      </c>
      <c r="G10">
        <v>45485</v>
      </c>
      <c r="H10">
        <v>2761259.27</v>
      </c>
    </row>
    <row r="11" spans="1:8" x14ac:dyDescent="0.2">
      <c r="A11" t="s">
        <v>156</v>
      </c>
      <c r="B11" t="s">
        <v>146</v>
      </c>
      <c r="C11">
        <v>2006</v>
      </c>
      <c r="D11">
        <v>9</v>
      </c>
      <c r="E11" s="173">
        <v>38991</v>
      </c>
      <c r="F11">
        <v>2425889.27</v>
      </c>
      <c r="G11">
        <v>45485</v>
      </c>
      <c r="H11">
        <v>2502304.7799999998</v>
      </c>
    </row>
    <row r="12" spans="1:8" x14ac:dyDescent="0.2">
      <c r="A12" t="s">
        <v>156</v>
      </c>
      <c r="B12" t="s">
        <v>146</v>
      </c>
      <c r="C12">
        <v>2006</v>
      </c>
      <c r="D12">
        <v>10</v>
      </c>
      <c r="E12" s="173">
        <v>39022</v>
      </c>
      <c r="F12">
        <v>2369985.73</v>
      </c>
      <c r="G12">
        <v>45485</v>
      </c>
      <c r="H12">
        <v>2444640.2799999998</v>
      </c>
    </row>
    <row r="13" spans="1:8" x14ac:dyDescent="0.2">
      <c r="A13" t="s">
        <v>156</v>
      </c>
      <c r="B13" t="s">
        <v>146</v>
      </c>
      <c r="C13">
        <v>2006</v>
      </c>
      <c r="D13">
        <v>11</v>
      </c>
      <c r="E13" s="173">
        <v>39052</v>
      </c>
      <c r="F13">
        <v>2209706.0699999998</v>
      </c>
      <c r="G13">
        <v>45485</v>
      </c>
      <c r="H13">
        <v>2279311.81</v>
      </c>
    </row>
    <row r="14" spans="1:8" x14ac:dyDescent="0.2">
      <c r="A14" t="s">
        <v>156</v>
      </c>
      <c r="B14" t="s">
        <v>146</v>
      </c>
      <c r="C14">
        <v>2006</v>
      </c>
      <c r="D14">
        <v>12</v>
      </c>
      <c r="E14" s="173">
        <v>39083</v>
      </c>
      <c r="F14">
        <v>2255139.1</v>
      </c>
      <c r="G14">
        <v>45485</v>
      </c>
      <c r="H14">
        <v>2326175.98</v>
      </c>
    </row>
    <row r="15" spans="1:8" x14ac:dyDescent="0.2">
      <c r="A15" t="s">
        <v>156</v>
      </c>
      <c r="B15" t="s">
        <v>146</v>
      </c>
      <c r="C15">
        <v>2007</v>
      </c>
      <c r="D15">
        <v>1</v>
      </c>
      <c r="E15" s="173">
        <v>39114</v>
      </c>
      <c r="F15">
        <v>2251091.42</v>
      </c>
      <c r="G15">
        <v>45485</v>
      </c>
      <c r="H15">
        <v>2322000.7999999998</v>
      </c>
    </row>
    <row r="16" spans="1:8" x14ac:dyDescent="0.2">
      <c r="A16" t="s">
        <v>156</v>
      </c>
      <c r="B16" t="s">
        <v>146</v>
      </c>
      <c r="C16">
        <v>2007</v>
      </c>
      <c r="D16">
        <v>2</v>
      </c>
      <c r="E16" s="173">
        <v>39142</v>
      </c>
      <c r="F16">
        <v>2016992.14</v>
      </c>
      <c r="G16">
        <v>45485</v>
      </c>
      <c r="H16">
        <v>2080527.39</v>
      </c>
    </row>
    <row r="17" spans="1:8" x14ac:dyDescent="0.2">
      <c r="A17" t="s">
        <v>156</v>
      </c>
      <c r="B17" t="s">
        <v>146</v>
      </c>
      <c r="C17">
        <v>2007</v>
      </c>
      <c r="D17">
        <v>3</v>
      </c>
      <c r="E17" s="173">
        <v>39173</v>
      </c>
      <c r="F17">
        <v>2301318.81</v>
      </c>
      <c r="G17">
        <v>45485</v>
      </c>
      <c r="H17">
        <v>2373810.35</v>
      </c>
    </row>
    <row r="18" spans="1:8" x14ac:dyDescent="0.2">
      <c r="A18" t="s">
        <v>156</v>
      </c>
      <c r="B18" t="s">
        <v>146</v>
      </c>
      <c r="C18">
        <v>2007</v>
      </c>
      <c r="D18">
        <v>4</v>
      </c>
      <c r="E18" s="173">
        <v>39203</v>
      </c>
      <c r="F18">
        <v>2216954.69</v>
      </c>
      <c r="G18">
        <v>45485</v>
      </c>
      <c r="H18">
        <v>2286788.7599999998</v>
      </c>
    </row>
    <row r="19" spans="1:8" x14ac:dyDescent="0.2">
      <c r="A19" t="s">
        <v>156</v>
      </c>
      <c r="B19" t="s">
        <v>146</v>
      </c>
      <c r="C19">
        <v>2007</v>
      </c>
      <c r="D19">
        <v>5</v>
      </c>
      <c r="E19" s="173">
        <v>39234</v>
      </c>
      <c r="F19">
        <v>2383481.1</v>
      </c>
      <c r="G19">
        <v>45485</v>
      </c>
      <c r="H19">
        <v>2458560.75</v>
      </c>
    </row>
    <row r="20" spans="1:8" x14ac:dyDescent="0.2">
      <c r="A20" t="s">
        <v>156</v>
      </c>
      <c r="B20" t="s">
        <v>146</v>
      </c>
      <c r="C20">
        <v>2007</v>
      </c>
      <c r="D20">
        <v>6</v>
      </c>
      <c r="E20" s="173">
        <v>39264</v>
      </c>
      <c r="F20">
        <v>2564032.9300000002</v>
      </c>
      <c r="G20">
        <v>45485</v>
      </c>
      <c r="H20">
        <v>2644799.9700000002</v>
      </c>
    </row>
    <row r="21" spans="1:8" x14ac:dyDescent="0.2">
      <c r="A21" t="s">
        <v>156</v>
      </c>
      <c r="B21" t="s">
        <v>146</v>
      </c>
      <c r="C21">
        <v>2007</v>
      </c>
      <c r="D21">
        <v>7</v>
      </c>
      <c r="E21" s="173">
        <v>39295</v>
      </c>
      <c r="F21">
        <v>2653374.13</v>
      </c>
      <c r="G21">
        <v>45485</v>
      </c>
      <c r="H21">
        <v>2736955.42</v>
      </c>
    </row>
    <row r="22" spans="1:8" x14ac:dyDescent="0.2">
      <c r="A22" t="s">
        <v>156</v>
      </c>
      <c r="B22" t="s">
        <v>146</v>
      </c>
      <c r="C22">
        <v>2007</v>
      </c>
      <c r="D22">
        <v>8</v>
      </c>
      <c r="E22" s="173">
        <v>39326</v>
      </c>
      <c r="F22">
        <v>2770716.71</v>
      </c>
      <c r="G22">
        <v>45485</v>
      </c>
      <c r="H22">
        <v>2857994.29</v>
      </c>
    </row>
    <row r="23" spans="1:8" x14ac:dyDescent="0.2">
      <c r="A23" t="s">
        <v>156</v>
      </c>
      <c r="B23" t="s">
        <v>146</v>
      </c>
      <c r="C23">
        <v>2007</v>
      </c>
      <c r="D23">
        <v>9</v>
      </c>
      <c r="E23" s="173">
        <v>39356</v>
      </c>
      <c r="F23">
        <v>2535396.9700000002</v>
      </c>
      <c r="G23">
        <v>45485</v>
      </c>
      <c r="H23">
        <v>2615261.9700000002</v>
      </c>
    </row>
    <row r="24" spans="1:8" x14ac:dyDescent="0.2">
      <c r="A24" t="s">
        <v>156</v>
      </c>
      <c r="B24" t="s">
        <v>146</v>
      </c>
      <c r="C24">
        <v>2007</v>
      </c>
      <c r="D24">
        <v>10</v>
      </c>
      <c r="E24" s="173">
        <v>39387</v>
      </c>
      <c r="F24">
        <v>2509946.52</v>
      </c>
      <c r="G24">
        <v>45485</v>
      </c>
      <c r="H24">
        <v>2589009.84</v>
      </c>
    </row>
    <row r="25" spans="1:8" x14ac:dyDescent="0.2">
      <c r="A25" t="s">
        <v>156</v>
      </c>
      <c r="B25" t="s">
        <v>146</v>
      </c>
      <c r="C25">
        <v>2007</v>
      </c>
      <c r="D25">
        <v>11</v>
      </c>
      <c r="E25" s="173">
        <v>39417</v>
      </c>
      <c r="F25">
        <v>2250196</v>
      </c>
      <c r="G25">
        <v>45485</v>
      </c>
      <c r="H25">
        <v>2321077.17</v>
      </c>
    </row>
    <row r="26" spans="1:8" x14ac:dyDescent="0.2">
      <c r="A26" t="s">
        <v>156</v>
      </c>
      <c r="B26" t="s">
        <v>146</v>
      </c>
      <c r="C26">
        <v>2007</v>
      </c>
      <c r="D26">
        <v>12</v>
      </c>
      <c r="E26" s="173">
        <v>39448</v>
      </c>
      <c r="F26">
        <v>2274715.33</v>
      </c>
      <c r="G26">
        <v>45485</v>
      </c>
      <c r="H26">
        <v>2346368.86</v>
      </c>
    </row>
    <row r="27" spans="1:8" x14ac:dyDescent="0.2">
      <c r="A27" t="s">
        <v>156</v>
      </c>
      <c r="B27" t="s">
        <v>146</v>
      </c>
      <c r="C27">
        <v>2008</v>
      </c>
      <c r="D27">
        <v>1</v>
      </c>
      <c r="E27" s="173">
        <v>39479</v>
      </c>
      <c r="F27">
        <v>2302524.36</v>
      </c>
      <c r="G27">
        <v>45485</v>
      </c>
      <c r="H27">
        <v>2375053.88</v>
      </c>
    </row>
    <row r="28" spans="1:8" x14ac:dyDescent="0.2">
      <c r="A28" t="s">
        <v>156</v>
      </c>
      <c r="B28" t="s">
        <v>146</v>
      </c>
      <c r="C28">
        <v>2008</v>
      </c>
      <c r="D28">
        <v>2</v>
      </c>
      <c r="E28" s="173">
        <v>39508</v>
      </c>
      <c r="F28">
        <v>2098246.88</v>
      </c>
      <c r="G28">
        <v>45485</v>
      </c>
      <c r="H28">
        <v>2164341.66</v>
      </c>
    </row>
    <row r="29" spans="1:8" x14ac:dyDescent="0.2">
      <c r="A29" t="s">
        <v>156</v>
      </c>
      <c r="B29" t="s">
        <v>146</v>
      </c>
      <c r="C29">
        <v>2008</v>
      </c>
      <c r="D29">
        <v>3</v>
      </c>
      <c r="E29" s="173">
        <v>39539</v>
      </c>
      <c r="F29">
        <v>2226410.83</v>
      </c>
      <c r="G29">
        <v>45485</v>
      </c>
      <c r="H29">
        <v>2296542.77</v>
      </c>
    </row>
    <row r="30" spans="1:8" x14ac:dyDescent="0.2">
      <c r="A30" t="s">
        <v>156</v>
      </c>
      <c r="B30" t="s">
        <v>146</v>
      </c>
      <c r="C30">
        <v>2008</v>
      </c>
      <c r="D30">
        <v>4</v>
      </c>
      <c r="E30" s="173">
        <v>39569</v>
      </c>
      <c r="F30">
        <v>2254963.5299999998</v>
      </c>
      <c r="G30">
        <v>45485</v>
      </c>
      <c r="H30">
        <v>2325994.88</v>
      </c>
    </row>
    <row r="31" spans="1:8" x14ac:dyDescent="0.2">
      <c r="A31" t="s">
        <v>156</v>
      </c>
      <c r="B31" t="s">
        <v>146</v>
      </c>
      <c r="C31">
        <v>2008</v>
      </c>
      <c r="D31">
        <v>5</v>
      </c>
      <c r="E31" s="173">
        <v>39600</v>
      </c>
      <c r="F31">
        <v>2401306.35</v>
      </c>
      <c r="G31">
        <v>45485</v>
      </c>
      <c r="H31">
        <v>2476947.5</v>
      </c>
    </row>
    <row r="32" spans="1:8" x14ac:dyDescent="0.2">
      <c r="A32" t="s">
        <v>156</v>
      </c>
      <c r="B32" t="s">
        <v>146</v>
      </c>
      <c r="C32">
        <v>2008</v>
      </c>
      <c r="D32">
        <v>6</v>
      </c>
      <c r="E32" s="173">
        <v>39630</v>
      </c>
      <c r="F32">
        <v>2550283.7200000002</v>
      </c>
      <c r="G32">
        <v>45485</v>
      </c>
      <c r="H32">
        <v>2630617.66</v>
      </c>
    </row>
    <row r="33" spans="1:8" x14ac:dyDescent="0.2">
      <c r="A33" t="s">
        <v>156</v>
      </c>
      <c r="B33" t="s">
        <v>146</v>
      </c>
      <c r="C33">
        <v>2008</v>
      </c>
      <c r="D33">
        <v>7</v>
      </c>
      <c r="E33" s="173">
        <v>39661</v>
      </c>
      <c r="F33">
        <v>2718027.7</v>
      </c>
      <c r="G33">
        <v>45485</v>
      </c>
      <c r="H33">
        <v>2803645.57</v>
      </c>
    </row>
    <row r="34" spans="1:8" x14ac:dyDescent="0.2">
      <c r="A34" t="s">
        <v>156</v>
      </c>
      <c r="B34" t="s">
        <v>146</v>
      </c>
      <c r="C34">
        <v>2008</v>
      </c>
      <c r="D34">
        <v>8</v>
      </c>
      <c r="E34" s="173">
        <v>39692</v>
      </c>
      <c r="F34">
        <v>2691122.83</v>
      </c>
      <c r="G34">
        <v>45485</v>
      </c>
      <c r="H34">
        <v>2775893.2</v>
      </c>
    </row>
    <row r="35" spans="1:8" x14ac:dyDescent="0.2">
      <c r="A35" t="s">
        <v>156</v>
      </c>
      <c r="B35" t="s">
        <v>146</v>
      </c>
      <c r="C35">
        <v>2008</v>
      </c>
      <c r="D35">
        <v>9</v>
      </c>
      <c r="E35" s="173">
        <v>39722</v>
      </c>
      <c r="F35">
        <v>2516322.0299999998</v>
      </c>
      <c r="G35">
        <v>45485</v>
      </c>
      <c r="H35">
        <v>2595586.17</v>
      </c>
    </row>
    <row r="36" spans="1:8" x14ac:dyDescent="0.2">
      <c r="A36" t="s">
        <v>156</v>
      </c>
      <c r="B36" t="s">
        <v>146</v>
      </c>
      <c r="C36">
        <v>2008</v>
      </c>
      <c r="D36">
        <v>10</v>
      </c>
      <c r="E36" s="173">
        <v>39753</v>
      </c>
      <c r="F36">
        <v>2431597.2000000002</v>
      </c>
      <c r="G36">
        <v>45485</v>
      </c>
      <c r="H36">
        <v>2508192.5099999998</v>
      </c>
    </row>
    <row r="37" spans="1:8" x14ac:dyDescent="0.2">
      <c r="A37" t="s">
        <v>156</v>
      </c>
      <c r="B37" t="s">
        <v>146</v>
      </c>
      <c r="C37">
        <v>2008</v>
      </c>
      <c r="D37">
        <v>11</v>
      </c>
      <c r="E37" s="173">
        <v>39783</v>
      </c>
      <c r="F37">
        <v>2295109.1</v>
      </c>
      <c r="G37">
        <v>45485</v>
      </c>
      <c r="H37">
        <v>2367405.04</v>
      </c>
    </row>
    <row r="38" spans="1:8" x14ac:dyDescent="0.2">
      <c r="A38" t="s">
        <v>156</v>
      </c>
      <c r="B38" t="s">
        <v>146</v>
      </c>
      <c r="C38">
        <v>2008</v>
      </c>
      <c r="D38">
        <v>12</v>
      </c>
      <c r="E38" s="173">
        <v>39814</v>
      </c>
      <c r="F38">
        <v>2366536.63</v>
      </c>
      <c r="G38">
        <v>45485</v>
      </c>
      <c r="H38">
        <v>2441082.5299999998</v>
      </c>
    </row>
    <row r="39" spans="1:8" x14ac:dyDescent="0.2">
      <c r="A39" t="s">
        <v>156</v>
      </c>
      <c r="B39" t="s">
        <v>146</v>
      </c>
      <c r="C39">
        <v>2009</v>
      </c>
      <c r="D39">
        <v>1</v>
      </c>
      <c r="E39" s="173">
        <v>39845</v>
      </c>
      <c r="F39">
        <v>2278971.1</v>
      </c>
      <c r="G39">
        <v>45485</v>
      </c>
      <c r="H39">
        <v>2350758.69</v>
      </c>
    </row>
    <row r="40" spans="1:8" x14ac:dyDescent="0.2">
      <c r="A40" t="s">
        <v>156</v>
      </c>
      <c r="B40" t="s">
        <v>146</v>
      </c>
      <c r="C40">
        <v>2009</v>
      </c>
      <c r="D40">
        <v>2</v>
      </c>
      <c r="E40" s="173">
        <v>39873</v>
      </c>
      <c r="F40">
        <v>2108440.7599999998</v>
      </c>
      <c r="G40">
        <v>45485</v>
      </c>
      <c r="H40">
        <v>2174856.64</v>
      </c>
    </row>
    <row r="41" spans="1:8" x14ac:dyDescent="0.2">
      <c r="A41" t="s">
        <v>156</v>
      </c>
      <c r="B41" t="s">
        <v>146</v>
      </c>
      <c r="C41">
        <v>2009</v>
      </c>
      <c r="D41">
        <v>3</v>
      </c>
      <c r="E41" s="173">
        <v>39904</v>
      </c>
      <c r="F41">
        <v>2411364.08</v>
      </c>
      <c r="G41">
        <v>45485</v>
      </c>
      <c r="H41">
        <v>2487322.0499999998</v>
      </c>
    </row>
    <row r="42" spans="1:8" x14ac:dyDescent="0.2">
      <c r="A42" t="s">
        <v>156</v>
      </c>
      <c r="B42" t="s">
        <v>146</v>
      </c>
      <c r="C42">
        <v>2009</v>
      </c>
      <c r="D42">
        <v>4</v>
      </c>
      <c r="E42" s="173">
        <v>39934</v>
      </c>
      <c r="F42">
        <v>2326534.0499999998</v>
      </c>
      <c r="G42">
        <v>45485</v>
      </c>
      <c r="H42">
        <v>2399819.87</v>
      </c>
    </row>
    <row r="43" spans="1:8" x14ac:dyDescent="0.2">
      <c r="A43" t="s">
        <v>156</v>
      </c>
      <c r="B43" t="s">
        <v>146</v>
      </c>
      <c r="C43">
        <v>2009</v>
      </c>
      <c r="D43">
        <v>5</v>
      </c>
      <c r="E43" s="173">
        <v>39965</v>
      </c>
      <c r="F43">
        <v>2504926.83</v>
      </c>
      <c r="G43">
        <v>45485</v>
      </c>
      <c r="H43">
        <v>2583832.0299999998</v>
      </c>
    </row>
    <row r="44" spans="1:8" x14ac:dyDescent="0.2">
      <c r="A44" t="s">
        <v>156</v>
      </c>
      <c r="B44" t="s">
        <v>146</v>
      </c>
      <c r="C44">
        <v>2009</v>
      </c>
      <c r="D44">
        <v>6</v>
      </c>
      <c r="E44" s="173">
        <v>39995</v>
      </c>
      <c r="F44">
        <v>2490087.52</v>
      </c>
      <c r="G44">
        <v>45485</v>
      </c>
      <c r="H44">
        <v>2568525.2799999998</v>
      </c>
    </row>
    <row r="45" spans="1:8" x14ac:dyDescent="0.2">
      <c r="A45" t="s">
        <v>156</v>
      </c>
      <c r="B45" t="s">
        <v>146</v>
      </c>
      <c r="C45">
        <v>2009</v>
      </c>
      <c r="D45">
        <v>7</v>
      </c>
      <c r="E45" s="173">
        <v>40026</v>
      </c>
      <c r="F45">
        <v>2575656.87</v>
      </c>
      <c r="G45">
        <v>45485</v>
      </c>
      <c r="H45">
        <v>2656790.06</v>
      </c>
    </row>
    <row r="46" spans="1:8" x14ac:dyDescent="0.2">
      <c r="A46" t="s">
        <v>156</v>
      </c>
      <c r="B46" t="s">
        <v>146</v>
      </c>
      <c r="C46">
        <v>2009</v>
      </c>
      <c r="D46">
        <v>8</v>
      </c>
      <c r="E46" s="173">
        <v>40057</v>
      </c>
      <c r="F46">
        <v>2637078.38</v>
      </c>
      <c r="G46">
        <v>45485</v>
      </c>
      <c r="H46">
        <v>2720146.35</v>
      </c>
    </row>
    <row r="47" spans="1:8" x14ac:dyDescent="0.2">
      <c r="A47" t="s">
        <v>156</v>
      </c>
      <c r="B47" t="s">
        <v>146</v>
      </c>
      <c r="C47">
        <v>2009</v>
      </c>
      <c r="D47">
        <v>9</v>
      </c>
      <c r="E47" s="173">
        <v>40087</v>
      </c>
      <c r="F47">
        <v>2473082.14</v>
      </c>
      <c r="G47">
        <v>45485</v>
      </c>
      <c r="H47">
        <v>2550984.23</v>
      </c>
    </row>
    <row r="48" spans="1:8" x14ac:dyDescent="0.2">
      <c r="A48" t="s">
        <v>156</v>
      </c>
      <c r="B48" t="s">
        <v>146</v>
      </c>
      <c r="C48">
        <v>2009</v>
      </c>
      <c r="D48">
        <v>10</v>
      </c>
      <c r="E48" s="173">
        <v>40118</v>
      </c>
      <c r="F48">
        <v>2436162.34</v>
      </c>
      <c r="G48">
        <v>45485</v>
      </c>
      <c r="H48">
        <v>2512901.4500000002</v>
      </c>
    </row>
    <row r="49" spans="1:8" x14ac:dyDescent="0.2">
      <c r="A49" t="s">
        <v>156</v>
      </c>
      <c r="B49" t="s">
        <v>146</v>
      </c>
      <c r="C49">
        <v>2009</v>
      </c>
      <c r="D49">
        <v>11</v>
      </c>
      <c r="E49" s="173">
        <v>40148</v>
      </c>
      <c r="F49">
        <v>2354430.6</v>
      </c>
      <c r="G49">
        <v>45485</v>
      </c>
      <c r="H49">
        <v>2428595.16</v>
      </c>
    </row>
    <row r="50" spans="1:8" x14ac:dyDescent="0.2">
      <c r="A50" t="s">
        <v>156</v>
      </c>
      <c r="B50" t="s">
        <v>146</v>
      </c>
      <c r="C50">
        <v>2009</v>
      </c>
      <c r="D50">
        <v>12</v>
      </c>
      <c r="E50" s="173">
        <v>40179</v>
      </c>
      <c r="F50">
        <v>2348104</v>
      </c>
      <c r="G50">
        <v>45485</v>
      </c>
      <c r="H50">
        <v>2422069.2799999998</v>
      </c>
    </row>
    <row r="51" spans="1:8" x14ac:dyDescent="0.2">
      <c r="A51" t="s">
        <v>156</v>
      </c>
      <c r="B51" t="s">
        <v>146</v>
      </c>
      <c r="C51">
        <v>2010</v>
      </c>
      <c r="D51">
        <v>1</v>
      </c>
      <c r="E51" s="173">
        <v>40210</v>
      </c>
      <c r="F51">
        <v>2350374.13</v>
      </c>
      <c r="G51">
        <v>45485</v>
      </c>
      <c r="H51">
        <v>2424410.92</v>
      </c>
    </row>
    <row r="52" spans="1:8" x14ac:dyDescent="0.2">
      <c r="A52" t="s">
        <v>156</v>
      </c>
      <c r="B52" t="s">
        <v>146</v>
      </c>
      <c r="C52">
        <v>2010</v>
      </c>
      <c r="D52">
        <v>2</v>
      </c>
      <c r="E52" s="173">
        <v>40238</v>
      </c>
      <c r="F52">
        <v>2080664.34</v>
      </c>
      <c r="G52">
        <v>45485</v>
      </c>
      <c r="H52">
        <v>2146205.27</v>
      </c>
    </row>
    <row r="53" spans="1:8" x14ac:dyDescent="0.2">
      <c r="A53" t="s">
        <v>156</v>
      </c>
      <c r="B53" t="s">
        <v>146</v>
      </c>
      <c r="C53">
        <v>2010</v>
      </c>
      <c r="D53">
        <v>3</v>
      </c>
      <c r="E53" s="173">
        <v>40269</v>
      </c>
      <c r="F53">
        <v>2324860.14</v>
      </c>
      <c r="G53">
        <v>45485</v>
      </c>
      <c r="H53">
        <v>2398093.23</v>
      </c>
    </row>
    <row r="54" spans="1:8" x14ac:dyDescent="0.2">
      <c r="A54" t="s">
        <v>156</v>
      </c>
      <c r="B54" t="s">
        <v>146</v>
      </c>
      <c r="C54">
        <v>2010</v>
      </c>
      <c r="D54">
        <v>4</v>
      </c>
      <c r="E54" s="173">
        <v>40299</v>
      </c>
      <c r="F54">
        <v>2359545.69</v>
      </c>
      <c r="G54">
        <v>45485</v>
      </c>
      <c r="H54">
        <v>2433871.38</v>
      </c>
    </row>
    <row r="55" spans="1:8" x14ac:dyDescent="0.2">
      <c r="A55" t="s">
        <v>156</v>
      </c>
      <c r="B55" t="s">
        <v>146</v>
      </c>
      <c r="C55">
        <v>2010</v>
      </c>
      <c r="D55">
        <v>5</v>
      </c>
      <c r="E55" s="173">
        <v>40330</v>
      </c>
      <c r="F55">
        <v>2511761.23</v>
      </c>
      <c r="G55">
        <v>45485</v>
      </c>
      <c r="H55">
        <v>2557726.46</v>
      </c>
    </row>
    <row r="56" spans="1:8" x14ac:dyDescent="0.2">
      <c r="A56" t="s">
        <v>156</v>
      </c>
      <c r="B56" t="s">
        <v>146</v>
      </c>
      <c r="C56">
        <v>2010</v>
      </c>
      <c r="D56">
        <v>6</v>
      </c>
      <c r="E56" s="173">
        <v>40360</v>
      </c>
      <c r="F56">
        <v>2580321.14</v>
      </c>
      <c r="G56">
        <v>45485</v>
      </c>
      <c r="H56">
        <v>2627541.02</v>
      </c>
    </row>
    <row r="57" spans="1:8" x14ac:dyDescent="0.2">
      <c r="A57" t="s">
        <v>156</v>
      </c>
      <c r="B57" t="s">
        <v>146</v>
      </c>
      <c r="C57">
        <v>2010</v>
      </c>
      <c r="D57">
        <v>7</v>
      </c>
      <c r="E57" s="173">
        <v>40391</v>
      </c>
      <c r="F57">
        <v>2833027.69</v>
      </c>
      <c r="G57">
        <v>45485</v>
      </c>
      <c r="H57">
        <v>2884872.1</v>
      </c>
    </row>
    <row r="58" spans="1:8" x14ac:dyDescent="0.2">
      <c r="A58" t="s">
        <v>156</v>
      </c>
      <c r="B58" t="s">
        <v>146</v>
      </c>
      <c r="C58">
        <v>2010</v>
      </c>
      <c r="D58">
        <v>8</v>
      </c>
      <c r="E58" s="173">
        <v>40422</v>
      </c>
      <c r="F58">
        <v>2796046.35</v>
      </c>
      <c r="G58">
        <v>45485</v>
      </c>
      <c r="H58">
        <v>2847214</v>
      </c>
    </row>
    <row r="59" spans="1:8" x14ac:dyDescent="0.2">
      <c r="A59" t="s">
        <v>156</v>
      </c>
      <c r="B59" t="s">
        <v>146</v>
      </c>
      <c r="C59">
        <v>2010</v>
      </c>
      <c r="D59">
        <v>9</v>
      </c>
      <c r="E59" s="173">
        <v>40452</v>
      </c>
      <c r="F59">
        <v>2567970.4500000002</v>
      </c>
      <c r="G59">
        <v>45485</v>
      </c>
      <c r="H59">
        <v>2614964.31</v>
      </c>
    </row>
    <row r="60" spans="1:8" x14ac:dyDescent="0.2">
      <c r="A60" t="s">
        <v>156</v>
      </c>
      <c r="B60" t="s">
        <v>146</v>
      </c>
      <c r="C60">
        <v>2010</v>
      </c>
      <c r="D60">
        <v>10</v>
      </c>
      <c r="E60" s="173">
        <v>40483</v>
      </c>
      <c r="F60">
        <v>2502291.86</v>
      </c>
      <c r="G60">
        <v>45485</v>
      </c>
      <c r="H60">
        <v>2548083.7999999998</v>
      </c>
    </row>
    <row r="61" spans="1:8" x14ac:dyDescent="0.2">
      <c r="A61" t="s">
        <v>156</v>
      </c>
      <c r="B61" t="s">
        <v>146</v>
      </c>
      <c r="C61">
        <v>2010</v>
      </c>
      <c r="D61">
        <v>11</v>
      </c>
      <c r="E61" s="173">
        <v>40513</v>
      </c>
      <c r="F61">
        <v>2340013.4</v>
      </c>
      <c r="G61">
        <v>45485</v>
      </c>
      <c r="H61">
        <v>2382835.65</v>
      </c>
    </row>
    <row r="62" spans="1:8" x14ac:dyDescent="0.2">
      <c r="A62" t="s">
        <v>156</v>
      </c>
      <c r="B62" t="s">
        <v>146</v>
      </c>
      <c r="C62">
        <v>2010</v>
      </c>
      <c r="D62">
        <v>12</v>
      </c>
      <c r="E62" s="173">
        <v>40544</v>
      </c>
      <c r="F62">
        <v>2355434.11</v>
      </c>
      <c r="G62">
        <v>45485</v>
      </c>
      <c r="H62">
        <v>2398538.5499999998</v>
      </c>
    </row>
    <row r="63" spans="1:8" x14ac:dyDescent="0.2">
      <c r="A63" t="s">
        <v>156</v>
      </c>
      <c r="B63" t="s">
        <v>146</v>
      </c>
      <c r="C63">
        <v>2011</v>
      </c>
      <c r="D63">
        <v>1</v>
      </c>
      <c r="E63" s="173">
        <v>40575</v>
      </c>
      <c r="F63">
        <v>2257049.94</v>
      </c>
      <c r="G63">
        <v>45485</v>
      </c>
      <c r="H63">
        <v>2298353.9500000002</v>
      </c>
    </row>
    <row r="64" spans="1:8" x14ac:dyDescent="0.2">
      <c r="A64" t="s">
        <v>156</v>
      </c>
      <c r="B64" t="s">
        <v>146</v>
      </c>
      <c r="C64">
        <v>2011</v>
      </c>
      <c r="D64">
        <v>2</v>
      </c>
      <c r="E64" s="173">
        <v>40603</v>
      </c>
      <c r="F64">
        <v>2190041.08</v>
      </c>
      <c r="G64">
        <v>45485</v>
      </c>
      <c r="H64">
        <v>2230118.83</v>
      </c>
    </row>
    <row r="65" spans="1:8" x14ac:dyDescent="0.2">
      <c r="A65" t="s">
        <v>156</v>
      </c>
      <c r="B65" t="s">
        <v>146</v>
      </c>
      <c r="C65">
        <v>2011</v>
      </c>
      <c r="D65">
        <v>3</v>
      </c>
      <c r="E65" s="173">
        <v>40634</v>
      </c>
      <c r="F65">
        <v>2594560.65</v>
      </c>
      <c r="G65">
        <v>45485</v>
      </c>
      <c r="H65">
        <v>2642041.11</v>
      </c>
    </row>
    <row r="66" spans="1:8" x14ac:dyDescent="0.2">
      <c r="A66" t="s">
        <v>156</v>
      </c>
      <c r="B66" t="s">
        <v>146</v>
      </c>
      <c r="C66">
        <v>2011</v>
      </c>
      <c r="D66">
        <v>4</v>
      </c>
      <c r="E66" s="173">
        <v>40664</v>
      </c>
      <c r="F66">
        <v>2567441.42</v>
      </c>
      <c r="G66">
        <v>45485</v>
      </c>
      <c r="H66">
        <v>2614425.6000000001</v>
      </c>
    </row>
    <row r="67" spans="1:8" x14ac:dyDescent="0.2">
      <c r="A67" t="s">
        <v>156</v>
      </c>
      <c r="B67" t="s">
        <v>146</v>
      </c>
      <c r="C67">
        <v>2011</v>
      </c>
      <c r="D67">
        <v>5</v>
      </c>
      <c r="E67" s="173">
        <v>40695</v>
      </c>
      <c r="F67">
        <v>2857072.18</v>
      </c>
      <c r="G67">
        <v>45485</v>
      </c>
      <c r="H67">
        <v>2909356.6</v>
      </c>
    </row>
    <row r="68" spans="1:8" x14ac:dyDescent="0.2">
      <c r="A68" t="s">
        <v>156</v>
      </c>
      <c r="B68" t="s">
        <v>146</v>
      </c>
      <c r="C68">
        <v>2011</v>
      </c>
      <c r="D68">
        <v>6</v>
      </c>
      <c r="E68" s="173">
        <v>40725</v>
      </c>
      <c r="F68">
        <v>2998378.76</v>
      </c>
      <c r="G68">
        <v>45485</v>
      </c>
      <c r="H68">
        <v>3053249.09</v>
      </c>
    </row>
    <row r="69" spans="1:8" x14ac:dyDescent="0.2">
      <c r="A69" t="s">
        <v>156</v>
      </c>
      <c r="B69" t="s">
        <v>146</v>
      </c>
      <c r="C69">
        <v>2011</v>
      </c>
      <c r="D69">
        <v>7</v>
      </c>
      <c r="E69" s="173">
        <v>40756</v>
      </c>
      <c r="F69">
        <v>3318222.39</v>
      </c>
      <c r="G69">
        <v>45485</v>
      </c>
      <c r="H69">
        <v>3378945.86</v>
      </c>
    </row>
    <row r="70" spans="1:8" x14ac:dyDescent="0.2">
      <c r="A70" t="s">
        <v>156</v>
      </c>
      <c r="B70" t="s">
        <v>146</v>
      </c>
      <c r="C70">
        <v>2011</v>
      </c>
      <c r="D70">
        <v>8</v>
      </c>
      <c r="E70" s="173">
        <v>40787</v>
      </c>
      <c r="F70">
        <v>3197649.61</v>
      </c>
      <c r="G70">
        <v>45485</v>
      </c>
      <c r="H70">
        <v>3256166.6</v>
      </c>
    </row>
    <row r="71" spans="1:8" x14ac:dyDescent="0.2">
      <c r="A71" t="s">
        <v>156</v>
      </c>
      <c r="B71" t="s">
        <v>146</v>
      </c>
      <c r="C71">
        <v>2011</v>
      </c>
      <c r="D71">
        <v>9</v>
      </c>
      <c r="E71" s="173">
        <v>40817</v>
      </c>
      <c r="F71">
        <v>2864394.01</v>
      </c>
      <c r="G71">
        <v>45485</v>
      </c>
      <c r="H71">
        <v>2916812.42</v>
      </c>
    </row>
    <row r="72" spans="1:8" x14ac:dyDescent="0.2">
      <c r="A72" t="s">
        <v>156</v>
      </c>
      <c r="B72" t="s">
        <v>146</v>
      </c>
      <c r="C72">
        <v>2011</v>
      </c>
      <c r="D72">
        <v>10</v>
      </c>
      <c r="E72" s="173">
        <v>40848</v>
      </c>
      <c r="F72">
        <v>2642556.7000000002</v>
      </c>
      <c r="G72">
        <v>45485</v>
      </c>
      <c r="H72">
        <v>2643349.4700000002</v>
      </c>
    </row>
    <row r="73" spans="1:8" x14ac:dyDescent="0.2">
      <c r="A73" t="s">
        <v>156</v>
      </c>
      <c r="B73" t="s">
        <v>146</v>
      </c>
      <c r="C73">
        <v>2011</v>
      </c>
      <c r="D73">
        <v>11</v>
      </c>
      <c r="E73" s="173">
        <v>40878</v>
      </c>
      <c r="F73">
        <v>2505724.2400000002</v>
      </c>
      <c r="G73">
        <v>45485</v>
      </c>
      <c r="H73">
        <v>2506475.96</v>
      </c>
    </row>
    <row r="74" spans="1:8" x14ac:dyDescent="0.2">
      <c r="A74" t="s">
        <v>156</v>
      </c>
      <c r="B74" t="s">
        <v>146</v>
      </c>
      <c r="C74">
        <v>2011</v>
      </c>
      <c r="D74">
        <v>12</v>
      </c>
      <c r="E74" s="173">
        <v>40909</v>
      </c>
      <c r="F74">
        <v>2542688.81</v>
      </c>
      <c r="G74">
        <v>45485</v>
      </c>
      <c r="H74">
        <v>2543451.62</v>
      </c>
    </row>
    <row r="75" spans="1:8" x14ac:dyDescent="0.2">
      <c r="A75" t="s">
        <v>156</v>
      </c>
      <c r="B75" t="s">
        <v>146</v>
      </c>
      <c r="C75">
        <v>2012</v>
      </c>
      <c r="D75">
        <v>1</v>
      </c>
      <c r="E75" s="173">
        <v>40940</v>
      </c>
      <c r="F75">
        <v>2468359.02</v>
      </c>
      <c r="G75">
        <v>45485</v>
      </c>
      <c r="H75">
        <v>2469099.5299999998</v>
      </c>
    </row>
    <row r="76" spans="1:8" x14ac:dyDescent="0.2">
      <c r="A76" t="s">
        <v>156</v>
      </c>
      <c r="B76" t="s">
        <v>146</v>
      </c>
      <c r="C76">
        <v>2012</v>
      </c>
      <c r="D76">
        <v>2</v>
      </c>
      <c r="E76" s="177">
        <v>40969</v>
      </c>
      <c r="F76" s="57">
        <v>2270361.7999999998</v>
      </c>
      <c r="G76" s="57">
        <v>45485</v>
      </c>
      <c r="H76" s="57">
        <v>2271042.91</v>
      </c>
    </row>
    <row r="77" spans="1:8" x14ac:dyDescent="0.2">
      <c r="A77" t="s">
        <v>156</v>
      </c>
      <c r="B77" t="s">
        <v>146</v>
      </c>
      <c r="C77">
        <v>2012</v>
      </c>
      <c r="D77">
        <v>3</v>
      </c>
      <c r="E77" s="177">
        <v>41000</v>
      </c>
      <c r="F77" s="57">
        <v>2554749.11</v>
      </c>
      <c r="G77" s="57">
        <v>45485</v>
      </c>
      <c r="H77" s="57">
        <v>2555515.5299999998</v>
      </c>
    </row>
    <row r="78" spans="1:8" x14ac:dyDescent="0.2">
      <c r="A78" t="s">
        <v>156</v>
      </c>
      <c r="B78" t="s">
        <v>146</v>
      </c>
      <c r="C78">
        <v>2012</v>
      </c>
      <c r="D78">
        <v>4</v>
      </c>
      <c r="E78" s="177">
        <v>41026</v>
      </c>
      <c r="F78" s="57">
        <v>2122659.12</v>
      </c>
      <c r="G78" s="57">
        <v>45485</v>
      </c>
      <c r="H78" s="57">
        <v>2123295.92</v>
      </c>
    </row>
    <row r="79" spans="1:8" x14ac:dyDescent="0.2">
      <c r="A79" s="178" t="s">
        <v>156</v>
      </c>
      <c r="B79" s="178" t="s">
        <v>146</v>
      </c>
      <c r="C79" s="178">
        <v>2012</v>
      </c>
      <c r="D79" s="178">
        <v>5</v>
      </c>
      <c r="E79" s="179">
        <v>41061</v>
      </c>
      <c r="F79" s="180">
        <v>3014442.9971008701</v>
      </c>
      <c r="G79" s="181">
        <v>45485</v>
      </c>
      <c r="H79" s="180">
        <v>3015347.33</v>
      </c>
    </row>
    <row r="80" spans="1:8" x14ac:dyDescent="0.2">
      <c r="A80" s="178" t="s">
        <v>156</v>
      </c>
      <c r="B80" s="178" t="s">
        <v>146</v>
      </c>
      <c r="C80" s="178">
        <v>2012</v>
      </c>
      <c r="D80" s="178">
        <v>6</v>
      </c>
      <c r="E80" s="179">
        <v>41091</v>
      </c>
      <c r="F80" s="180">
        <v>2889801.28</v>
      </c>
      <c r="G80" s="181">
        <v>45485</v>
      </c>
      <c r="H80" s="180">
        <v>2890668.22</v>
      </c>
    </row>
    <row r="81" spans="1:8" x14ac:dyDescent="0.2">
      <c r="A81" s="178" t="s">
        <v>156</v>
      </c>
      <c r="B81" s="178" t="s">
        <v>146</v>
      </c>
      <c r="C81" s="178">
        <v>2012</v>
      </c>
      <c r="D81" s="178">
        <v>7</v>
      </c>
      <c r="E81" s="179">
        <v>41122</v>
      </c>
      <c r="F81" s="180">
        <v>3114912.7461761474</v>
      </c>
      <c r="G81" s="181">
        <v>45485</v>
      </c>
      <c r="H81" s="180">
        <v>3115847.22</v>
      </c>
    </row>
    <row r="82" spans="1:8" x14ac:dyDescent="0.2">
      <c r="A82" s="178" t="s">
        <v>156</v>
      </c>
      <c r="B82" s="178" t="s">
        <v>146</v>
      </c>
      <c r="C82" s="178">
        <v>2012</v>
      </c>
      <c r="D82" s="178">
        <v>8</v>
      </c>
      <c r="E82" s="179">
        <v>41153</v>
      </c>
      <c r="F82" s="180">
        <v>3018456.0731780464</v>
      </c>
      <c r="G82" s="181">
        <v>45485</v>
      </c>
      <c r="H82" s="180">
        <v>3019361.61</v>
      </c>
    </row>
    <row r="83" spans="1:8" x14ac:dyDescent="0.2">
      <c r="A83" s="178" t="s">
        <v>156</v>
      </c>
      <c r="B83" s="178" t="s">
        <v>146</v>
      </c>
      <c r="C83" s="178">
        <v>2012</v>
      </c>
      <c r="D83" s="178">
        <v>9</v>
      </c>
      <c r="E83" s="179">
        <v>41183</v>
      </c>
      <c r="F83" s="180">
        <v>2757059.9720083973</v>
      </c>
      <c r="G83" s="181">
        <v>45485</v>
      </c>
      <c r="H83" s="180">
        <v>2757887.09</v>
      </c>
    </row>
    <row r="84" spans="1:8" x14ac:dyDescent="0.2">
      <c r="A84" s="178" t="s">
        <v>156</v>
      </c>
      <c r="B84" s="178" t="s">
        <v>146</v>
      </c>
      <c r="C84" s="178">
        <v>2012</v>
      </c>
      <c r="D84" s="178">
        <v>10</v>
      </c>
      <c r="E84" s="179">
        <v>41214</v>
      </c>
      <c r="F84" s="180">
        <v>2654281.6854943521</v>
      </c>
      <c r="G84" s="181">
        <v>45485</v>
      </c>
      <c r="H84" s="180">
        <v>2655077.9700000002</v>
      </c>
    </row>
    <row r="85" spans="1:8" x14ac:dyDescent="0.2">
      <c r="A85" s="178" t="s">
        <v>156</v>
      </c>
      <c r="B85" s="178" t="s">
        <v>146</v>
      </c>
      <c r="C85" s="178">
        <v>2012</v>
      </c>
      <c r="D85" s="178">
        <v>11</v>
      </c>
      <c r="E85" s="179">
        <v>41244</v>
      </c>
      <c r="F85" s="180">
        <v>2484508.7973607918</v>
      </c>
      <c r="G85" s="181">
        <v>45485</v>
      </c>
      <c r="H85" s="180">
        <v>2485254.15</v>
      </c>
    </row>
    <row r="86" spans="1:8" x14ac:dyDescent="0.2">
      <c r="A86" s="178" t="s">
        <v>156</v>
      </c>
      <c r="B86" s="178" t="s">
        <v>146</v>
      </c>
      <c r="C86" s="178">
        <v>2012</v>
      </c>
      <c r="D86" s="178">
        <v>12</v>
      </c>
      <c r="E86" s="179">
        <v>41275</v>
      </c>
      <c r="F86" s="180">
        <v>2496697.7306807959</v>
      </c>
      <c r="G86" s="181">
        <v>45485</v>
      </c>
      <c r="H86" s="180">
        <v>2497446.7400000002</v>
      </c>
    </row>
    <row r="87" spans="1:8" x14ac:dyDescent="0.2">
      <c r="A87" t="s">
        <v>152</v>
      </c>
      <c r="B87" t="s">
        <v>158</v>
      </c>
      <c r="C87">
        <v>2005</v>
      </c>
      <c r="D87">
        <v>12</v>
      </c>
      <c r="E87" s="177">
        <v>38718</v>
      </c>
      <c r="F87" s="57">
        <v>279174.76</v>
      </c>
      <c r="G87" s="57">
        <v>9743</v>
      </c>
      <c r="H87" s="57">
        <v>289001.71000000002</v>
      </c>
    </row>
    <row r="88" spans="1:8" x14ac:dyDescent="0.2">
      <c r="A88" t="s">
        <v>152</v>
      </c>
      <c r="B88" t="s">
        <v>158</v>
      </c>
      <c r="C88">
        <v>2006</v>
      </c>
      <c r="D88">
        <v>1</v>
      </c>
      <c r="E88" s="177">
        <v>38749</v>
      </c>
      <c r="F88" s="57">
        <v>278682.90000000002</v>
      </c>
      <c r="G88" s="57">
        <v>9743</v>
      </c>
      <c r="H88" s="57">
        <v>288492.53999999998</v>
      </c>
    </row>
    <row r="89" spans="1:8" x14ac:dyDescent="0.2">
      <c r="A89" t="s">
        <v>152</v>
      </c>
      <c r="B89" t="s">
        <v>158</v>
      </c>
      <c r="C89">
        <v>2006</v>
      </c>
      <c r="D89">
        <v>2</v>
      </c>
      <c r="E89" s="173">
        <v>38777</v>
      </c>
      <c r="F89">
        <v>249380.92</v>
      </c>
      <c r="G89">
        <v>9743</v>
      </c>
      <c r="H89">
        <v>258159.13</v>
      </c>
    </row>
    <row r="90" spans="1:8" x14ac:dyDescent="0.2">
      <c r="A90" t="s">
        <v>152</v>
      </c>
      <c r="B90" t="s">
        <v>158</v>
      </c>
      <c r="C90">
        <v>2006</v>
      </c>
      <c r="D90">
        <v>3</v>
      </c>
      <c r="E90" s="173">
        <v>38808</v>
      </c>
      <c r="F90">
        <v>276162.18</v>
      </c>
      <c r="G90">
        <v>9743</v>
      </c>
      <c r="H90">
        <v>285883.09000000003</v>
      </c>
    </row>
    <row r="91" spans="1:8" x14ac:dyDescent="0.2">
      <c r="A91" t="s">
        <v>152</v>
      </c>
      <c r="B91" t="s">
        <v>158</v>
      </c>
      <c r="C91">
        <v>2006</v>
      </c>
      <c r="D91">
        <v>4</v>
      </c>
      <c r="E91" s="173">
        <v>38838</v>
      </c>
      <c r="F91">
        <v>276803.63</v>
      </c>
      <c r="G91">
        <v>9743</v>
      </c>
      <c r="H91">
        <v>286547.12</v>
      </c>
    </row>
    <row r="92" spans="1:8" x14ac:dyDescent="0.2">
      <c r="A92" t="s">
        <v>152</v>
      </c>
      <c r="B92" t="s">
        <v>158</v>
      </c>
      <c r="C92">
        <v>2006</v>
      </c>
      <c r="D92">
        <v>5</v>
      </c>
      <c r="E92" s="173">
        <v>38869</v>
      </c>
      <c r="F92">
        <v>301716.74</v>
      </c>
      <c r="G92">
        <v>9743</v>
      </c>
      <c r="H92">
        <v>314358.67</v>
      </c>
    </row>
    <row r="93" spans="1:8" x14ac:dyDescent="0.2">
      <c r="A93" t="s">
        <v>152</v>
      </c>
      <c r="B93" t="s">
        <v>158</v>
      </c>
      <c r="C93">
        <v>2006</v>
      </c>
      <c r="D93">
        <v>6</v>
      </c>
      <c r="E93" s="173">
        <v>38899</v>
      </c>
      <c r="F93">
        <v>306513.96999999997</v>
      </c>
      <c r="G93">
        <v>9743</v>
      </c>
      <c r="H93">
        <v>319356.90999999997</v>
      </c>
    </row>
    <row r="94" spans="1:8" x14ac:dyDescent="0.2">
      <c r="A94" t="s">
        <v>152</v>
      </c>
      <c r="B94" t="s">
        <v>158</v>
      </c>
      <c r="C94">
        <v>2006</v>
      </c>
      <c r="D94">
        <v>7</v>
      </c>
      <c r="E94" s="173">
        <v>38930</v>
      </c>
      <c r="F94">
        <v>331165.63</v>
      </c>
      <c r="G94">
        <v>9743</v>
      </c>
      <c r="H94">
        <v>345041.47</v>
      </c>
    </row>
    <row r="95" spans="1:8" x14ac:dyDescent="0.2">
      <c r="A95" t="s">
        <v>152</v>
      </c>
      <c r="B95" t="s">
        <v>158</v>
      </c>
      <c r="C95">
        <v>2006</v>
      </c>
      <c r="D95">
        <v>8</v>
      </c>
      <c r="E95" s="173">
        <v>38961</v>
      </c>
      <c r="F95">
        <v>321343.68</v>
      </c>
      <c r="G95">
        <v>9743</v>
      </c>
      <c r="H95">
        <v>334807.98</v>
      </c>
    </row>
    <row r="96" spans="1:8" x14ac:dyDescent="0.2">
      <c r="A96" t="s">
        <v>152</v>
      </c>
      <c r="B96" t="s">
        <v>158</v>
      </c>
      <c r="C96">
        <v>2006</v>
      </c>
      <c r="D96">
        <v>9</v>
      </c>
      <c r="E96" s="173">
        <v>38991</v>
      </c>
      <c r="F96">
        <v>293668.73</v>
      </c>
      <c r="G96">
        <v>9743</v>
      </c>
      <c r="H96">
        <v>305973.45</v>
      </c>
    </row>
    <row r="97" spans="1:8" x14ac:dyDescent="0.2">
      <c r="A97" t="s">
        <v>152</v>
      </c>
      <c r="B97" t="s">
        <v>158</v>
      </c>
      <c r="C97">
        <v>2006</v>
      </c>
      <c r="D97">
        <v>10</v>
      </c>
      <c r="E97" s="173">
        <v>39022</v>
      </c>
      <c r="F97">
        <v>287289.94</v>
      </c>
      <c r="G97">
        <v>9743</v>
      </c>
      <c r="H97">
        <v>299327.39</v>
      </c>
    </row>
    <row r="98" spans="1:8" x14ac:dyDescent="0.2">
      <c r="A98" t="s">
        <v>152</v>
      </c>
      <c r="B98" t="s">
        <v>158</v>
      </c>
      <c r="C98">
        <v>2006</v>
      </c>
      <c r="D98">
        <v>11</v>
      </c>
      <c r="E98" s="173">
        <v>39052</v>
      </c>
      <c r="F98">
        <v>277101.09999999998</v>
      </c>
      <c r="G98">
        <v>9743</v>
      </c>
      <c r="H98">
        <v>288711.64</v>
      </c>
    </row>
    <row r="99" spans="1:8" x14ac:dyDescent="0.2">
      <c r="A99" t="s">
        <v>152</v>
      </c>
      <c r="B99" t="s">
        <v>158</v>
      </c>
      <c r="C99">
        <v>2006</v>
      </c>
      <c r="D99">
        <v>12</v>
      </c>
      <c r="E99" s="173">
        <v>39083</v>
      </c>
      <c r="F99">
        <v>282099.87</v>
      </c>
      <c r="G99">
        <v>9743</v>
      </c>
      <c r="H99">
        <v>293919.84999999998</v>
      </c>
    </row>
    <row r="100" spans="1:8" x14ac:dyDescent="0.2">
      <c r="A100" t="s">
        <v>152</v>
      </c>
      <c r="B100" t="s">
        <v>158</v>
      </c>
      <c r="C100">
        <v>2007</v>
      </c>
      <c r="D100">
        <v>1</v>
      </c>
      <c r="E100" s="173">
        <v>39114</v>
      </c>
      <c r="F100">
        <v>281710.09999999998</v>
      </c>
      <c r="G100">
        <v>9743</v>
      </c>
      <c r="H100">
        <v>293513.75</v>
      </c>
    </row>
    <row r="101" spans="1:8" x14ac:dyDescent="0.2">
      <c r="A101" t="s">
        <v>152</v>
      </c>
      <c r="B101" t="s">
        <v>158</v>
      </c>
      <c r="C101">
        <v>2007</v>
      </c>
      <c r="D101">
        <v>2</v>
      </c>
      <c r="E101" s="173">
        <v>39142</v>
      </c>
      <c r="F101">
        <v>251368.2</v>
      </c>
      <c r="G101">
        <v>9743</v>
      </c>
      <c r="H101">
        <v>261900.53</v>
      </c>
    </row>
    <row r="102" spans="1:8" x14ac:dyDescent="0.2">
      <c r="A102" t="s">
        <v>152</v>
      </c>
      <c r="B102" t="s">
        <v>158</v>
      </c>
      <c r="C102">
        <v>2007</v>
      </c>
      <c r="D102">
        <v>3</v>
      </c>
      <c r="E102" s="173">
        <v>39173</v>
      </c>
      <c r="F102">
        <v>280390.21000000002</v>
      </c>
      <c r="G102">
        <v>9743</v>
      </c>
      <c r="H102">
        <v>292138.56</v>
      </c>
    </row>
    <row r="103" spans="1:8" x14ac:dyDescent="0.2">
      <c r="A103" t="s">
        <v>152</v>
      </c>
      <c r="B103" t="s">
        <v>158</v>
      </c>
      <c r="C103">
        <v>2007</v>
      </c>
      <c r="D103">
        <v>4</v>
      </c>
      <c r="E103" s="173">
        <v>39203</v>
      </c>
      <c r="F103">
        <v>274614.34000000003</v>
      </c>
      <c r="G103">
        <v>9743</v>
      </c>
      <c r="H103">
        <v>286120.68</v>
      </c>
    </row>
    <row r="104" spans="1:8" x14ac:dyDescent="0.2">
      <c r="A104" t="s">
        <v>152</v>
      </c>
      <c r="B104" t="s">
        <v>158</v>
      </c>
      <c r="C104">
        <v>2007</v>
      </c>
      <c r="D104">
        <v>5</v>
      </c>
      <c r="E104" s="173">
        <v>39234</v>
      </c>
      <c r="F104">
        <v>301985.2</v>
      </c>
      <c r="G104">
        <v>9743</v>
      </c>
      <c r="H104">
        <v>314638.38</v>
      </c>
    </row>
    <row r="105" spans="1:8" x14ac:dyDescent="0.2">
      <c r="A105" t="s">
        <v>152</v>
      </c>
      <c r="B105" t="s">
        <v>158</v>
      </c>
      <c r="C105">
        <v>2007</v>
      </c>
      <c r="D105">
        <v>6</v>
      </c>
      <c r="E105" s="173">
        <v>39264</v>
      </c>
      <c r="F105">
        <v>314544.90999999997</v>
      </c>
      <c r="G105">
        <v>9743</v>
      </c>
      <c r="H105">
        <v>327724.34000000003</v>
      </c>
    </row>
    <row r="106" spans="1:8" x14ac:dyDescent="0.2">
      <c r="A106" t="s">
        <v>152</v>
      </c>
      <c r="B106" t="s">
        <v>158</v>
      </c>
      <c r="C106">
        <v>2007</v>
      </c>
      <c r="D106">
        <v>7</v>
      </c>
      <c r="E106" s="173">
        <v>39295</v>
      </c>
      <c r="F106">
        <v>320432.25</v>
      </c>
      <c r="G106">
        <v>9743</v>
      </c>
      <c r="H106">
        <v>333858.36</v>
      </c>
    </row>
    <row r="107" spans="1:8" x14ac:dyDescent="0.2">
      <c r="A107" t="s">
        <v>152</v>
      </c>
      <c r="B107" t="s">
        <v>158</v>
      </c>
      <c r="C107">
        <v>2007</v>
      </c>
      <c r="D107">
        <v>8</v>
      </c>
      <c r="E107" s="173">
        <v>39326</v>
      </c>
      <c r="F107">
        <v>328416.21000000002</v>
      </c>
      <c r="G107">
        <v>9743</v>
      </c>
      <c r="H107">
        <v>342176.85</v>
      </c>
    </row>
    <row r="108" spans="1:8" x14ac:dyDescent="0.2">
      <c r="A108" t="s">
        <v>152</v>
      </c>
      <c r="B108" t="s">
        <v>158</v>
      </c>
      <c r="C108">
        <v>2007</v>
      </c>
      <c r="D108">
        <v>9</v>
      </c>
      <c r="E108" s="173">
        <v>39356</v>
      </c>
      <c r="F108">
        <v>306481.15000000002</v>
      </c>
      <c r="G108">
        <v>9743</v>
      </c>
      <c r="H108">
        <v>319322.71000000002</v>
      </c>
    </row>
    <row r="109" spans="1:8" x14ac:dyDescent="0.2">
      <c r="A109" t="s">
        <v>152</v>
      </c>
      <c r="B109" t="s">
        <v>158</v>
      </c>
      <c r="C109">
        <v>2007</v>
      </c>
      <c r="D109">
        <v>10</v>
      </c>
      <c r="E109" s="173">
        <v>39387</v>
      </c>
      <c r="F109">
        <v>305192.71000000002</v>
      </c>
      <c r="G109">
        <v>9743</v>
      </c>
      <c r="H109">
        <v>317980.28000000003</v>
      </c>
    </row>
    <row r="110" spans="1:8" x14ac:dyDescent="0.2">
      <c r="A110" t="s">
        <v>152</v>
      </c>
      <c r="B110" t="s">
        <v>158</v>
      </c>
      <c r="C110">
        <v>2007</v>
      </c>
      <c r="D110">
        <v>11</v>
      </c>
      <c r="E110" s="173">
        <v>39417</v>
      </c>
      <c r="F110">
        <v>276279.65999999997</v>
      </c>
      <c r="G110">
        <v>9743</v>
      </c>
      <c r="H110">
        <v>287855.78000000003</v>
      </c>
    </row>
    <row r="111" spans="1:8" x14ac:dyDescent="0.2">
      <c r="A111" t="s">
        <v>152</v>
      </c>
      <c r="B111" t="s">
        <v>158</v>
      </c>
      <c r="C111">
        <v>2007</v>
      </c>
      <c r="D111">
        <v>12</v>
      </c>
      <c r="E111" s="173">
        <v>39448</v>
      </c>
      <c r="F111">
        <v>285213.63</v>
      </c>
      <c r="G111">
        <v>9743</v>
      </c>
      <c r="H111">
        <v>297164.08</v>
      </c>
    </row>
    <row r="112" spans="1:8" x14ac:dyDescent="0.2">
      <c r="A112" t="s">
        <v>152</v>
      </c>
      <c r="B112" t="s">
        <v>158</v>
      </c>
      <c r="C112">
        <v>2008</v>
      </c>
      <c r="D112">
        <v>1</v>
      </c>
      <c r="E112" s="173">
        <v>39479</v>
      </c>
      <c r="F112">
        <v>290433.69</v>
      </c>
      <c r="G112">
        <v>9743</v>
      </c>
      <c r="H112">
        <v>302602.86</v>
      </c>
    </row>
    <row r="113" spans="1:8" x14ac:dyDescent="0.2">
      <c r="A113" t="s">
        <v>152</v>
      </c>
      <c r="B113" t="s">
        <v>158</v>
      </c>
      <c r="C113">
        <v>2008</v>
      </c>
      <c r="D113">
        <v>2</v>
      </c>
      <c r="E113" s="173">
        <v>39508</v>
      </c>
      <c r="F113">
        <v>270922.93</v>
      </c>
      <c r="G113">
        <v>9743</v>
      </c>
      <c r="H113">
        <v>282274.59999999998</v>
      </c>
    </row>
    <row r="114" spans="1:8" x14ac:dyDescent="0.2">
      <c r="A114" t="s">
        <v>152</v>
      </c>
      <c r="B114" t="s">
        <v>158</v>
      </c>
      <c r="C114">
        <v>2008</v>
      </c>
      <c r="D114">
        <v>3</v>
      </c>
      <c r="E114" s="173">
        <v>39539</v>
      </c>
      <c r="F114">
        <v>291492.98</v>
      </c>
      <c r="G114">
        <v>9743</v>
      </c>
      <c r="H114">
        <v>303706.53999999998</v>
      </c>
    </row>
    <row r="115" spans="1:8" x14ac:dyDescent="0.2">
      <c r="A115" t="s">
        <v>152</v>
      </c>
      <c r="B115" t="s">
        <v>158</v>
      </c>
      <c r="C115">
        <v>2008</v>
      </c>
      <c r="D115">
        <v>4</v>
      </c>
      <c r="E115" s="173">
        <v>39569</v>
      </c>
      <c r="F115">
        <v>295301.31</v>
      </c>
      <c r="G115">
        <v>9743</v>
      </c>
      <c r="H115">
        <v>307674.43</v>
      </c>
    </row>
    <row r="116" spans="1:8" x14ac:dyDescent="0.2">
      <c r="A116" t="s">
        <v>152</v>
      </c>
      <c r="B116" t="s">
        <v>158</v>
      </c>
      <c r="C116">
        <v>2008</v>
      </c>
      <c r="D116">
        <v>5</v>
      </c>
      <c r="E116" s="173">
        <v>39600</v>
      </c>
      <c r="F116">
        <v>303593.73</v>
      </c>
      <c r="G116">
        <v>9743</v>
      </c>
      <c r="H116">
        <v>316314.31</v>
      </c>
    </row>
    <row r="117" spans="1:8" x14ac:dyDescent="0.2">
      <c r="A117" t="s">
        <v>152</v>
      </c>
      <c r="B117" t="s">
        <v>158</v>
      </c>
      <c r="C117">
        <v>2008</v>
      </c>
      <c r="D117">
        <v>6</v>
      </c>
      <c r="E117" s="173">
        <v>39630</v>
      </c>
      <c r="F117">
        <v>319208.24</v>
      </c>
      <c r="G117">
        <v>9743</v>
      </c>
      <c r="H117">
        <v>332583.07</v>
      </c>
    </row>
    <row r="118" spans="1:8" x14ac:dyDescent="0.2">
      <c r="A118" t="s">
        <v>152</v>
      </c>
      <c r="B118" t="s">
        <v>158</v>
      </c>
      <c r="C118">
        <v>2008</v>
      </c>
      <c r="D118">
        <v>7</v>
      </c>
      <c r="E118" s="173">
        <v>39661</v>
      </c>
      <c r="F118">
        <v>341475.31</v>
      </c>
      <c r="G118">
        <v>9743</v>
      </c>
      <c r="H118">
        <v>355783.13</v>
      </c>
    </row>
    <row r="119" spans="1:8" x14ac:dyDescent="0.2">
      <c r="A119" t="s">
        <v>152</v>
      </c>
      <c r="B119" t="s">
        <v>158</v>
      </c>
      <c r="C119">
        <v>2008</v>
      </c>
      <c r="D119">
        <v>8</v>
      </c>
      <c r="E119" s="173">
        <v>39692</v>
      </c>
      <c r="F119">
        <v>323435.65999999997</v>
      </c>
      <c r="G119">
        <v>9743</v>
      </c>
      <c r="H119">
        <v>336987.61</v>
      </c>
    </row>
    <row r="120" spans="1:8" x14ac:dyDescent="0.2">
      <c r="A120" t="s">
        <v>152</v>
      </c>
      <c r="B120" t="s">
        <v>158</v>
      </c>
      <c r="C120">
        <v>2008</v>
      </c>
      <c r="D120">
        <v>9</v>
      </c>
      <c r="E120" s="173">
        <v>39722</v>
      </c>
      <c r="F120">
        <v>307211.42</v>
      </c>
      <c r="G120">
        <v>9743</v>
      </c>
      <c r="H120">
        <v>320083.58</v>
      </c>
    </row>
    <row r="121" spans="1:8" x14ac:dyDescent="0.2">
      <c r="A121" t="s">
        <v>152</v>
      </c>
      <c r="B121" t="s">
        <v>158</v>
      </c>
      <c r="C121">
        <v>2008</v>
      </c>
      <c r="D121">
        <v>10</v>
      </c>
      <c r="E121" s="173">
        <v>39753</v>
      </c>
      <c r="F121">
        <v>300539.38</v>
      </c>
      <c r="G121">
        <v>9743</v>
      </c>
      <c r="H121">
        <v>313131.98</v>
      </c>
    </row>
    <row r="122" spans="1:8" x14ac:dyDescent="0.2">
      <c r="A122" t="s">
        <v>152</v>
      </c>
      <c r="B122" t="s">
        <v>158</v>
      </c>
      <c r="C122">
        <v>2008</v>
      </c>
      <c r="D122">
        <v>11</v>
      </c>
      <c r="E122" s="173">
        <v>39783</v>
      </c>
      <c r="F122">
        <v>287574.73</v>
      </c>
      <c r="G122">
        <v>9743</v>
      </c>
      <c r="H122">
        <v>299624.11</v>
      </c>
    </row>
    <row r="123" spans="1:8" x14ac:dyDescent="0.2">
      <c r="A123" t="s">
        <v>152</v>
      </c>
      <c r="B123" t="s">
        <v>158</v>
      </c>
      <c r="C123">
        <v>2008</v>
      </c>
      <c r="D123">
        <v>12</v>
      </c>
      <c r="E123" s="173">
        <v>39814</v>
      </c>
      <c r="F123">
        <v>294315.08</v>
      </c>
      <c r="G123">
        <v>9743</v>
      </c>
      <c r="H123">
        <v>306646.88</v>
      </c>
    </row>
    <row r="124" spans="1:8" x14ac:dyDescent="0.2">
      <c r="A124" t="s">
        <v>152</v>
      </c>
      <c r="B124" t="s">
        <v>158</v>
      </c>
      <c r="C124">
        <v>2009</v>
      </c>
      <c r="D124">
        <v>1</v>
      </c>
      <c r="E124" s="173">
        <v>39845</v>
      </c>
      <c r="F124">
        <v>287603.46000000002</v>
      </c>
      <c r="G124">
        <v>9743</v>
      </c>
      <c r="H124">
        <v>299654.03999999998</v>
      </c>
    </row>
    <row r="125" spans="1:8" x14ac:dyDescent="0.2">
      <c r="A125" t="s">
        <v>152</v>
      </c>
      <c r="B125" t="s">
        <v>158</v>
      </c>
      <c r="C125">
        <v>2009</v>
      </c>
      <c r="D125">
        <v>2</v>
      </c>
      <c r="E125" s="173">
        <v>39873</v>
      </c>
      <c r="F125">
        <v>262200.68</v>
      </c>
      <c r="G125">
        <v>9743</v>
      </c>
      <c r="H125">
        <v>273186.89</v>
      </c>
    </row>
    <row r="126" spans="1:8" x14ac:dyDescent="0.2">
      <c r="A126" t="s">
        <v>152</v>
      </c>
      <c r="B126" t="s">
        <v>158</v>
      </c>
      <c r="C126">
        <v>2009</v>
      </c>
      <c r="D126">
        <v>3</v>
      </c>
      <c r="E126" s="173">
        <v>39904</v>
      </c>
      <c r="F126">
        <v>290466.08</v>
      </c>
      <c r="G126">
        <v>9743</v>
      </c>
      <c r="H126">
        <v>302636.61</v>
      </c>
    </row>
    <row r="127" spans="1:8" x14ac:dyDescent="0.2">
      <c r="A127" t="s">
        <v>152</v>
      </c>
      <c r="B127" t="s">
        <v>158</v>
      </c>
      <c r="C127">
        <v>2009</v>
      </c>
      <c r="D127">
        <v>4</v>
      </c>
      <c r="E127" s="173">
        <v>39934</v>
      </c>
      <c r="F127">
        <v>285261.36</v>
      </c>
      <c r="G127">
        <v>9743</v>
      </c>
      <c r="H127">
        <v>297213.81</v>
      </c>
    </row>
    <row r="128" spans="1:8" x14ac:dyDescent="0.2">
      <c r="A128" t="s">
        <v>152</v>
      </c>
      <c r="B128" t="s">
        <v>158</v>
      </c>
      <c r="C128">
        <v>2009</v>
      </c>
      <c r="D128">
        <v>5</v>
      </c>
      <c r="E128" s="173">
        <v>39965</v>
      </c>
      <c r="F128">
        <v>305591.25</v>
      </c>
      <c r="G128">
        <v>9743</v>
      </c>
      <c r="H128">
        <v>318395.52000000002</v>
      </c>
    </row>
    <row r="129" spans="1:8" x14ac:dyDescent="0.2">
      <c r="A129" t="s">
        <v>152</v>
      </c>
      <c r="B129" t="s">
        <v>158</v>
      </c>
      <c r="C129">
        <v>2009</v>
      </c>
      <c r="D129">
        <v>6</v>
      </c>
      <c r="E129" s="173">
        <v>39995</v>
      </c>
      <c r="F129">
        <v>310253.90999999997</v>
      </c>
      <c r="G129">
        <v>9743</v>
      </c>
      <c r="H129">
        <v>323253.55</v>
      </c>
    </row>
    <row r="130" spans="1:8" x14ac:dyDescent="0.2">
      <c r="A130" t="s">
        <v>152</v>
      </c>
      <c r="B130" t="s">
        <v>158</v>
      </c>
      <c r="C130">
        <v>2009</v>
      </c>
      <c r="D130">
        <v>7</v>
      </c>
      <c r="E130" s="173">
        <v>40026</v>
      </c>
      <c r="F130">
        <v>318277.51</v>
      </c>
      <c r="G130">
        <v>9743</v>
      </c>
      <c r="H130">
        <v>331613.34000000003</v>
      </c>
    </row>
    <row r="131" spans="1:8" x14ac:dyDescent="0.2">
      <c r="A131" t="s">
        <v>152</v>
      </c>
      <c r="B131" t="s">
        <v>158</v>
      </c>
      <c r="C131">
        <v>2009</v>
      </c>
      <c r="D131">
        <v>8</v>
      </c>
      <c r="E131" s="173">
        <v>40057</v>
      </c>
      <c r="F131">
        <v>317326.40000000002</v>
      </c>
      <c r="G131">
        <v>9743</v>
      </c>
      <c r="H131">
        <v>330622.38</v>
      </c>
    </row>
    <row r="132" spans="1:8" x14ac:dyDescent="0.2">
      <c r="A132" t="s">
        <v>152</v>
      </c>
      <c r="B132" t="s">
        <v>158</v>
      </c>
      <c r="C132">
        <v>2009</v>
      </c>
      <c r="D132">
        <v>9</v>
      </c>
      <c r="E132" s="173">
        <v>40087</v>
      </c>
      <c r="F132">
        <v>293964.32</v>
      </c>
      <c r="G132">
        <v>9743</v>
      </c>
      <c r="H132">
        <v>306281.43</v>
      </c>
    </row>
    <row r="133" spans="1:8" x14ac:dyDescent="0.2">
      <c r="A133" t="s">
        <v>152</v>
      </c>
      <c r="B133" t="s">
        <v>158</v>
      </c>
      <c r="C133">
        <v>2009</v>
      </c>
      <c r="D133">
        <v>10</v>
      </c>
      <c r="E133" s="173">
        <v>40118</v>
      </c>
      <c r="F133">
        <v>303214.26</v>
      </c>
      <c r="G133">
        <v>9743</v>
      </c>
      <c r="H133">
        <v>315918.94</v>
      </c>
    </row>
    <row r="134" spans="1:8" x14ac:dyDescent="0.2">
      <c r="A134" t="s">
        <v>152</v>
      </c>
      <c r="B134" t="s">
        <v>158</v>
      </c>
      <c r="C134">
        <v>2009</v>
      </c>
      <c r="D134">
        <v>11</v>
      </c>
      <c r="E134" s="173">
        <v>40148</v>
      </c>
      <c r="F134">
        <v>293214.61</v>
      </c>
      <c r="G134">
        <v>9743</v>
      </c>
      <c r="H134">
        <v>305500.3</v>
      </c>
    </row>
    <row r="135" spans="1:8" x14ac:dyDescent="0.2">
      <c r="A135" t="s">
        <v>152</v>
      </c>
      <c r="B135" t="s">
        <v>158</v>
      </c>
      <c r="C135">
        <v>2009</v>
      </c>
      <c r="D135">
        <v>12</v>
      </c>
      <c r="E135" s="173">
        <v>40179</v>
      </c>
      <c r="F135">
        <v>295341.40000000002</v>
      </c>
      <c r="G135">
        <v>9743</v>
      </c>
      <c r="H135">
        <v>307716.2</v>
      </c>
    </row>
    <row r="136" spans="1:8" x14ac:dyDescent="0.2">
      <c r="A136" t="s">
        <v>152</v>
      </c>
      <c r="B136" t="s">
        <v>158</v>
      </c>
      <c r="C136">
        <v>2010</v>
      </c>
      <c r="D136">
        <v>1</v>
      </c>
      <c r="E136" s="173">
        <v>40210</v>
      </c>
      <c r="F136">
        <v>289189.84999999998</v>
      </c>
      <c r="G136">
        <v>9743</v>
      </c>
      <c r="H136">
        <v>301306.90000000002</v>
      </c>
    </row>
    <row r="137" spans="1:8" x14ac:dyDescent="0.2">
      <c r="A137" t="s">
        <v>152</v>
      </c>
      <c r="B137" t="s">
        <v>158</v>
      </c>
      <c r="C137">
        <v>2010</v>
      </c>
      <c r="D137">
        <v>2</v>
      </c>
      <c r="E137" s="173">
        <v>40238</v>
      </c>
      <c r="F137">
        <v>259422.51</v>
      </c>
      <c r="G137">
        <v>9743</v>
      </c>
      <c r="H137">
        <v>270292.31</v>
      </c>
    </row>
    <row r="138" spans="1:8" x14ac:dyDescent="0.2">
      <c r="A138" t="s">
        <v>152</v>
      </c>
      <c r="B138" t="s">
        <v>158</v>
      </c>
      <c r="C138">
        <v>2010</v>
      </c>
      <c r="D138">
        <v>3</v>
      </c>
      <c r="E138" s="173">
        <v>40269</v>
      </c>
      <c r="F138">
        <v>296887.90000000002</v>
      </c>
      <c r="G138">
        <v>9743</v>
      </c>
      <c r="H138">
        <v>309327.5</v>
      </c>
    </row>
    <row r="139" spans="1:8" x14ac:dyDescent="0.2">
      <c r="A139" t="s">
        <v>152</v>
      </c>
      <c r="B139" t="s">
        <v>158</v>
      </c>
      <c r="C139">
        <v>2010</v>
      </c>
      <c r="D139">
        <v>4</v>
      </c>
      <c r="E139" s="173">
        <v>40299</v>
      </c>
      <c r="F139">
        <v>284958.28999999998</v>
      </c>
      <c r="G139">
        <v>9743</v>
      </c>
      <c r="H139">
        <v>296898.03999999998</v>
      </c>
    </row>
    <row r="140" spans="1:8" x14ac:dyDescent="0.2">
      <c r="A140" t="s">
        <v>152</v>
      </c>
      <c r="B140" t="s">
        <v>158</v>
      </c>
      <c r="C140">
        <v>2010</v>
      </c>
      <c r="D140">
        <v>5</v>
      </c>
      <c r="E140" s="173">
        <v>40330</v>
      </c>
      <c r="F140">
        <v>281469.92</v>
      </c>
      <c r="G140">
        <v>9743</v>
      </c>
      <c r="H140">
        <v>289519.96000000002</v>
      </c>
    </row>
    <row r="141" spans="1:8" x14ac:dyDescent="0.2">
      <c r="A141" t="s">
        <v>152</v>
      </c>
      <c r="B141" t="s">
        <v>158</v>
      </c>
      <c r="C141">
        <v>2010</v>
      </c>
      <c r="D141">
        <v>6</v>
      </c>
      <c r="E141" s="173">
        <v>40360</v>
      </c>
      <c r="F141">
        <v>307437.90999999997</v>
      </c>
      <c r="G141">
        <v>9743</v>
      </c>
      <c r="H141">
        <v>316230.63</v>
      </c>
    </row>
    <row r="142" spans="1:8" x14ac:dyDescent="0.2">
      <c r="A142" t="s">
        <v>152</v>
      </c>
      <c r="B142" t="s">
        <v>158</v>
      </c>
      <c r="C142">
        <v>2010</v>
      </c>
      <c r="D142">
        <v>7</v>
      </c>
      <c r="E142" s="173">
        <v>40391</v>
      </c>
      <c r="F142">
        <v>348077.88</v>
      </c>
      <c r="G142">
        <v>9743</v>
      </c>
      <c r="H142">
        <v>358032.91</v>
      </c>
    </row>
    <row r="143" spans="1:8" x14ac:dyDescent="0.2">
      <c r="A143" t="s">
        <v>152</v>
      </c>
      <c r="B143" t="s">
        <v>158</v>
      </c>
      <c r="C143">
        <v>2010</v>
      </c>
      <c r="D143">
        <v>8</v>
      </c>
      <c r="E143" s="173">
        <v>40422</v>
      </c>
      <c r="F143">
        <v>341955.68</v>
      </c>
      <c r="G143">
        <v>9743</v>
      </c>
      <c r="H143">
        <v>351735.61</v>
      </c>
    </row>
    <row r="144" spans="1:8" x14ac:dyDescent="0.2">
      <c r="A144" t="s">
        <v>152</v>
      </c>
      <c r="B144" t="s">
        <v>158</v>
      </c>
      <c r="C144">
        <v>2010</v>
      </c>
      <c r="D144">
        <v>9</v>
      </c>
      <c r="E144" s="173">
        <v>40452</v>
      </c>
      <c r="F144">
        <v>285656.23</v>
      </c>
      <c r="G144">
        <v>9743</v>
      </c>
      <c r="H144">
        <v>293826</v>
      </c>
    </row>
    <row r="145" spans="1:8" x14ac:dyDescent="0.2">
      <c r="A145" t="s">
        <v>152</v>
      </c>
      <c r="B145" t="s">
        <v>158</v>
      </c>
      <c r="C145">
        <v>2010</v>
      </c>
      <c r="D145">
        <v>10</v>
      </c>
      <c r="E145" s="173">
        <v>40483</v>
      </c>
      <c r="F145">
        <v>276656.17</v>
      </c>
      <c r="G145">
        <v>9743</v>
      </c>
      <c r="H145">
        <v>284568.53999999998</v>
      </c>
    </row>
    <row r="146" spans="1:8" x14ac:dyDescent="0.2">
      <c r="A146" t="s">
        <v>152</v>
      </c>
      <c r="B146" t="s">
        <v>158</v>
      </c>
      <c r="C146">
        <v>2010</v>
      </c>
      <c r="D146">
        <v>11</v>
      </c>
      <c r="E146" s="173">
        <v>40513</v>
      </c>
      <c r="F146">
        <v>257585.51</v>
      </c>
      <c r="G146">
        <v>9743</v>
      </c>
      <c r="H146">
        <v>264952.46000000002</v>
      </c>
    </row>
    <row r="147" spans="1:8" x14ac:dyDescent="0.2">
      <c r="A147" t="s">
        <v>152</v>
      </c>
      <c r="B147" t="s">
        <v>158</v>
      </c>
      <c r="C147">
        <v>2010</v>
      </c>
      <c r="D147">
        <v>12</v>
      </c>
      <c r="E147" s="173">
        <v>40544</v>
      </c>
      <c r="F147">
        <v>264690.92</v>
      </c>
      <c r="G147">
        <v>9743</v>
      </c>
      <c r="H147">
        <v>272261.08</v>
      </c>
    </row>
    <row r="148" spans="1:8" x14ac:dyDescent="0.2">
      <c r="A148" t="s">
        <v>152</v>
      </c>
      <c r="B148" t="s">
        <v>158</v>
      </c>
      <c r="C148">
        <v>2011</v>
      </c>
      <c r="D148">
        <v>1</v>
      </c>
      <c r="E148" s="173">
        <v>40575</v>
      </c>
      <c r="F148">
        <v>263507.8</v>
      </c>
      <c r="G148">
        <v>9743</v>
      </c>
      <c r="H148">
        <v>271044.12</v>
      </c>
    </row>
    <row r="149" spans="1:8" x14ac:dyDescent="0.2">
      <c r="A149" t="s">
        <v>152</v>
      </c>
      <c r="B149" t="s">
        <v>158</v>
      </c>
      <c r="C149">
        <v>2011</v>
      </c>
      <c r="D149">
        <v>2</v>
      </c>
      <c r="E149" s="173">
        <v>40603</v>
      </c>
      <c r="F149">
        <v>236503.89</v>
      </c>
      <c r="G149">
        <v>9743</v>
      </c>
      <c r="H149">
        <v>243267.9</v>
      </c>
    </row>
    <row r="150" spans="1:8" x14ac:dyDescent="0.2">
      <c r="A150" t="s">
        <v>152</v>
      </c>
      <c r="B150" t="s">
        <v>158</v>
      </c>
      <c r="C150">
        <v>2011</v>
      </c>
      <c r="D150">
        <v>3</v>
      </c>
      <c r="E150" s="173">
        <v>40634</v>
      </c>
      <c r="F150">
        <v>261138.01</v>
      </c>
      <c r="G150">
        <v>9743</v>
      </c>
      <c r="H150">
        <v>268606.56</v>
      </c>
    </row>
    <row r="151" spans="1:8" x14ac:dyDescent="0.2">
      <c r="A151" t="s">
        <v>152</v>
      </c>
      <c r="B151" t="s">
        <v>158</v>
      </c>
      <c r="C151">
        <v>2011</v>
      </c>
      <c r="D151">
        <v>4</v>
      </c>
      <c r="E151" s="173">
        <v>40664</v>
      </c>
      <c r="F151">
        <v>259190.64</v>
      </c>
      <c r="G151">
        <v>9743</v>
      </c>
      <c r="H151">
        <v>266603.49</v>
      </c>
    </row>
    <row r="152" spans="1:8" x14ac:dyDescent="0.2">
      <c r="A152" t="s">
        <v>152</v>
      </c>
      <c r="B152" t="s">
        <v>158</v>
      </c>
      <c r="C152">
        <v>2011</v>
      </c>
      <c r="D152">
        <v>5</v>
      </c>
      <c r="E152" s="173">
        <v>40695</v>
      </c>
      <c r="F152">
        <v>291949.05</v>
      </c>
      <c r="G152">
        <v>9743</v>
      </c>
      <c r="H152">
        <v>300298.78999999998</v>
      </c>
    </row>
    <row r="153" spans="1:8" x14ac:dyDescent="0.2">
      <c r="A153" t="s">
        <v>152</v>
      </c>
      <c r="B153" t="s">
        <v>158</v>
      </c>
      <c r="C153">
        <v>2011</v>
      </c>
      <c r="D153">
        <v>6</v>
      </c>
      <c r="E153" s="173">
        <v>40725</v>
      </c>
      <c r="F153">
        <v>301773.28000000003</v>
      </c>
      <c r="G153">
        <v>9743</v>
      </c>
      <c r="H153">
        <v>310404</v>
      </c>
    </row>
    <row r="154" spans="1:8" x14ac:dyDescent="0.2">
      <c r="A154" t="s">
        <v>152</v>
      </c>
      <c r="B154" t="s">
        <v>158</v>
      </c>
      <c r="C154">
        <v>2011</v>
      </c>
      <c r="D154">
        <v>7</v>
      </c>
      <c r="E154" s="173">
        <v>40756</v>
      </c>
      <c r="F154">
        <v>349261.74</v>
      </c>
      <c r="G154">
        <v>9743</v>
      </c>
      <c r="H154">
        <v>359250.63</v>
      </c>
    </row>
    <row r="155" spans="1:8" x14ac:dyDescent="0.2">
      <c r="A155" t="s">
        <v>152</v>
      </c>
      <c r="B155" t="s">
        <v>158</v>
      </c>
      <c r="C155">
        <v>2011</v>
      </c>
      <c r="D155">
        <v>8</v>
      </c>
      <c r="E155" s="173">
        <v>40787</v>
      </c>
      <c r="F155">
        <v>337202.12</v>
      </c>
      <c r="G155">
        <v>9743</v>
      </c>
      <c r="H155">
        <v>346846.1</v>
      </c>
    </row>
    <row r="156" spans="1:8" x14ac:dyDescent="0.2">
      <c r="A156" t="s">
        <v>152</v>
      </c>
      <c r="B156" t="s">
        <v>158</v>
      </c>
      <c r="C156">
        <v>2011</v>
      </c>
      <c r="D156">
        <v>9</v>
      </c>
      <c r="E156" s="173">
        <v>40817</v>
      </c>
      <c r="F156">
        <v>311562.53999999998</v>
      </c>
      <c r="G156">
        <v>9743</v>
      </c>
      <c r="H156">
        <v>320473.23</v>
      </c>
    </row>
    <row r="157" spans="1:8" x14ac:dyDescent="0.2">
      <c r="A157" t="s">
        <v>152</v>
      </c>
      <c r="B157" t="s">
        <v>158</v>
      </c>
      <c r="C157">
        <v>2011</v>
      </c>
      <c r="D157">
        <v>10</v>
      </c>
      <c r="E157" s="173">
        <v>40848</v>
      </c>
      <c r="F157">
        <v>303527.07</v>
      </c>
      <c r="G157">
        <v>9743</v>
      </c>
      <c r="H157">
        <v>312207.94</v>
      </c>
    </row>
    <row r="158" spans="1:8" x14ac:dyDescent="0.2">
      <c r="A158" t="s">
        <v>152</v>
      </c>
      <c r="B158" t="s">
        <v>158</v>
      </c>
      <c r="C158">
        <v>2011</v>
      </c>
      <c r="D158">
        <v>11</v>
      </c>
      <c r="E158" s="173">
        <v>40878</v>
      </c>
      <c r="F158">
        <v>282316.98</v>
      </c>
      <c r="G158">
        <v>9743</v>
      </c>
      <c r="H158">
        <v>290391.25</v>
      </c>
    </row>
    <row r="159" spans="1:8" x14ac:dyDescent="0.2">
      <c r="A159" t="s">
        <v>152</v>
      </c>
      <c r="B159" t="s">
        <v>158</v>
      </c>
      <c r="C159">
        <v>2011</v>
      </c>
      <c r="D159">
        <v>12</v>
      </c>
      <c r="E159" s="173">
        <v>40909</v>
      </c>
      <c r="F159">
        <v>296844.56</v>
      </c>
      <c r="G159">
        <v>9743</v>
      </c>
      <c r="H159">
        <v>305334.31</v>
      </c>
    </row>
    <row r="160" spans="1:8" x14ac:dyDescent="0.2">
      <c r="A160" t="s">
        <v>152</v>
      </c>
      <c r="B160" t="s">
        <v>158</v>
      </c>
      <c r="C160">
        <v>2012</v>
      </c>
      <c r="D160">
        <v>1</v>
      </c>
      <c r="E160" s="173">
        <v>40940</v>
      </c>
      <c r="F160">
        <v>281061.78000000003</v>
      </c>
      <c r="G160">
        <v>9743</v>
      </c>
      <c r="H160">
        <v>289100.15000000002</v>
      </c>
    </row>
    <row r="161" spans="1:8" x14ac:dyDescent="0.2">
      <c r="A161" t="s">
        <v>152</v>
      </c>
      <c r="B161" t="s">
        <v>158</v>
      </c>
      <c r="C161">
        <v>2012</v>
      </c>
      <c r="D161">
        <v>2</v>
      </c>
      <c r="E161" s="173">
        <v>40969</v>
      </c>
      <c r="F161">
        <v>241828.78</v>
      </c>
      <c r="G161">
        <v>9743</v>
      </c>
      <c r="H161">
        <v>248745.08</v>
      </c>
    </row>
    <row r="162" spans="1:8" x14ac:dyDescent="0.2">
      <c r="A162" t="s">
        <v>152</v>
      </c>
      <c r="B162" t="s">
        <v>158</v>
      </c>
      <c r="C162">
        <v>2012</v>
      </c>
      <c r="D162">
        <v>3</v>
      </c>
      <c r="E162" s="173">
        <v>41000</v>
      </c>
      <c r="F162">
        <v>250033.58</v>
      </c>
      <c r="G162">
        <v>9743</v>
      </c>
      <c r="H162">
        <v>257184.54</v>
      </c>
    </row>
    <row r="163" spans="1:8" x14ac:dyDescent="0.2">
      <c r="A163" t="s">
        <v>152</v>
      </c>
      <c r="B163" t="s">
        <v>158</v>
      </c>
      <c r="C163">
        <v>2012</v>
      </c>
      <c r="D163">
        <v>4</v>
      </c>
      <c r="E163" s="173">
        <v>41026</v>
      </c>
      <c r="F163">
        <v>208150.49</v>
      </c>
      <c r="G163">
        <v>9743</v>
      </c>
      <c r="H163">
        <v>214103.59</v>
      </c>
    </row>
    <row r="164" spans="1:8" x14ac:dyDescent="0.2">
      <c r="A164" s="178" t="s">
        <v>152</v>
      </c>
      <c r="B164" s="178" t="s">
        <v>158</v>
      </c>
      <c r="C164" s="178">
        <v>2012</v>
      </c>
      <c r="D164" s="178">
        <v>5</v>
      </c>
      <c r="E164" s="179">
        <v>41061</v>
      </c>
      <c r="F164" s="178">
        <v>319740.28999999998</v>
      </c>
      <c r="G164" s="178">
        <v>9743</v>
      </c>
      <c r="H164" s="178">
        <v>328884.86</v>
      </c>
    </row>
    <row r="165" spans="1:8" x14ac:dyDescent="0.2">
      <c r="A165" s="178" t="s">
        <v>152</v>
      </c>
      <c r="B165" s="178" t="s">
        <v>158</v>
      </c>
      <c r="C165" s="178">
        <v>2012</v>
      </c>
      <c r="D165" s="178">
        <v>6</v>
      </c>
      <c r="E165" s="179">
        <v>41091</v>
      </c>
      <c r="F165" s="178">
        <v>294702.88741979393</v>
      </c>
      <c r="G165" s="178">
        <v>9743</v>
      </c>
      <c r="H165" s="178">
        <v>303131.39</v>
      </c>
    </row>
    <row r="166" spans="1:8" x14ac:dyDescent="0.2">
      <c r="A166" s="178" t="s">
        <v>152</v>
      </c>
      <c r="B166" s="178" t="s">
        <v>158</v>
      </c>
      <c r="C166" s="178">
        <v>2012</v>
      </c>
      <c r="D166" s="178">
        <v>7</v>
      </c>
      <c r="E166" s="179">
        <v>41122</v>
      </c>
      <c r="F166" s="178">
        <v>322016.30371378572</v>
      </c>
      <c r="G166" s="178">
        <v>9743</v>
      </c>
      <c r="H166" s="178">
        <v>331225.96999999997</v>
      </c>
    </row>
    <row r="167" spans="1:8" x14ac:dyDescent="0.2">
      <c r="A167" s="178" t="s">
        <v>152</v>
      </c>
      <c r="B167" s="178" t="s">
        <v>158</v>
      </c>
      <c r="C167" s="178">
        <v>2012</v>
      </c>
      <c r="D167" s="178">
        <v>8</v>
      </c>
      <c r="E167" s="179">
        <v>41153</v>
      </c>
      <c r="F167" s="178">
        <v>305573.0799144468</v>
      </c>
      <c r="G167" s="178">
        <v>9743</v>
      </c>
      <c r="H167" s="178">
        <v>314312.46999999997</v>
      </c>
    </row>
    <row r="168" spans="1:8" x14ac:dyDescent="0.2">
      <c r="A168" s="178" t="s">
        <v>152</v>
      </c>
      <c r="B168" s="178" t="s">
        <v>158</v>
      </c>
      <c r="C168" s="178">
        <v>2012</v>
      </c>
      <c r="D168" s="178">
        <v>9</v>
      </c>
      <c r="E168" s="179">
        <v>41183</v>
      </c>
      <c r="F168" s="178">
        <v>267524.73264631542</v>
      </c>
      <c r="G168" s="178">
        <v>9743</v>
      </c>
      <c r="H168" s="178">
        <v>275175.94</v>
      </c>
    </row>
    <row r="169" spans="1:8" x14ac:dyDescent="0.2">
      <c r="A169" s="178" t="s">
        <v>152</v>
      </c>
      <c r="B169" s="178" t="s">
        <v>158</v>
      </c>
      <c r="C169" s="178">
        <v>2012</v>
      </c>
      <c r="D169" s="178">
        <v>10</v>
      </c>
      <c r="E169" s="179">
        <v>41214</v>
      </c>
      <c r="F169" s="178">
        <v>257148.05560956639</v>
      </c>
      <c r="G169" s="178">
        <v>9743</v>
      </c>
      <c r="H169" s="178">
        <v>264502.49</v>
      </c>
    </row>
    <row r="170" spans="1:8" x14ac:dyDescent="0.2">
      <c r="A170" s="178" t="s">
        <v>152</v>
      </c>
      <c r="B170" s="178" t="s">
        <v>158</v>
      </c>
      <c r="C170" s="178">
        <v>2012</v>
      </c>
      <c r="D170" s="178">
        <v>11</v>
      </c>
      <c r="E170" s="179">
        <v>41244</v>
      </c>
      <c r="F170" s="178">
        <v>240576.11</v>
      </c>
      <c r="G170" s="178">
        <v>9743</v>
      </c>
      <c r="H170" s="178">
        <v>247456.59</v>
      </c>
    </row>
    <row r="171" spans="1:8" x14ac:dyDescent="0.2">
      <c r="A171" s="178" t="s">
        <v>152</v>
      </c>
      <c r="B171" s="178" t="s">
        <v>158</v>
      </c>
      <c r="C171" s="178">
        <v>2012</v>
      </c>
      <c r="D171" s="178">
        <v>12</v>
      </c>
      <c r="E171" s="179">
        <v>41275</v>
      </c>
      <c r="F171" s="178">
        <v>241453.08185883728</v>
      </c>
      <c r="G171" s="178">
        <v>9743</v>
      </c>
      <c r="H171" s="178">
        <v>248358.64</v>
      </c>
    </row>
    <row r="172" spans="1:8" x14ac:dyDescent="0.2">
      <c r="A172" t="s">
        <v>154</v>
      </c>
      <c r="B172" t="s">
        <v>158</v>
      </c>
      <c r="C172">
        <v>2005</v>
      </c>
      <c r="D172">
        <v>12</v>
      </c>
      <c r="E172" s="173">
        <v>38718</v>
      </c>
      <c r="F172">
        <v>391216.22</v>
      </c>
      <c r="G172">
        <v>49997</v>
      </c>
      <c r="H172">
        <v>404987.03</v>
      </c>
    </row>
    <row r="173" spans="1:8" x14ac:dyDescent="0.2">
      <c r="A173" t="s">
        <v>154</v>
      </c>
      <c r="B173" t="s">
        <v>158</v>
      </c>
      <c r="C173">
        <v>2006</v>
      </c>
      <c r="D173">
        <v>1</v>
      </c>
      <c r="E173" s="173">
        <v>38749</v>
      </c>
      <c r="F173">
        <v>374093.75</v>
      </c>
      <c r="G173">
        <v>49997</v>
      </c>
      <c r="H173">
        <v>387261.85</v>
      </c>
    </row>
    <row r="174" spans="1:8" x14ac:dyDescent="0.2">
      <c r="A174" t="s">
        <v>154</v>
      </c>
      <c r="B174" t="s">
        <v>158</v>
      </c>
      <c r="C174">
        <v>2006</v>
      </c>
      <c r="D174">
        <v>2</v>
      </c>
      <c r="E174" s="173">
        <v>38777</v>
      </c>
      <c r="F174">
        <v>311850.03999999998</v>
      </c>
      <c r="G174">
        <v>49997</v>
      </c>
      <c r="H174">
        <v>322827.15999999997</v>
      </c>
    </row>
    <row r="175" spans="1:8" x14ac:dyDescent="0.2">
      <c r="A175" t="s">
        <v>154</v>
      </c>
      <c r="B175" t="s">
        <v>158</v>
      </c>
      <c r="C175">
        <v>2006</v>
      </c>
      <c r="D175">
        <v>3</v>
      </c>
      <c r="E175" s="173">
        <v>38808</v>
      </c>
      <c r="F175">
        <v>386728.28</v>
      </c>
      <c r="G175">
        <v>49997</v>
      </c>
      <c r="H175">
        <v>400341.12</v>
      </c>
    </row>
    <row r="176" spans="1:8" x14ac:dyDescent="0.2">
      <c r="A176" t="s">
        <v>154</v>
      </c>
      <c r="B176" t="s">
        <v>158</v>
      </c>
      <c r="C176">
        <v>2006</v>
      </c>
      <c r="D176">
        <v>4</v>
      </c>
      <c r="E176" s="173">
        <v>38838</v>
      </c>
      <c r="F176">
        <v>380441.05</v>
      </c>
      <c r="G176">
        <v>49997</v>
      </c>
      <c r="H176">
        <v>393832.57</v>
      </c>
    </row>
    <row r="177" spans="1:8" x14ac:dyDescent="0.2">
      <c r="A177" t="s">
        <v>154</v>
      </c>
      <c r="B177" t="s">
        <v>158</v>
      </c>
      <c r="C177">
        <v>2006</v>
      </c>
      <c r="D177">
        <v>5</v>
      </c>
      <c r="E177" s="173">
        <v>38869</v>
      </c>
      <c r="F177">
        <v>420048.51</v>
      </c>
      <c r="G177">
        <v>49997</v>
      </c>
      <c r="H177">
        <v>437648.54</v>
      </c>
    </row>
    <row r="178" spans="1:8" x14ac:dyDescent="0.2">
      <c r="A178" t="s">
        <v>154</v>
      </c>
      <c r="B178" t="s">
        <v>158</v>
      </c>
      <c r="C178">
        <v>2006</v>
      </c>
      <c r="D178">
        <v>6</v>
      </c>
      <c r="E178" s="173">
        <v>38899</v>
      </c>
      <c r="F178">
        <v>442722.8</v>
      </c>
      <c r="G178">
        <v>49997</v>
      </c>
      <c r="H178">
        <v>461272.89</v>
      </c>
    </row>
    <row r="179" spans="1:8" x14ac:dyDescent="0.2">
      <c r="A179" t="s">
        <v>154</v>
      </c>
      <c r="B179" t="s">
        <v>158</v>
      </c>
      <c r="C179">
        <v>2006</v>
      </c>
      <c r="D179">
        <v>7</v>
      </c>
      <c r="E179" s="173">
        <v>38930</v>
      </c>
      <c r="F179">
        <v>475499.95</v>
      </c>
      <c r="G179">
        <v>49997</v>
      </c>
      <c r="H179">
        <v>495423.4</v>
      </c>
    </row>
    <row r="180" spans="1:8" x14ac:dyDescent="0.2">
      <c r="A180" t="s">
        <v>154</v>
      </c>
      <c r="B180" t="s">
        <v>158</v>
      </c>
      <c r="C180">
        <v>2006</v>
      </c>
      <c r="D180">
        <v>8</v>
      </c>
      <c r="E180" s="173">
        <v>38961</v>
      </c>
      <c r="F180">
        <v>465032.7</v>
      </c>
      <c r="G180">
        <v>49997</v>
      </c>
      <c r="H180">
        <v>484517.57</v>
      </c>
    </row>
    <row r="181" spans="1:8" x14ac:dyDescent="0.2">
      <c r="A181" t="s">
        <v>154</v>
      </c>
      <c r="B181" t="s">
        <v>158</v>
      </c>
      <c r="C181">
        <v>2006</v>
      </c>
      <c r="D181">
        <v>9</v>
      </c>
      <c r="E181" s="173">
        <v>38991</v>
      </c>
      <c r="F181">
        <v>403003.77</v>
      </c>
      <c r="G181">
        <v>49997</v>
      </c>
      <c r="H181">
        <v>419889.63</v>
      </c>
    </row>
    <row r="182" spans="1:8" x14ac:dyDescent="0.2">
      <c r="A182" t="s">
        <v>154</v>
      </c>
      <c r="B182" t="s">
        <v>158</v>
      </c>
      <c r="C182">
        <v>2006</v>
      </c>
      <c r="D182">
        <v>10</v>
      </c>
      <c r="E182" s="173">
        <v>39022</v>
      </c>
      <c r="F182">
        <v>378779.33</v>
      </c>
      <c r="G182">
        <v>49997</v>
      </c>
      <c r="H182">
        <v>394650.18</v>
      </c>
    </row>
    <row r="183" spans="1:8" x14ac:dyDescent="0.2">
      <c r="A183" t="s">
        <v>154</v>
      </c>
      <c r="B183" t="s">
        <v>158</v>
      </c>
      <c r="C183">
        <v>2006</v>
      </c>
      <c r="D183">
        <v>11</v>
      </c>
      <c r="E183" s="173">
        <v>39052</v>
      </c>
      <c r="F183">
        <v>363840.67</v>
      </c>
      <c r="G183">
        <v>49997</v>
      </c>
      <c r="H183">
        <v>379085.59</v>
      </c>
    </row>
    <row r="184" spans="1:8" x14ac:dyDescent="0.2">
      <c r="A184" t="s">
        <v>154</v>
      </c>
      <c r="B184" t="s">
        <v>158</v>
      </c>
      <c r="C184">
        <v>2006</v>
      </c>
      <c r="D184">
        <v>12</v>
      </c>
      <c r="E184" s="173">
        <v>39083</v>
      </c>
      <c r="F184">
        <v>375871.24</v>
      </c>
      <c r="G184">
        <v>49997</v>
      </c>
      <c r="H184">
        <v>391620.24</v>
      </c>
    </row>
    <row r="185" spans="1:8" x14ac:dyDescent="0.2">
      <c r="A185" t="s">
        <v>154</v>
      </c>
      <c r="B185" t="s">
        <v>158</v>
      </c>
      <c r="C185">
        <v>2007</v>
      </c>
      <c r="D185">
        <v>1</v>
      </c>
      <c r="E185" s="173">
        <v>39114</v>
      </c>
      <c r="F185">
        <v>372073.89</v>
      </c>
      <c r="G185">
        <v>49997</v>
      </c>
      <c r="H185">
        <v>387663.79</v>
      </c>
    </row>
    <row r="186" spans="1:8" x14ac:dyDescent="0.2">
      <c r="A186" t="s">
        <v>154</v>
      </c>
      <c r="B186" t="s">
        <v>158</v>
      </c>
      <c r="C186">
        <v>2007</v>
      </c>
      <c r="D186">
        <v>2</v>
      </c>
      <c r="E186" s="173">
        <v>39142</v>
      </c>
      <c r="F186">
        <v>338906.65</v>
      </c>
      <c r="G186">
        <v>49997</v>
      </c>
      <c r="H186">
        <v>353106.84</v>
      </c>
    </row>
    <row r="187" spans="1:8" x14ac:dyDescent="0.2">
      <c r="A187" t="s">
        <v>154</v>
      </c>
      <c r="B187" t="s">
        <v>158</v>
      </c>
      <c r="C187">
        <v>2007</v>
      </c>
      <c r="D187">
        <v>3</v>
      </c>
      <c r="E187" s="173">
        <v>39173</v>
      </c>
      <c r="F187">
        <v>374146.38</v>
      </c>
      <c r="G187">
        <v>49997</v>
      </c>
      <c r="H187">
        <v>389823.11</v>
      </c>
    </row>
    <row r="188" spans="1:8" x14ac:dyDescent="0.2">
      <c r="A188" t="s">
        <v>154</v>
      </c>
      <c r="B188" t="s">
        <v>158</v>
      </c>
      <c r="C188">
        <v>2007</v>
      </c>
      <c r="D188">
        <v>4</v>
      </c>
      <c r="E188" s="173">
        <v>39203</v>
      </c>
      <c r="F188">
        <v>367073.5</v>
      </c>
      <c r="G188">
        <v>49997</v>
      </c>
      <c r="H188">
        <v>382453.88</v>
      </c>
    </row>
    <row r="189" spans="1:8" x14ac:dyDescent="0.2">
      <c r="A189" t="s">
        <v>154</v>
      </c>
      <c r="B189" t="s">
        <v>158</v>
      </c>
      <c r="C189">
        <v>2007</v>
      </c>
      <c r="D189">
        <v>5</v>
      </c>
      <c r="E189" s="173">
        <v>39234</v>
      </c>
      <c r="F189">
        <v>416583.11</v>
      </c>
      <c r="G189">
        <v>49997</v>
      </c>
      <c r="H189">
        <v>434037.94</v>
      </c>
    </row>
    <row r="190" spans="1:8" x14ac:dyDescent="0.2">
      <c r="A190" t="s">
        <v>154</v>
      </c>
      <c r="B190" t="s">
        <v>158</v>
      </c>
      <c r="C190">
        <v>2007</v>
      </c>
      <c r="D190">
        <v>6</v>
      </c>
      <c r="E190" s="173">
        <v>39264</v>
      </c>
      <c r="F190">
        <v>444145.09</v>
      </c>
      <c r="G190">
        <v>49997</v>
      </c>
      <c r="H190">
        <v>462754.77</v>
      </c>
    </row>
    <row r="191" spans="1:8" x14ac:dyDescent="0.2">
      <c r="A191" t="s">
        <v>154</v>
      </c>
      <c r="B191" t="s">
        <v>158</v>
      </c>
      <c r="C191">
        <v>2007</v>
      </c>
      <c r="D191">
        <v>7</v>
      </c>
      <c r="E191" s="173">
        <v>39295</v>
      </c>
      <c r="F191">
        <v>434527.82</v>
      </c>
      <c r="G191">
        <v>49997</v>
      </c>
      <c r="H191">
        <v>452734.54</v>
      </c>
    </row>
    <row r="192" spans="1:8" x14ac:dyDescent="0.2">
      <c r="A192" t="s">
        <v>154</v>
      </c>
      <c r="B192" t="s">
        <v>158</v>
      </c>
      <c r="C192">
        <v>2007</v>
      </c>
      <c r="D192">
        <v>8</v>
      </c>
      <c r="E192" s="173">
        <v>39326</v>
      </c>
      <c r="F192">
        <v>461629.87</v>
      </c>
      <c r="G192">
        <v>49997</v>
      </c>
      <c r="H192">
        <v>480972.16</v>
      </c>
    </row>
    <row r="193" spans="1:8" x14ac:dyDescent="0.2">
      <c r="A193" t="s">
        <v>154</v>
      </c>
      <c r="B193" t="s">
        <v>158</v>
      </c>
      <c r="C193">
        <v>2007</v>
      </c>
      <c r="D193">
        <v>9</v>
      </c>
      <c r="E193" s="173">
        <v>39356</v>
      </c>
      <c r="F193">
        <v>424354.16</v>
      </c>
      <c r="G193">
        <v>49997</v>
      </c>
      <c r="H193">
        <v>442134.6</v>
      </c>
    </row>
    <row r="194" spans="1:8" x14ac:dyDescent="0.2">
      <c r="A194" t="s">
        <v>154</v>
      </c>
      <c r="B194" t="s">
        <v>158</v>
      </c>
      <c r="C194">
        <v>2007</v>
      </c>
      <c r="D194">
        <v>10</v>
      </c>
      <c r="E194" s="173">
        <v>39387</v>
      </c>
      <c r="F194">
        <v>430188.78</v>
      </c>
      <c r="G194">
        <v>49997</v>
      </c>
      <c r="H194">
        <v>448213.69</v>
      </c>
    </row>
    <row r="195" spans="1:8" x14ac:dyDescent="0.2">
      <c r="A195" t="s">
        <v>154</v>
      </c>
      <c r="B195" t="s">
        <v>158</v>
      </c>
      <c r="C195">
        <v>2007</v>
      </c>
      <c r="D195">
        <v>11</v>
      </c>
      <c r="E195" s="173">
        <v>39417</v>
      </c>
      <c r="F195">
        <v>388020.33</v>
      </c>
      <c r="G195">
        <v>49997</v>
      </c>
      <c r="H195">
        <v>404278.38</v>
      </c>
    </row>
    <row r="196" spans="1:8" x14ac:dyDescent="0.2">
      <c r="A196" t="s">
        <v>154</v>
      </c>
      <c r="B196" t="s">
        <v>158</v>
      </c>
      <c r="C196">
        <v>2007</v>
      </c>
      <c r="D196">
        <v>12</v>
      </c>
      <c r="E196" s="173">
        <v>39448</v>
      </c>
      <c r="F196">
        <v>397849.04</v>
      </c>
      <c r="G196">
        <v>49997</v>
      </c>
      <c r="H196">
        <v>414518.91</v>
      </c>
    </row>
    <row r="197" spans="1:8" x14ac:dyDescent="0.2">
      <c r="A197" t="s">
        <v>154</v>
      </c>
      <c r="B197" t="s">
        <v>158</v>
      </c>
      <c r="C197">
        <v>2008</v>
      </c>
      <c r="D197">
        <v>1</v>
      </c>
      <c r="E197" s="173">
        <v>39479</v>
      </c>
      <c r="F197">
        <v>389153.99</v>
      </c>
      <c r="G197">
        <v>49997</v>
      </c>
      <c r="H197">
        <v>405459.54</v>
      </c>
    </row>
    <row r="198" spans="1:8" x14ac:dyDescent="0.2">
      <c r="A198" t="s">
        <v>154</v>
      </c>
      <c r="B198" t="s">
        <v>158</v>
      </c>
      <c r="C198">
        <v>2008</v>
      </c>
      <c r="D198">
        <v>2</v>
      </c>
      <c r="E198" s="173">
        <v>39508</v>
      </c>
      <c r="F198">
        <v>357941.25</v>
      </c>
      <c r="G198">
        <v>49997</v>
      </c>
      <c r="H198">
        <v>372938.99</v>
      </c>
    </row>
    <row r="199" spans="1:8" x14ac:dyDescent="0.2">
      <c r="A199" t="s">
        <v>154</v>
      </c>
      <c r="B199" t="s">
        <v>158</v>
      </c>
      <c r="C199">
        <v>2008</v>
      </c>
      <c r="D199">
        <v>3</v>
      </c>
      <c r="E199" s="173">
        <v>39539</v>
      </c>
      <c r="F199">
        <v>379163.48</v>
      </c>
      <c r="G199">
        <v>49997</v>
      </c>
      <c r="H199">
        <v>395050.43</v>
      </c>
    </row>
    <row r="200" spans="1:8" x14ac:dyDescent="0.2">
      <c r="A200" t="s">
        <v>154</v>
      </c>
      <c r="B200" t="s">
        <v>158</v>
      </c>
      <c r="C200">
        <v>2008</v>
      </c>
      <c r="D200">
        <v>4</v>
      </c>
      <c r="E200" s="173">
        <v>39569</v>
      </c>
      <c r="F200">
        <v>391111.2</v>
      </c>
      <c r="G200">
        <v>49997</v>
      </c>
      <c r="H200">
        <v>407498.76</v>
      </c>
    </row>
    <row r="201" spans="1:8" x14ac:dyDescent="0.2">
      <c r="A201" t="s">
        <v>154</v>
      </c>
      <c r="B201" t="s">
        <v>158</v>
      </c>
      <c r="C201">
        <v>2008</v>
      </c>
      <c r="D201">
        <v>5</v>
      </c>
      <c r="E201" s="173">
        <v>39600</v>
      </c>
      <c r="F201">
        <v>412173.25</v>
      </c>
      <c r="G201">
        <v>49997</v>
      </c>
      <c r="H201">
        <v>429443.31</v>
      </c>
    </row>
    <row r="202" spans="1:8" x14ac:dyDescent="0.2">
      <c r="A202" t="s">
        <v>154</v>
      </c>
      <c r="B202" t="s">
        <v>158</v>
      </c>
      <c r="C202">
        <v>2008</v>
      </c>
      <c r="D202">
        <v>6</v>
      </c>
      <c r="E202" s="173">
        <v>39630</v>
      </c>
      <c r="F202">
        <v>460670.66</v>
      </c>
      <c r="G202">
        <v>49997</v>
      </c>
      <c r="H202">
        <v>479972.76</v>
      </c>
    </row>
    <row r="203" spans="1:8" x14ac:dyDescent="0.2">
      <c r="A203" t="s">
        <v>154</v>
      </c>
      <c r="B203" t="s">
        <v>158</v>
      </c>
      <c r="C203">
        <v>2008</v>
      </c>
      <c r="D203">
        <v>7</v>
      </c>
      <c r="E203" s="173">
        <v>39661</v>
      </c>
      <c r="F203">
        <v>479758.99</v>
      </c>
      <c r="G203">
        <v>49997</v>
      </c>
      <c r="H203">
        <v>499860.89</v>
      </c>
    </row>
    <row r="204" spans="1:8" x14ac:dyDescent="0.2">
      <c r="A204" t="s">
        <v>154</v>
      </c>
      <c r="B204" t="s">
        <v>158</v>
      </c>
      <c r="C204">
        <v>2008</v>
      </c>
      <c r="D204">
        <v>8</v>
      </c>
      <c r="E204" s="173">
        <v>39692</v>
      </c>
      <c r="F204">
        <v>456552.79</v>
      </c>
      <c r="G204">
        <v>49997</v>
      </c>
      <c r="H204">
        <v>475682.35</v>
      </c>
    </row>
    <row r="205" spans="1:8" x14ac:dyDescent="0.2">
      <c r="A205" t="s">
        <v>154</v>
      </c>
      <c r="B205" t="s">
        <v>158</v>
      </c>
      <c r="C205">
        <v>2008</v>
      </c>
      <c r="D205">
        <v>9</v>
      </c>
      <c r="E205" s="173">
        <v>39722</v>
      </c>
      <c r="F205">
        <v>437236.09</v>
      </c>
      <c r="G205">
        <v>49997</v>
      </c>
      <c r="H205">
        <v>455556.28</v>
      </c>
    </row>
    <row r="206" spans="1:8" x14ac:dyDescent="0.2">
      <c r="A206" t="s">
        <v>154</v>
      </c>
      <c r="B206" t="s">
        <v>158</v>
      </c>
      <c r="C206">
        <v>2008</v>
      </c>
      <c r="D206">
        <v>10</v>
      </c>
      <c r="E206" s="173">
        <v>39753</v>
      </c>
      <c r="F206">
        <v>399593.41</v>
      </c>
      <c r="G206">
        <v>49997</v>
      </c>
      <c r="H206">
        <v>416336.37</v>
      </c>
    </row>
    <row r="207" spans="1:8" x14ac:dyDescent="0.2">
      <c r="A207" t="s">
        <v>154</v>
      </c>
      <c r="B207" t="s">
        <v>158</v>
      </c>
      <c r="C207">
        <v>2008</v>
      </c>
      <c r="D207">
        <v>11</v>
      </c>
      <c r="E207" s="173">
        <v>39783</v>
      </c>
      <c r="F207">
        <v>383577.08</v>
      </c>
      <c r="G207">
        <v>49997</v>
      </c>
      <c r="H207">
        <v>399648.96</v>
      </c>
    </row>
    <row r="208" spans="1:8" x14ac:dyDescent="0.2">
      <c r="A208" t="s">
        <v>154</v>
      </c>
      <c r="B208" t="s">
        <v>158</v>
      </c>
      <c r="C208">
        <v>2008</v>
      </c>
      <c r="D208">
        <v>12</v>
      </c>
      <c r="E208" s="173">
        <v>39814</v>
      </c>
      <c r="F208">
        <v>401888.62</v>
      </c>
      <c r="G208">
        <v>49997</v>
      </c>
      <c r="H208">
        <v>418727.75</v>
      </c>
    </row>
    <row r="209" spans="1:8" x14ac:dyDescent="0.2">
      <c r="A209" t="s">
        <v>154</v>
      </c>
      <c r="B209" t="s">
        <v>158</v>
      </c>
      <c r="C209">
        <v>2009</v>
      </c>
      <c r="D209">
        <v>1</v>
      </c>
      <c r="E209" s="173">
        <v>39845</v>
      </c>
      <c r="F209">
        <v>396093.49</v>
      </c>
      <c r="G209">
        <v>49997</v>
      </c>
      <c r="H209">
        <v>412689.81</v>
      </c>
    </row>
    <row r="210" spans="1:8" x14ac:dyDescent="0.2">
      <c r="A210" t="s">
        <v>154</v>
      </c>
      <c r="B210" t="s">
        <v>158</v>
      </c>
      <c r="C210">
        <v>2009</v>
      </c>
      <c r="D210">
        <v>2</v>
      </c>
      <c r="E210" s="173">
        <v>39873</v>
      </c>
      <c r="F210">
        <v>356692.09</v>
      </c>
      <c r="G210">
        <v>49997</v>
      </c>
      <c r="H210">
        <v>371637.49</v>
      </c>
    </row>
    <row r="211" spans="1:8" x14ac:dyDescent="0.2">
      <c r="A211" t="s">
        <v>154</v>
      </c>
      <c r="B211" t="s">
        <v>158</v>
      </c>
      <c r="C211">
        <v>2009</v>
      </c>
      <c r="D211">
        <v>3</v>
      </c>
      <c r="E211" s="173">
        <v>39904</v>
      </c>
      <c r="F211">
        <v>395105.76</v>
      </c>
      <c r="G211">
        <v>49997</v>
      </c>
      <c r="H211">
        <v>411660.69</v>
      </c>
    </row>
    <row r="212" spans="1:8" x14ac:dyDescent="0.2">
      <c r="A212" t="s">
        <v>154</v>
      </c>
      <c r="B212" t="s">
        <v>158</v>
      </c>
      <c r="C212">
        <v>2009</v>
      </c>
      <c r="D212">
        <v>4</v>
      </c>
      <c r="E212" s="173">
        <v>39934</v>
      </c>
      <c r="F212">
        <v>394711.89</v>
      </c>
      <c r="G212">
        <v>49997</v>
      </c>
      <c r="H212">
        <v>411250.32</v>
      </c>
    </row>
    <row r="213" spans="1:8" x14ac:dyDescent="0.2">
      <c r="A213" t="s">
        <v>154</v>
      </c>
      <c r="B213" t="s">
        <v>158</v>
      </c>
      <c r="C213">
        <v>2009</v>
      </c>
      <c r="D213">
        <v>5</v>
      </c>
      <c r="E213" s="173">
        <v>39965</v>
      </c>
      <c r="F213">
        <v>427165.55</v>
      </c>
      <c r="G213">
        <v>49997</v>
      </c>
      <c r="H213">
        <v>445063.79</v>
      </c>
    </row>
    <row r="214" spans="1:8" x14ac:dyDescent="0.2">
      <c r="A214" t="s">
        <v>154</v>
      </c>
      <c r="B214" t="s">
        <v>158</v>
      </c>
      <c r="C214">
        <v>2009</v>
      </c>
      <c r="D214">
        <v>6</v>
      </c>
      <c r="E214" s="173">
        <v>39995</v>
      </c>
      <c r="F214">
        <v>453063.18</v>
      </c>
      <c r="G214">
        <v>49997</v>
      </c>
      <c r="H214">
        <v>472046.53</v>
      </c>
    </row>
    <row r="215" spans="1:8" x14ac:dyDescent="0.2">
      <c r="A215" t="s">
        <v>154</v>
      </c>
      <c r="B215" t="s">
        <v>158</v>
      </c>
      <c r="C215">
        <v>2009</v>
      </c>
      <c r="D215">
        <v>7</v>
      </c>
      <c r="E215" s="173">
        <v>40026</v>
      </c>
      <c r="F215">
        <v>473589.54</v>
      </c>
      <c r="G215">
        <v>49997</v>
      </c>
      <c r="H215">
        <v>493432.94</v>
      </c>
    </row>
    <row r="216" spans="1:8" x14ac:dyDescent="0.2">
      <c r="A216" t="s">
        <v>154</v>
      </c>
      <c r="B216" t="s">
        <v>158</v>
      </c>
      <c r="C216">
        <v>2009</v>
      </c>
      <c r="D216">
        <v>8</v>
      </c>
      <c r="E216" s="173">
        <v>40057</v>
      </c>
      <c r="F216">
        <v>477853.38</v>
      </c>
      <c r="G216">
        <v>49997</v>
      </c>
      <c r="H216">
        <v>497875.44</v>
      </c>
    </row>
    <row r="217" spans="1:8" x14ac:dyDescent="0.2">
      <c r="A217" t="s">
        <v>154</v>
      </c>
      <c r="B217" t="s">
        <v>158</v>
      </c>
      <c r="C217">
        <v>2009</v>
      </c>
      <c r="D217">
        <v>9</v>
      </c>
      <c r="E217" s="173">
        <v>40087</v>
      </c>
      <c r="F217">
        <v>432680.01</v>
      </c>
      <c r="G217">
        <v>49997</v>
      </c>
      <c r="H217">
        <v>450809.3</v>
      </c>
    </row>
    <row r="218" spans="1:8" x14ac:dyDescent="0.2">
      <c r="A218" t="s">
        <v>154</v>
      </c>
      <c r="B218" t="s">
        <v>158</v>
      </c>
      <c r="C218">
        <v>2009</v>
      </c>
      <c r="D218">
        <v>10</v>
      </c>
      <c r="E218" s="173">
        <v>40118</v>
      </c>
      <c r="F218">
        <v>401269.82</v>
      </c>
      <c r="G218">
        <v>49997</v>
      </c>
      <c r="H218">
        <v>418083.03</v>
      </c>
    </row>
    <row r="219" spans="1:8" x14ac:dyDescent="0.2">
      <c r="A219" t="s">
        <v>154</v>
      </c>
      <c r="B219" t="s">
        <v>158</v>
      </c>
      <c r="C219">
        <v>2009</v>
      </c>
      <c r="D219">
        <v>11</v>
      </c>
      <c r="E219" s="173">
        <v>40148</v>
      </c>
      <c r="F219">
        <v>386332.57</v>
      </c>
      <c r="G219">
        <v>49997</v>
      </c>
      <c r="H219">
        <v>402519.9</v>
      </c>
    </row>
    <row r="220" spans="1:8" x14ac:dyDescent="0.2">
      <c r="A220" t="s">
        <v>154</v>
      </c>
      <c r="B220" t="s">
        <v>158</v>
      </c>
      <c r="C220">
        <v>2009</v>
      </c>
      <c r="D220">
        <v>12</v>
      </c>
      <c r="E220" s="173">
        <v>40179</v>
      </c>
      <c r="F220">
        <v>391446.63</v>
      </c>
      <c r="G220">
        <v>49997</v>
      </c>
      <c r="H220">
        <v>407848.24</v>
      </c>
    </row>
    <row r="221" spans="1:8" x14ac:dyDescent="0.2">
      <c r="A221" t="s">
        <v>154</v>
      </c>
      <c r="B221" t="s">
        <v>158</v>
      </c>
      <c r="C221">
        <v>2010</v>
      </c>
      <c r="D221">
        <v>1</v>
      </c>
      <c r="E221" s="173">
        <v>40210</v>
      </c>
      <c r="F221">
        <v>386576.61</v>
      </c>
      <c r="G221">
        <v>49997</v>
      </c>
      <c r="H221">
        <v>402774.17</v>
      </c>
    </row>
    <row r="222" spans="1:8" x14ac:dyDescent="0.2">
      <c r="A222" t="s">
        <v>154</v>
      </c>
      <c r="B222" t="s">
        <v>158</v>
      </c>
      <c r="C222">
        <v>2010</v>
      </c>
      <c r="D222">
        <v>2</v>
      </c>
      <c r="E222" s="173">
        <v>40238</v>
      </c>
      <c r="F222">
        <v>350368.44</v>
      </c>
      <c r="G222">
        <v>49997</v>
      </c>
      <c r="H222">
        <v>365048.88</v>
      </c>
    </row>
    <row r="223" spans="1:8" x14ac:dyDescent="0.2">
      <c r="A223" t="s">
        <v>154</v>
      </c>
      <c r="B223" t="s">
        <v>158</v>
      </c>
      <c r="C223">
        <v>2010</v>
      </c>
      <c r="D223">
        <v>3</v>
      </c>
      <c r="E223" s="173">
        <v>40269</v>
      </c>
      <c r="F223">
        <v>397820.25</v>
      </c>
      <c r="G223">
        <v>49997</v>
      </c>
      <c r="H223">
        <v>414488.92</v>
      </c>
    </row>
    <row r="224" spans="1:8" x14ac:dyDescent="0.2">
      <c r="A224" t="s">
        <v>154</v>
      </c>
      <c r="B224" t="s">
        <v>158</v>
      </c>
      <c r="C224">
        <v>2010</v>
      </c>
      <c r="D224">
        <v>4</v>
      </c>
      <c r="E224" s="173">
        <v>40299</v>
      </c>
      <c r="F224">
        <v>400231.94</v>
      </c>
      <c r="G224">
        <v>49997</v>
      </c>
      <c r="H224">
        <v>417001.66</v>
      </c>
    </row>
    <row r="225" spans="1:8" x14ac:dyDescent="0.2">
      <c r="A225" t="s">
        <v>154</v>
      </c>
      <c r="B225" t="s">
        <v>158</v>
      </c>
      <c r="C225">
        <v>2010</v>
      </c>
      <c r="D225">
        <v>5</v>
      </c>
      <c r="E225" s="173">
        <v>40330</v>
      </c>
      <c r="F225">
        <v>448282.07</v>
      </c>
      <c r="G225">
        <v>49997</v>
      </c>
      <c r="H225">
        <v>461102.94</v>
      </c>
    </row>
    <row r="226" spans="1:8" x14ac:dyDescent="0.2">
      <c r="A226" t="s">
        <v>154</v>
      </c>
      <c r="B226" t="s">
        <v>158</v>
      </c>
      <c r="C226">
        <v>2010</v>
      </c>
      <c r="D226">
        <v>6</v>
      </c>
      <c r="E226" s="173">
        <v>40360</v>
      </c>
      <c r="F226">
        <v>475957.41</v>
      </c>
      <c r="G226">
        <v>49997</v>
      </c>
      <c r="H226">
        <v>489569.79</v>
      </c>
    </row>
    <row r="227" spans="1:8" x14ac:dyDescent="0.2">
      <c r="A227" t="s">
        <v>154</v>
      </c>
      <c r="B227" t="s">
        <v>158</v>
      </c>
      <c r="C227">
        <v>2010</v>
      </c>
      <c r="D227">
        <v>7</v>
      </c>
      <c r="E227" s="173">
        <v>40391</v>
      </c>
      <c r="F227">
        <v>508464.8</v>
      </c>
      <c r="G227">
        <v>49997</v>
      </c>
      <c r="H227">
        <v>523006.89</v>
      </c>
    </row>
    <row r="228" spans="1:8" x14ac:dyDescent="0.2">
      <c r="A228" t="s">
        <v>154</v>
      </c>
      <c r="B228" t="s">
        <v>158</v>
      </c>
      <c r="C228">
        <v>2010</v>
      </c>
      <c r="D228">
        <v>8</v>
      </c>
      <c r="E228" s="173">
        <v>40422</v>
      </c>
      <c r="F228">
        <v>489017.21</v>
      </c>
      <c r="G228">
        <v>49997</v>
      </c>
      <c r="H228">
        <v>503003.1</v>
      </c>
    </row>
    <row r="229" spans="1:8" x14ac:dyDescent="0.2">
      <c r="A229" t="s">
        <v>154</v>
      </c>
      <c r="B229" t="s">
        <v>158</v>
      </c>
      <c r="C229">
        <v>2010</v>
      </c>
      <c r="D229">
        <v>9</v>
      </c>
      <c r="E229" s="173">
        <v>40452</v>
      </c>
      <c r="F229">
        <v>453460.07</v>
      </c>
      <c r="G229">
        <v>49997</v>
      </c>
      <c r="H229">
        <v>466429.03</v>
      </c>
    </row>
    <row r="230" spans="1:8" x14ac:dyDescent="0.2">
      <c r="A230" t="s">
        <v>154</v>
      </c>
      <c r="B230" t="s">
        <v>158</v>
      </c>
      <c r="C230">
        <v>2010</v>
      </c>
      <c r="D230">
        <v>10</v>
      </c>
      <c r="E230" s="173">
        <v>40483</v>
      </c>
      <c r="F230">
        <v>424368.48</v>
      </c>
      <c r="G230">
        <v>49997</v>
      </c>
      <c r="H230">
        <v>436505.42</v>
      </c>
    </row>
    <row r="231" spans="1:8" x14ac:dyDescent="0.2">
      <c r="A231" t="s">
        <v>154</v>
      </c>
      <c r="B231" t="s">
        <v>158</v>
      </c>
      <c r="C231">
        <v>2010</v>
      </c>
      <c r="D231">
        <v>11</v>
      </c>
      <c r="E231" s="173">
        <v>40513</v>
      </c>
      <c r="F231">
        <v>394729.13</v>
      </c>
      <c r="G231">
        <v>49997</v>
      </c>
      <c r="H231">
        <v>406018.38</v>
      </c>
    </row>
    <row r="232" spans="1:8" x14ac:dyDescent="0.2">
      <c r="A232" t="s">
        <v>154</v>
      </c>
      <c r="B232" t="s">
        <v>158</v>
      </c>
      <c r="C232">
        <v>2010</v>
      </c>
      <c r="D232">
        <v>12</v>
      </c>
      <c r="E232" s="173">
        <v>40544</v>
      </c>
      <c r="F232">
        <v>398016.12</v>
      </c>
      <c r="G232">
        <v>49997</v>
      </c>
      <c r="H232">
        <v>409399.38</v>
      </c>
    </row>
    <row r="233" spans="1:8" x14ac:dyDescent="0.2">
      <c r="A233" t="s">
        <v>154</v>
      </c>
      <c r="B233" t="s">
        <v>158</v>
      </c>
      <c r="C233">
        <v>2011</v>
      </c>
      <c r="D233">
        <v>1</v>
      </c>
      <c r="E233" s="173">
        <v>40575</v>
      </c>
      <c r="F233">
        <v>397454.51</v>
      </c>
      <c r="G233">
        <v>49997</v>
      </c>
      <c r="H233">
        <v>408821.71</v>
      </c>
    </row>
    <row r="234" spans="1:8" x14ac:dyDescent="0.2">
      <c r="A234" t="s">
        <v>154</v>
      </c>
      <c r="B234" t="s">
        <v>158</v>
      </c>
      <c r="C234">
        <v>2011</v>
      </c>
      <c r="D234">
        <v>2</v>
      </c>
      <c r="E234" s="173">
        <v>40603</v>
      </c>
      <c r="F234">
        <v>363199.93</v>
      </c>
      <c r="G234">
        <v>49997</v>
      </c>
      <c r="H234">
        <v>373587.45</v>
      </c>
    </row>
    <row r="235" spans="1:8" x14ac:dyDescent="0.2">
      <c r="A235" t="s">
        <v>154</v>
      </c>
      <c r="B235" t="s">
        <v>158</v>
      </c>
      <c r="C235">
        <v>2011</v>
      </c>
      <c r="D235">
        <v>3</v>
      </c>
      <c r="E235" s="173">
        <v>40634</v>
      </c>
      <c r="F235">
        <v>408491.93</v>
      </c>
      <c r="G235">
        <v>49997</v>
      </c>
      <c r="H235">
        <v>420174.8</v>
      </c>
    </row>
    <row r="236" spans="1:8" x14ac:dyDescent="0.2">
      <c r="A236" t="s">
        <v>154</v>
      </c>
      <c r="B236" t="s">
        <v>158</v>
      </c>
      <c r="C236">
        <v>2011</v>
      </c>
      <c r="D236">
        <v>4</v>
      </c>
      <c r="E236" s="173">
        <v>40664</v>
      </c>
      <c r="F236">
        <v>402635.21</v>
      </c>
      <c r="G236">
        <v>49997</v>
      </c>
      <c r="H236">
        <v>414150.58</v>
      </c>
    </row>
    <row r="237" spans="1:8" x14ac:dyDescent="0.2">
      <c r="A237" t="s">
        <v>154</v>
      </c>
      <c r="B237" t="s">
        <v>158</v>
      </c>
      <c r="C237">
        <v>2011</v>
      </c>
      <c r="D237">
        <v>5</v>
      </c>
      <c r="E237" s="173">
        <v>40695</v>
      </c>
      <c r="F237">
        <v>456332.3</v>
      </c>
      <c r="G237">
        <v>49997</v>
      </c>
      <c r="H237">
        <v>469383.4</v>
      </c>
    </row>
    <row r="238" spans="1:8" x14ac:dyDescent="0.2">
      <c r="A238" t="s">
        <v>154</v>
      </c>
      <c r="B238" t="s">
        <v>158</v>
      </c>
      <c r="C238">
        <v>2011</v>
      </c>
      <c r="D238">
        <v>6</v>
      </c>
      <c r="E238" s="173">
        <v>40725</v>
      </c>
      <c r="F238">
        <v>479639.09</v>
      </c>
      <c r="G238">
        <v>49997</v>
      </c>
      <c r="H238">
        <v>493356.77</v>
      </c>
    </row>
    <row r="239" spans="1:8" x14ac:dyDescent="0.2">
      <c r="A239" t="s">
        <v>154</v>
      </c>
      <c r="B239" t="s">
        <v>158</v>
      </c>
      <c r="C239">
        <v>2011</v>
      </c>
      <c r="D239">
        <v>7</v>
      </c>
      <c r="E239" s="173">
        <v>40756</v>
      </c>
      <c r="F239">
        <v>576234.38</v>
      </c>
      <c r="G239">
        <v>49997</v>
      </c>
      <c r="H239">
        <v>592714.68000000005</v>
      </c>
    </row>
    <row r="240" spans="1:8" x14ac:dyDescent="0.2">
      <c r="A240" t="s">
        <v>154</v>
      </c>
      <c r="B240" t="s">
        <v>158</v>
      </c>
      <c r="C240">
        <v>2011</v>
      </c>
      <c r="D240">
        <v>8</v>
      </c>
      <c r="E240" s="173">
        <v>40787</v>
      </c>
      <c r="F240">
        <v>553770.27</v>
      </c>
      <c r="G240">
        <v>49997</v>
      </c>
      <c r="H240">
        <v>569608.1</v>
      </c>
    </row>
    <row r="241" spans="1:8" x14ac:dyDescent="0.2">
      <c r="A241" t="s">
        <v>154</v>
      </c>
      <c r="B241" t="s">
        <v>158</v>
      </c>
      <c r="C241">
        <v>2011</v>
      </c>
      <c r="D241">
        <v>9</v>
      </c>
      <c r="E241" s="173">
        <v>40817</v>
      </c>
      <c r="F241">
        <v>493336.03</v>
      </c>
      <c r="G241">
        <v>49997</v>
      </c>
      <c r="H241">
        <v>507445.44</v>
      </c>
    </row>
    <row r="242" spans="1:8" x14ac:dyDescent="0.2">
      <c r="A242" t="s">
        <v>154</v>
      </c>
      <c r="B242" t="s">
        <v>158</v>
      </c>
      <c r="C242">
        <v>2011</v>
      </c>
      <c r="D242">
        <v>10</v>
      </c>
      <c r="E242" s="173">
        <v>40848</v>
      </c>
      <c r="F242">
        <v>441656.63</v>
      </c>
      <c r="G242">
        <v>49997</v>
      </c>
      <c r="H242">
        <v>454288.01</v>
      </c>
    </row>
    <row r="243" spans="1:8" x14ac:dyDescent="0.2">
      <c r="A243" t="s">
        <v>154</v>
      </c>
      <c r="B243" t="s">
        <v>158</v>
      </c>
      <c r="C243">
        <v>2011</v>
      </c>
      <c r="D243">
        <v>11</v>
      </c>
      <c r="E243" s="173">
        <v>40878</v>
      </c>
      <c r="F243">
        <v>412085.71</v>
      </c>
      <c r="G243">
        <v>49997</v>
      </c>
      <c r="H243">
        <v>423871.36</v>
      </c>
    </row>
    <row r="244" spans="1:8" x14ac:dyDescent="0.2">
      <c r="A244" t="s">
        <v>154</v>
      </c>
      <c r="B244" t="s">
        <v>158</v>
      </c>
      <c r="C244">
        <v>2011</v>
      </c>
      <c r="D244">
        <v>12</v>
      </c>
      <c r="E244" s="173">
        <v>40909</v>
      </c>
      <c r="F244">
        <v>416433.18</v>
      </c>
      <c r="G244">
        <v>49997</v>
      </c>
      <c r="H244">
        <v>428343.17</v>
      </c>
    </row>
    <row r="245" spans="1:8" x14ac:dyDescent="0.2">
      <c r="A245" t="s">
        <v>154</v>
      </c>
      <c r="B245" t="s">
        <v>158</v>
      </c>
      <c r="C245">
        <v>2012</v>
      </c>
      <c r="D245">
        <v>1</v>
      </c>
      <c r="E245" s="173">
        <v>40940</v>
      </c>
      <c r="F245">
        <v>410386.51</v>
      </c>
      <c r="G245">
        <v>49997</v>
      </c>
      <c r="H245">
        <v>422123.56</v>
      </c>
    </row>
    <row r="246" spans="1:8" x14ac:dyDescent="0.2">
      <c r="A246" t="s">
        <v>154</v>
      </c>
      <c r="B246" t="s">
        <v>158</v>
      </c>
      <c r="C246">
        <v>2012</v>
      </c>
      <c r="D246">
        <v>2</v>
      </c>
      <c r="E246" s="173">
        <v>40969</v>
      </c>
      <c r="F246">
        <v>384229.35</v>
      </c>
      <c r="G246">
        <v>49997</v>
      </c>
      <c r="H246">
        <v>395218.31</v>
      </c>
    </row>
    <row r="247" spans="1:8" x14ac:dyDescent="0.2">
      <c r="A247" t="s">
        <v>154</v>
      </c>
      <c r="B247" t="s">
        <v>158</v>
      </c>
      <c r="C247">
        <v>2012</v>
      </c>
      <c r="D247">
        <v>3</v>
      </c>
      <c r="E247" s="173">
        <v>41000</v>
      </c>
      <c r="F247">
        <v>434399.95</v>
      </c>
      <c r="G247">
        <v>49997</v>
      </c>
      <c r="H247">
        <v>446823.79</v>
      </c>
    </row>
    <row r="248" spans="1:8" x14ac:dyDescent="0.2">
      <c r="A248" t="s">
        <v>154</v>
      </c>
      <c r="B248" t="s">
        <v>158</v>
      </c>
      <c r="C248">
        <v>2012</v>
      </c>
      <c r="D248">
        <v>4</v>
      </c>
      <c r="E248" s="173">
        <v>41030</v>
      </c>
      <c r="F248">
        <v>405092.91</v>
      </c>
      <c r="G248">
        <v>49997</v>
      </c>
      <c r="H248">
        <v>416678.57</v>
      </c>
    </row>
    <row r="249" spans="1:8" x14ac:dyDescent="0.2">
      <c r="A249" t="s">
        <v>154</v>
      </c>
      <c r="B249" t="s">
        <v>158</v>
      </c>
      <c r="C249">
        <v>2012</v>
      </c>
      <c r="D249">
        <v>5</v>
      </c>
      <c r="E249" s="173">
        <v>41061</v>
      </c>
      <c r="F249">
        <v>475494.05</v>
      </c>
      <c r="G249">
        <v>49997</v>
      </c>
      <c r="H249">
        <v>489093.18</v>
      </c>
    </row>
    <row r="250" spans="1:8" x14ac:dyDescent="0.2">
      <c r="A250" t="s">
        <v>154</v>
      </c>
      <c r="B250" t="s">
        <v>158</v>
      </c>
      <c r="C250">
        <v>2012</v>
      </c>
      <c r="D250">
        <v>6</v>
      </c>
      <c r="E250" s="173">
        <v>41086</v>
      </c>
      <c r="F250">
        <v>397607.93</v>
      </c>
      <c r="G250">
        <v>49997</v>
      </c>
      <c r="H250">
        <v>408979.52</v>
      </c>
    </row>
    <row r="251" spans="1:8" x14ac:dyDescent="0.2">
      <c r="A251" s="178" t="s">
        <v>154</v>
      </c>
      <c r="B251" s="178" t="s">
        <v>158</v>
      </c>
      <c r="C251" s="178">
        <v>2012</v>
      </c>
      <c r="D251" s="178">
        <v>7</v>
      </c>
      <c r="E251" s="179">
        <v>41122</v>
      </c>
      <c r="F251" s="178">
        <v>614020.26</v>
      </c>
      <c r="G251" s="178">
        <v>49997</v>
      </c>
      <c r="H251" s="182">
        <v>631581.24</v>
      </c>
    </row>
    <row r="252" spans="1:8" x14ac:dyDescent="0.2">
      <c r="A252" s="178" t="s">
        <v>154</v>
      </c>
      <c r="B252" s="178" t="s">
        <v>158</v>
      </c>
      <c r="C252" s="178">
        <v>2012</v>
      </c>
      <c r="D252" s="178">
        <v>8</v>
      </c>
      <c r="E252" s="179">
        <v>41153</v>
      </c>
      <c r="F252" s="178">
        <v>516743.02</v>
      </c>
      <c r="G252" s="178">
        <v>49997</v>
      </c>
      <c r="H252" s="182">
        <v>531521.87</v>
      </c>
    </row>
    <row r="253" spans="1:8" x14ac:dyDescent="0.2">
      <c r="A253" s="178" t="s">
        <v>154</v>
      </c>
      <c r="B253" s="178" t="s">
        <v>158</v>
      </c>
      <c r="C253" s="178">
        <v>2012</v>
      </c>
      <c r="D253" s="178">
        <v>9</v>
      </c>
      <c r="E253" s="179">
        <v>41183</v>
      </c>
      <c r="F253" s="178">
        <v>454643.34</v>
      </c>
      <c r="G253" s="178">
        <v>49997</v>
      </c>
      <c r="H253" s="182">
        <v>467646.14</v>
      </c>
    </row>
    <row r="254" spans="1:8" x14ac:dyDescent="0.2">
      <c r="A254" s="178" t="s">
        <v>154</v>
      </c>
      <c r="B254" s="178" t="s">
        <v>158</v>
      </c>
      <c r="C254" s="178">
        <v>2012</v>
      </c>
      <c r="D254" s="178">
        <v>10</v>
      </c>
      <c r="E254" s="179">
        <v>41214</v>
      </c>
      <c r="F254" s="178">
        <v>437325.23</v>
      </c>
      <c r="G254" s="178">
        <v>49997</v>
      </c>
      <c r="H254" s="182">
        <v>449832.73</v>
      </c>
    </row>
    <row r="255" spans="1:8" x14ac:dyDescent="0.2">
      <c r="A255" s="178" t="s">
        <v>154</v>
      </c>
      <c r="B255" s="178" t="s">
        <v>158</v>
      </c>
      <c r="C255" s="178">
        <v>2012</v>
      </c>
      <c r="D255" s="178">
        <v>11</v>
      </c>
      <c r="E255" s="179">
        <v>41244</v>
      </c>
      <c r="F255" s="178">
        <v>399541.41</v>
      </c>
      <c r="G255" s="178">
        <v>49997</v>
      </c>
      <c r="H255" s="182">
        <v>410968.29</v>
      </c>
    </row>
    <row r="256" spans="1:8" x14ac:dyDescent="0.2">
      <c r="A256" s="178" t="s">
        <v>154</v>
      </c>
      <c r="B256" s="178" t="s">
        <v>158</v>
      </c>
      <c r="C256" s="178">
        <v>2012</v>
      </c>
      <c r="D256" s="178">
        <v>12</v>
      </c>
      <c r="E256" s="179">
        <v>41275</v>
      </c>
      <c r="F256" s="178">
        <v>415025.76</v>
      </c>
      <c r="G256" s="178">
        <v>49997</v>
      </c>
      <c r="H256" s="182">
        <v>426895.5</v>
      </c>
    </row>
    <row r="257" spans="1:8" x14ac:dyDescent="0.2">
      <c r="A257" t="s">
        <v>155</v>
      </c>
      <c r="B257" t="s">
        <v>158</v>
      </c>
      <c r="C257">
        <v>2006</v>
      </c>
      <c r="D257">
        <v>5</v>
      </c>
      <c r="E257" s="173">
        <v>38869</v>
      </c>
      <c r="F257">
        <v>205953.86</v>
      </c>
      <c r="G257">
        <v>42695</v>
      </c>
      <c r="H257">
        <v>214583.33</v>
      </c>
    </row>
    <row r="258" spans="1:8" x14ac:dyDescent="0.2">
      <c r="A258" t="s">
        <v>155</v>
      </c>
      <c r="B258" t="s">
        <v>158</v>
      </c>
      <c r="C258">
        <v>2006</v>
      </c>
      <c r="D258">
        <v>6</v>
      </c>
      <c r="E258" s="173">
        <v>38899</v>
      </c>
      <c r="F258">
        <v>367442.14</v>
      </c>
      <c r="G258">
        <v>42695</v>
      </c>
      <c r="H258">
        <v>382837.97</v>
      </c>
    </row>
    <row r="259" spans="1:8" x14ac:dyDescent="0.2">
      <c r="A259" t="s">
        <v>155</v>
      </c>
      <c r="B259" t="s">
        <v>158</v>
      </c>
      <c r="C259">
        <v>2006</v>
      </c>
      <c r="D259">
        <v>7</v>
      </c>
      <c r="E259" s="173">
        <v>38930</v>
      </c>
      <c r="F259">
        <v>396760.31</v>
      </c>
      <c r="G259">
        <v>42695</v>
      </c>
      <c r="H259">
        <v>413384.57</v>
      </c>
    </row>
    <row r="260" spans="1:8" x14ac:dyDescent="0.2">
      <c r="A260" t="s">
        <v>155</v>
      </c>
      <c r="B260" t="s">
        <v>158</v>
      </c>
      <c r="C260">
        <v>2006</v>
      </c>
      <c r="D260">
        <v>8</v>
      </c>
      <c r="E260" s="173">
        <v>38961</v>
      </c>
      <c r="F260">
        <v>385638.25</v>
      </c>
      <c r="G260">
        <v>42695</v>
      </c>
      <c r="H260">
        <v>401796.49</v>
      </c>
    </row>
    <row r="261" spans="1:8" x14ac:dyDescent="0.2">
      <c r="A261" t="s">
        <v>155</v>
      </c>
      <c r="B261" t="s">
        <v>158</v>
      </c>
      <c r="C261">
        <v>2006</v>
      </c>
      <c r="D261">
        <v>9</v>
      </c>
      <c r="E261" s="173">
        <v>38991</v>
      </c>
      <c r="F261">
        <v>350685.35</v>
      </c>
      <c r="G261">
        <v>42695</v>
      </c>
      <c r="H261">
        <v>365379.07</v>
      </c>
    </row>
    <row r="262" spans="1:8" x14ac:dyDescent="0.2">
      <c r="A262" t="s">
        <v>155</v>
      </c>
      <c r="B262" t="s">
        <v>158</v>
      </c>
      <c r="C262">
        <v>2006</v>
      </c>
      <c r="D262">
        <v>10</v>
      </c>
      <c r="E262" s="173">
        <v>39022</v>
      </c>
      <c r="F262">
        <v>343791.05</v>
      </c>
      <c r="G262">
        <v>42695</v>
      </c>
      <c r="H262">
        <v>358195.89</v>
      </c>
    </row>
    <row r="263" spans="1:8" x14ac:dyDescent="0.2">
      <c r="A263" t="s">
        <v>155</v>
      </c>
      <c r="B263" t="s">
        <v>158</v>
      </c>
      <c r="C263">
        <v>2006</v>
      </c>
      <c r="D263">
        <v>11</v>
      </c>
      <c r="E263" s="173">
        <v>39052</v>
      </c>
      <c r="F263">
        <v>334976.46000000002</v>
      </c>
      <c r="G263">
        <v>42695</v>
      </c>
      <c r="H263">
        <v>349011.97</v>
      </c>
    </row>
    <row r="264" spans="1:8" x14ac:dyDescent="0.2">
      <c r="A264" t="s">
        <v>155</v>
      </c>
      <c r="B264" t="s">
        <v>158</v>
      </c>
      <c r="C264">
        <v>2006</v>
      </c>
      <c r="D264">
        <v>12</v>
      </c>
      <c r="E264" s="173">
        <v>39083</v>
      </c>
      <c r="F264">
        <v>338567.11</v>
      </c>
      <c r="G264">
        <v>42695</v>
      </c>
      <c r="H264">
        <v>352753.07</v>
      </c>
    </row>
    <row r="265" spans="1:8" x14ac:dyDescent="0.2">
      <c r="A265" t="s">
        <v>155</v>
      </c>
      <c r="B265" t="s">
        <v>158</v>
      </c>
      <c r="C265">
        <v>2007</v>
      </c>
      <c r="D265">
        <v>1</v>
      </c>
      <c r="E265" s="173">
        <v>39114</v>
      </c>
      <c r="F265">
        <v>332561.74</v>
      </c>
      <c r="G265">
        <v>42695</v>
      </c>
      <c r="H265">
        <v>346496.08</v>
      </c>
    </row>
    <row r="266" spans="1:8" x14ac:dyDescent="0.2">
      <c r="A266" t="s">
        <v>155</v>
      </c>
      <c r="B266" t="s">
        <v>158</v>
      </c>
      <c r="C266">
        <v>2007</v>
      </c>
      <c r="D266">
        <v>2</v>
      </c>
      <c r="E266" s="173">
        <v>39142</v>
      </c>
      <c r="F266">
        <v>295939.33</v>
      </c>
      <c r="G266">
        <v>42695</v>
      </c>
      <c r="H266">
        <v>308339.19</v>
      </c>
    </row>
    <row r="267" spans="1:8" x14ac:dyDescent="0.2">
      <c r="A267" t="s">
        <v>155</v>
      </c>
      <c r="B267" t="s">
        <v>158</v>
      </c>
      <c r="C267">
        <v>2007</v>
      </c>
      <c r="D267">
        <v>3</v>
      </c>
      <c r="E267" s="173">
        <v>39173</v>
      </c>
      <c r="F267">
        <v>334313.77</v>
      </c>
      <c r="G267">
        <v>42695</v>
      </c>
      <c r="H267">
        <v>348321.52</v>
      </c>
    </row>
    <row r="268" spans="1:8" x14ac:dyDescent="0.2">
      <c r="A268" t="s">
        <v>155</v>
      </c>
      <c r="B268" t="s">
        <v>158</v>
      </c>
      <c r="C268">
        <v>2007</v>
      </c>
      <c r="D268">
        <v>4</v>
      </c>
      <c r="E268" s="173">
        <v>39203</v>
      </c>
      <c r="F268">
        <v>333745.68</v>
      </c>
      <c r="G268">
        <v>42695</v>
      </c>
      <c r="H268">
        <v>347729.62</v>
      </c>
    </row>
    <row r="269" spans="1:8" x14ac:dyDescent="0.2">
      <c r="A269" t="s">
        <v>155</v>
      </c>
      <c r="B269" t="s">
        <v>158</v>
      </c>
      <c r="C269">
        <v>2007</v>
      </c>
      <c r="D269">
        <v>5</v>
      </c>
      <c r="E269" s="173">
        <v>39234</v>
      </c>
      <c r="F269">
        <v>378283.63</v>
      </c>
      <c r="G269">
        <v>42695</v>
      </c>
      <c r="H269">
        <v>394133.71</v>
      </c>
    </row>
    <row r="270" spans="1:8" x14ac:dyDescent="0.2">
      <c r="A270" t="s">
        <v>155</v>
      </c>
      <c r="B270" t="s">
        <v>158</v>
      </c>
      <c r="C270">
        <v>2007</v>
      </c>
      <c r="D270">
        <v>6</v>
      </c>
      <c r="E270" s="173">
        <v>39264</v>
      </c>
      <c r="F270">
        <v>399804.74</v>
      </c>
      <c r="G270">
        <v>42695</v>
      </c>
      <c r="H270">
        <v>416556.56</v>
      </c>
    </row>
    <row r="271" spans="1:8" x14ac:dyDescent="0.2">
      <c r="A271" t="s">
        <v>155</v>
      </c>
      <c r="B271" t="s">
        <v>158</v>
      </c>
      <c r="C271">
        <v>2007</v>
      </c>
      <c r="D271">
        <v>7</v>
      </c>
      <c r="E271" s="173">
        <v>39295</v>
      </c>
      <c r="F271">
        <v>396701.7</v>
      </c>
      <c r="G271">
        <v>42695</v>
      </c>
      <c r="H271">
        <v>413323.5</v>
      </c>
    </row>
    <row r="272" spans="1:8" x14ac:dyDescent="0.2">
      <c r="A272" t="s">
        <v>155</v>
      </c>
      <c r="B272" t="s">
        <v>158</v>
      </c>
      <c r="C272">
        <v>2007</v>
      </c>
      <c r="D272">
        <v>8</v>
      </c>
      <c r="E272" s="173">
        <v>39326</v>
      </c>
      <c r="F272">
        <v>401391.68</v>
      </c>
      <c r="G272">
        <v>42695</v>
      </c>
      <c r="H272">
        <v>418209.99</v>
      </c>
    </row>
    <row r="273" spans="1:8" x14ac:dyDescent="0.2">
      <c r="A273" t="s">
        <v>155</v>
      </c>
      <c r="B273" t="s">
        <v>158</v>
      </c>
      <c r="C273">
        <v>2007</v>
      </c>
      <c r="D273">
        <v>9</v>
      </c>
      <c r="E273" s="173">
        <v>39356</v>
      </c>
      <c r="F273">
        <v>375355.61</v>
      </c>
      <c r="G273">
        <v>42695</v>
      </c>
      <c r="H273">
        <v>391083.01</v>
      </c>
    </row>
    <row r="274" spans="1:8" x14ac:dyDescent="0.2">
      <c r="A274" t="s">
        <v>155</v>
      </c>
      <c r="B274" t="s">
        <v>158</v>
      </c>
      <c r="C274">
        <v>2007</v>
      </c>
      <c r="D274">
        <v>10</v>
      </c>
      <c r="E274" s="173">
        <v>39387</v>
      </c>
      <c r="F274">
        <v>364048.91</v>
      </c>
      <c r="G274">
        <v>42695</v>
      </c>
      <c r="H274">
        <v>379302.56</v>
      </c>
    </row>
    <row r="275" spans="1:8" x14ac:dyDescent="0.2">
      <c r="A275" t="s">
        <v>155</v>
      </c>
      <c r="B275" t="s">
        <v>158</v>
      </c>
      <c r="C275">
        <v>2007</v>
      </c>
      <c r="D275">
        <v>11</v>
      </c>
      <c r="E275" s="173">
        <v>39417</v>
      </c>
      <c r="F275">
        <v>327946.34000000003</v>
      </c>
      <c r="G275">
        <v>42695</v>
      </c>
      <c r="H275">
        <v>341687.29</v>
      </c>
    </row>
    <row r="276" spans="1:8" x14ac:dyDescent="0.2">
      <c r="A276" t="s">
        <v>155</v>
      </c>
      <c r="B276" t="s">
        <v>158</v>
      </c>
      <c r="C276">
        <v>2007</v>
      </c>
      <c r="D276">
        <v>12</v>
      </c>
      <c r="E276" s="173">
        <v>39448</v>
      </c>
      <c r="F276">
        <v>342302.05</v>
      </c>
      <c r="G276">
        <v>42695</v>
      </c>
      <c r="H276">
        <v>356644.51</v>
      </c>
    </row>
    <row r="277" spans="1:8" x14ac:dyDescent="0.2">
      <c r="A277" t="s">
        <v>155</v>
      </c>
      <c r="B277" t="s">
        <v>158</v>
      </c>
      <c r="C277">
        <v>2008</v>
      </c>
      <c r="D277">
        <v>1</v>
      </c>
      <c r="E277" s="173">
        <v>39479</v>
      </c>
      <c r="F277">
        <v>337454.57</v>
      </c>
      <c r="G277">
        <v>42695</v>
      </c>
      <c r="H277">
        <v>351593.92</v>
      </c>
    </row>
    <row r="278" spans="1:8" x14ac:dyDescent="0.2">
      <c r="A278" t="s">
        <v>155</v>
      </c>
      <c r="B278" t="s">
        <v>158</v>
      </c>
      <c r="C278">
        <v>2008</v>
      </c>
      <c r="D278">
        <v>2</v>
      </c>
      <c r="E278" s="173">
        <v>39508</v>
      </c>
      <c r="F278">
        <v>300926.8</v>
      </c>
      <c r="G278">
        <v>42695</v>
      </c>
      <c r="H278">
        <v>313535.63</v>
      </c>
    </row>
    <row r="279" spans="1:8" x14ac:dyDescent="0.2">
      <c r="A279" t="s">
        <v>155</v>
      </c>
      <c r="B279" t="s">
        <v>158</v>
      </c>
      <c r="C279">
        <v>2008</v>
      </c>
      <c r="D279">
        <v>3</v>
      </c>
      <c r="E279" s="173">
        <v>39539</v>
      </c>
      <c r="F279">
        <v>317236.56</v>
      </c>
      <c r="G279">
        <v>42695</v>
      </c>
      <c r="H279">
        <v>330528.77</v>
      </c>
    </row>
    <row r="280" spans="1:8" x14ac:dyDescent="0.2">
      <c r="A280" t="s">
        <v>155</v>
      </c>
      <c r="B280" t="s">
        <v>158</v>
      </c>
      <c r="C280">
        <v>2008</v>
      </c>
      <c r="D280">
        <v>4</v>
      </c>
      <c r="E280" s="173">
        <v>39569</v>
      </c>
      <c r="F280">
        <v>329235.06</v>
      </c>
      <c r="G280">
        <v>42695</v>
      </c>
      <c r="H280">
        <v>343030.01</v>
      </c>
    </row>
    <row r="281" spans="1:8" x14ac:dyDescent="0.2">
      <c r="A281" t="s">
        <v>155</v>
      </c>
      <c r="B281" t="s">
        <v>158</v>
      </c>
      <c r="C281">
        <v>2008</v>
      </c>
      <c r="D281">
        <v>5</v>
      </c>
      <c r="E281" s="173">
        <v>39600</v>
      </c>
      <c r="F281">
        <v>348294.32</v>
      </c>
      <c r="G281">
        <v>42695</v>
      </c>
      <c r="H281">
        <v>362887.85</v>
      </c>
    </row>
    <row r="282" spans="1:8" x14ac:dyDescent="0.2">
      <c r="A282" t="s">
        <v>155</v>
      </c>
      <c r="B282" t="s">
        <v>158</v>
      </c>
      <c r="C282">
        <v>2008</v>
      </c>
      <c r="D282">
        <v>6</v>
      </c>
      <c r="E282" s="173">
        <v>39630</v>
      </c>
      <c r="F282">
        <v>378712.26</v>
      </c>
      <c r="G282">
        <v>42695</v>
      </c>
      <c r="H282">
        <v>394580.3</v>
      </c>
    </row>
    <row r="283" spans="1:8" x14ac:dyDescent="0.2">
      <c r="A283" t="s">
        <v>155</v>
      </c>
      <c r="B283" t="s">
        <v>158</v>
      </c>
      <c r="C283">
        <v>2008</v>
      </c>
      <c r="D283">
        <v>7</v>
      </c>
      <c r="E283" s="173">
        <v>39661</v>
      </c>
      <c r="F283">
        <v>394795.63</v>
      </c>
      <c r="G283">
        <v>42695</v>
      </c>
      <c r="H283">
        <v>411337.57</v>
      </c>
    </row>
    <row r="284" spans="1:8" x14ac:dyDescent="0.2">
      <c r="A284" t="s">
        <v>155</v>
      </c>
      <c r="B284" t="s">
        <v>158</v>
      </c>
      <c r="C284">
        <v>2008</v>
      </c>
      <c r="D284">
        <v>8</v>
      </c>
      <c r="E284" s="173">
        <v>39692</v>
      </c>
      <c r="F284">
        <v>379360.31</v>
      </c>
      <c r="G284">
        <v>42695</v>
      </c>
      <c r="H284">
        <v>395255.51</v>
      </c>
    </row>
    <row r="285" spans="1:8" x14ac:dyDescent="0.2">
      <c r="A285" t="s">
        <v>155</v>
      </c>
      <c r="B285" t="s">
        <v>158</v>
      </c>
      <c r="C285">
        <v>2008</v>
      </c>
      <c r="D285">
        <v>9</v>
      </c>
      <c r="E285" s="173">
        <v>39722</v>
      </c>
      <c r="F285">
        <v>364400.92</v>
      </c>
      <c r="G285">
        <v>42695</v>
      </c>
      <c r="H285">
        <v>379669.32</v>
      </c>
    </row>
    <row r="286" spans="1:8" x14ac:dyDescent="0.2">
      <c r="A286" t="s">
        <v>155</v>
      </c>
      <c r="B286" t="s">
        <v>158</v>
      </c>
      <c r="C286">
        <v>2008</v>
      </c>
      <c r="D286">
        <v>10</v>
      </c>
      <c r="E286" s="173">
        <v>39753</v>
      </c>
      <c r="F286">
        <v>349982.76</v>
      </c>
      <c r="G286">
        <v>42695</v>
      </c>
      <c r="H286">
        <v>364647.04</v>
      </c>
    </row>
    <row r="287" spans="1:8" x14ac:dyDescent="0.2">
      <c r="A287" t="s">
        <v>155</v>
      </c>
      <c r="B287" t="s">
        <v>158</v>
      </c>
      <c r="C287">
        <v>2008</v>
      </c>
      <c r="D287">
        <v>11</v>
      </c>
      <c r="E287" s="173">
        <v>39783</v>
      </c>
      <c r="F287">
        <v>332695.18</v>
      </c>
      <c r="G287">
        <v>42695</v>
      </c>
      <c r="H287">
        <v>346635.11</v>
      </c>
    </row>
    <row r="288" spans="1:8" x14ac:dyDescent="0.2">
      <c r="A288" t="s">
        <v>155</v>
      </c>
      <c r="B288" t="s">
        <v>158</v>
      </c>
      <c r="C288">
        <v>2008</v>
      </c>
      <c r="D288">
        <v>12</v>
      </c>
      <c r="E288" s="173">
        <v>39814</v>
      </c>
      <c r="F288">
        <v>345883.27</v>
      </c>
      <c r="G288">
        <v>42695</v>
      </c>
      <c r="H288">
        <v>360375.78</v>
      </c>
    </row>
    <row r="289" spans="1:8" x14ac:dyDescent="0.2">
      <c r="A289" t="s">
        <v>155</v>
      </c>
      <c r="B289" t="s">
        <v>158</v>
      </c>
      <c r="C289">
        <v>2009</v>
      </c>
      <c r="D289">
        <v>1</v>
      </c>
      <c r="E289" s="173">
        <v>39845</v>
      </c>
      <c r="F289">
        <v>336924.3</v>
      </c>
      <c r="G289">
        <v>42695</v>
      </c>
      <c r="H289">
        <v>351041.43</v>
      </c>
    </row>
    <row r="290" spans="1:8" x14ac:dyDescent="0.2">
      <c r="A290" t="s">
        <v>155</v>
      </c>
      <c r="B290" t="s">
        <v>158</v>
      </c>
      <c r="C290">
        <v>2009</v>
      </c>
      <c r="D290">
        <v>2</v>
      </c>
      <c r="E290" s="173">
        <v>39873</v>
      </c>
      <c r="F290">
        <v>305455.81</v>
      </c>
      <c r="G290">
        <v>42695</v>
      </c>
      <c r="H290">
        <v>318254.40999999997</v>
      </c>
    </row>
    <row r="291" spans="1:8" x14ac:dyDescent="0.2">
      <c r="A291" t="s">
        <v>155</v>
      </c>
      <c r="B291" t="s">
        <v>158</v>
      </c>
      <c r="C291">
        <v>2009</v>
      </c>
      <c r="D291">
        <v>3</v>
      </c>
      <c r="E291" s="173">
        <v>39904</v>
      </c>
      <c r="F291">
        <v>340323.8</v>
      </c>
      <c r="G291">
        <v>42695</v>
      </c>
      <c r="H291">
        <v>354583.37</v>
      </c>
    </row>
    <row r="292" spans="1:8" x14ac:dyDescent="0.2">
      <c r="A292" t="s">
        <v>155</v>
      </c>
      <c r="B292" t="s">
        <v>158</v>
      </c>
      <c r="C292">
        <v>2009</v>
      </c>
      <c r="D292">
        <v>4</v>
      </c>
      <c r="E292" s="173">
        <v>39934</v>
      </c>
      <c r="F292">
        <v>332665.46000000002</v>
      </c>
      <c r="G292">
        <v>42695</v>
      </c>
      <c r="H292">
        <v>346604.14</v>
      </c>
    </row>
    <row r="293" spans="1:8" x14ac:dyDescent="0.2">
      <c r="A293" t="s">
        <v>155</v>
      </c>
      <c r="B293" t="s">
        <v>158</v>
      </c>
      <c r="C293">
        <v>2009</v>
      </c>
      <c r="D293">
        <v>5</v>
      </c>
      <c r="E293" s="173">
        <v>39965</v>
      </c>
      <c r="F293">
        <v>358887.47</v>
      </c>
      <c r="G293">
        <v>42695</v>
      </c>
      <c r="H293">
        <v>373924.85</v>
      </c>
    </row>
    <row r="294" spans="1:8" x14ac:dyDescent="0.2">
      <c r="A294" t="s">
        <v>155</v>
      </c>
      <c r="B294" t="s">
        <v>158</v>
      </c>
      <c r="C294">
        <v>2009</v>
      </c>
      <c r="D294">
        <v>6</v>
      </c>
      <c r="E294" s="173">
        <v>39995</v>
      </c>
      <c r="F294">
        <v>368809.41</v>
      </c>
      <c r="G294">
        <v>42695</v>
      </c>
      <c r="H294">
        <v>384262.52</v>
      </c>
    </row>
    <row r="295" spans="1:8" x14ac:dyDescent="0.2">
      <c r="A295" t="s">
        <v>155</v>
      </c>
      <c r="B295" t="s">
        <v>158</v>
      </c>
      <c r="C295">
        <v>2009</v>
      </c>
      <c r="D295">
        <v>7</v>
      </c>
      <c r="E295" s="173">
        <v>40026</v>
      </c>
      <c r="F295">
        <v>385077.96</v>
      </c>
      <c r="G295">
        <v>42695</v>
      </c>
      <c r="H295">
        <v>401212.73</v>
      </c>
    </row>
    <row r="296" spans="1:8" x14ac:dyDescent="0.2">
      <c r="A296" t="s">
        <v>155</v>
      </c>
      <c r="B296" t="s">
        <v>158</v>
      </c>
      <c r="C296">
        <v>2009</v>
      </c>
      <c r="D296">
        <v>8</v>
      </c>
      <c r="E296" s="173">
        <v>40057</v>
      </c>
      <c r="F296">
        <v>408364.01</v>
      </c>
      <c r="G296">
        <v>42695</v>
      </c>
      <c r="H296">
        <v>425474.46</v>
      </c>
    </row>
    <row r="297" spans="1:8" x14ac:dyDescent="0.2">
      <c r="A297" t="s">
        <v>155</v>
      </c>
      <c r="B297" t="s">
        <v>158</v>
      </c>
      <c r="C297">
        <v>2009</v>
      </c>
      <c r="D297">
        <v>9</v>
      </c>
      <c r="E297" s="173">
        <v>40087</v>
      </c>
      <c r="F297">
        <v>371200.15</v>
      </c>
      <c r="G297">
        <v>42695</v>
      </c>
      <c r="H297">
        <v>386753.44</v>
      </c>
    </row>
    <row r="298" spans="1:8" x14ac:dyDescent="0.2">
      <c r="A298" t="s">
        <v>155</v>
      </c>
      <c r="B298" t="s">
        <v>158</v>
      </c>
      <c r="C298">
        <v>2009</v>
      </c>
      <c r="D298">
        <v>10</v>
      </c>
      <c r="E298" s="173">
        <v>40118</v>
      </c>
      <c r="F298">
        <v>349383.93</v>
      </c>
      <c r="G298">
        <v>42695</v>
      </c>
      <c r="H298">
        <v>364023.12</v>
      </c>
    </row>
    <row r="299" spans="1:8" x14ac:dyDescent="0.2">
      <c r="A299" t="s">
        <v>155</v>
      </c>
      <c r="B299" t="s">
        <v>158</v>
      </c>
      <c r="C299">
        <v>2009</v>
      </c>
      <c r="D299">
        <v>11</v>
      </c>
      <c r="E299" s="173">
        <v>40148</v>
      </c>
      <c r="F299">
        <v>333940.17</v>
      </c>
      <c r="G299">
        <v>42695</v>
      </c>
      <c r="H299">
        <v>347932.26</v>
      </c>
    </row>
    <row r="300" spans="1:8" x14ac:dyDescent="0.2">
      <c r="A300" t="s">
        <v>155</v>
      </c>
      <c r="B300" t="s">
        <v>158</v>
      </c>
      <c r="C300">
        <v>2009</v>
      </c>
      <c r="D300">
        <v>12</v>
      </c>
      <c r="E300" s="173">
        <v>40179</v>
      </c>
      <c r="F300">
        <v>326636.39</v>
      </c>
      <c r="G300">
        <v>42695</v>
      </c>
      <c r="H300">
        <v>340322.45</v>
      </c>
    </row>
    <row r="301" spans="1:8" x14ac:dyDescent="0.2">
      <c r="A301" t="s">
        <v>155</v>
      </c>
      <c r="B301" t="s">
        <v>158</v>
      </c>
      <c r="C301">
        <v>2010</v>
      </c>
      <c r="D301">
        <v>1</v>
      </c>
      <c r="E301" s="173">
        <v>40210</v>
      </c>
      <c r="F301">
        <v>321345.02</v>
      </c>
      <c r="G301">
        <v>42695</v>
      </c>
      <c r="H301">
        <v>334809.38</v>
      </c>
    </row>
    <row r="302" spans="1:8" x14ac:dyDescent="0.2">
      <c r="A302" t="s">
        <v>155</v>
      </c>
      <c r="B302" t="s">
        <v>158</v>
      </c>
      <c r="C302">
        <v>2010</v>
      </c>
      <c r="D302">
        <v>2</v>
      </c>
      <c r="E302" s="173">
        <v>40238</v>
      </c>
      <c r="F302">
        <v>298687.25</v>
      </c>
      <c r="G302">
        <v>42695</v>
      </c>
      <c r="H302">
        <v>311202.25</v>
      </c>
    </row>
    <row r="303" spans="1:8" x14ac:dyDescent="0.2">
      <c r="A303" t="s">
        <v>155</v>
      </c>
      <c r="B303" t="s">
        <v>158</v>
      </c>
      <c r="C303">
        <v>2010</v>
      </c>
      <c r="D303">
        <v>3</v>
      </c>
      <c r="E303" s="173">
        <v>40269</v>
      </c>
      <c r="F303">
        <v>351035.78</v>
      </c>
      <c r="G303">
        <v>42695</v>
      </c>
      <c r="H303">
        <v>365744.18</v>
      </c>
    </row>
    <row r="304" spans="1:8" x14ac:dyDescent="0.2">
      <c r="A304" t="s">
        <v>155</v>
      </c>
      <c r="B304" t="s">
        <v>158</v>
      </c>
      <c r="C304">
        <v>2010</v>
      </c>
      <c r="D304">
        <v>4</v>
      </c>
      <c r="E304" s="173">
        <v>40299</v>
      </c>
      <c r="F304">
        <v>350334.51</v>
      </c>
      <c r="G304">
        <v>42695</v>
      </c>
      <c r="H304">
        <v>365013.53</v>
      </c>
    </row>
    <row r="305" spans="1:8" x14ac:dyDescent="0.2">
      <c r="A305" t="s">
        <v>155</v>
      </c>
      <c r="B305" t="s">
        <v>158</v>
      </c>
      <c r="C305">
        <v>2010</v>
      </c>
      <c r="D305">
        <v>5</v>
      </c>
      <c r="E305" s="173">
        <v>40330</v>
      </c>
      <c r="F305">
        <v>387061.85</v>
      </c>
      <c r="G305">
        <v>42695</v>
      </c>
      <c r="H305">
        <v>398131.82</v>
      </c>
    </row>
    <row r="306" spans="1:8" x14ac:dyDescent="0.2">
      <c r="A306" t="s">
        <v>155</v>
      </c>
      <c r="B306" t="s">
        <v>158</v>
      </c>
      <c r="C306">
        <v>2010</v>
      </c>
      <c r="D306">
        <v>6</v>
      </c>
      <c r="E306" s="173">
        <v>40360</v>
      </c>
      <c r="F306">
        <v>397364.76</v>
      </c>
      <c r="G306">
        <v>42695</v>
      </c>
      <c r="H306">
        <v>408729.39</v>
      </c>
    </row>
    <row r="307" spans="1:8" x14ac:dyDescent="0.2">
      <c r="A307" t="s">
        <v>155</v>
      </c>
      <c r="B307" t="s">
        <v>158</v>
      </c>
      <c r="C307">
        <v>2010</v>
      </c>
      <c r="D307">
        <v>7</v>
      </c>
      <c r="E307" s="173">
        <v>40391</v>
      </c>
      <c r="F307">
        <v>436824.84</v>
      </c>
      <c r="G307">
        <v>42695</v>
      </c>
      <c r="H307">
        <v>449318.03</v>
      </c>
    </row>
    <row r="308" spans="1:8" x14ac:dyDescent="0.2">
      <c r="A308" t="s">
        <v>155</v>
      </c>
      <c r="B308" t="s">
        <v>158</v>
      </c>
      <c r="C308">
        <v>2010</v>
      </c>
      <c r="D308">
        <v>8</v>
      </c>
      <c r="E308" s="173">
        <v>40422</v>
      </c>
      <c r="F308">
        <v>425536.6</v>
      </c>
      <c r="G308">
        <v>42695</v>
      </c>
      <c r="H308">
        <v>437706.95</v>
      </c>
    </row>
    <row r="309" spans="1:8" x14ac:dyDescent="0.2">
      <c r="A309" t="s">
        <v>155</v>
      </c>
      <c r="B309" t="s">
        <v>158</v>
      </c>
      <c r="C309">
        <v>2010</v>
      </c>
      <c r="D309">
        <v>9</v>
      </c>
      <c r="E309" s="173">
        <v>40452</v>
      </c>
      <c r="F309">
        <v>388777.69</v>
      </c>
      <c r="G309">
        <v>42695</v>
      </c>
      <c r="H309">
        <v>399896.73</v>
      </c>
    </row>
    <row r="310" spans="1:8" x14ac:dyDescent="0.2">
      <c r="A310" t="s">
        <v>155</v>
      </c>
      <c r="B310" t="s">
        <v>158</v>
      </c>
      <c r="C310">
        <v>2010</v>
      </c>
      <c r="D310">
        <v>10</v>
      </c>
      <c r="E310" s="173">
        <v>40483</v>
      </c>
      <c r="F310">
        <v>381550.88</v>
      </c>
      <c r="G310">
        <v>42695</v>
      </c>
      <c r="H310">
        <v>392463.24</v>
      </c>
    </row>
    <row r="311" spans="1:8" x14ac:dyDescent="0.2">
      <c r="A311" t="s">
        <v>155</v>
      </c>
      <c r="B311" t="s">
        <v>158</v>
      </c>
      <c r="C311">
        <v>2010</v>
      </c>
      <c r="D311">
        <v>11</v>
      </c>
      <c r="E311" s="173">
        <v>40513</v>
      </c>
      <c r="F311">
        <v>358075.67</v>
      </c>
      <c r="G311">
        <v>42695</v>
      </c>
      <c r="H311">
        <v>368316.63</v>
      </c>
    </row>
    <row r="312" spans="1:8" x14ac:dyDescent="0.2">
      <c r="A312" t="s">
        <v>155</v>
      </c>
      <c r="B312" t="s">
        <v>158</v>
      </c>
      <c r="C312">
        <v>2010</v>
      </c>
      <c r="D312">
        <v>12</v>
      </c>
      <c r="E312" s="173">
        <v>40544</v>
      </c>
      <c r="F312">
        <v>356651.88</v>
      </c>
      <c r="G312">
        <v>42695</v>
      </c>
      <c r="H312">
        <v>366852.12</v>
      </c>
    </row>
    <row r="313" spans="1:8" x14ac:dyDescent="0.2">
      <c r="A313" t="s">
        <v>155</v>
      </c>
      <c r="B313" t="s">
        <v>158</v>
      </c>
      <c r="C313">
        <v>2011</v>
      </c>
      <c r="D313">
        <v>1</v>
      </c>
      <c r="E313" s="173">
        <v>40575</v>
      </c>
      <c r="F313">
        <v>351326.6</v>
      </c>
      <c r="G313">
        <v>42695</v>
      </c>
      <c r="H313">
        <v>361374.54</v>
      </c>
    </row>
    <row r="314" spans="1:8" x14ac:dyDescent="0.2">
      <c r="A314" t="s">
        <v>155</v>
      </c>
      <c r="B314" t="s">
        <v>158</v>
      </c>
      <c r="C314">
        <v>2011</v>
      </c>
      <c r="D314">
        <v>2</v>
      </c>
      <c r="E314" s="173">
        <v>40603</v>
      </c>
      <c r="F314">
        <v>318352.71000000002</v>
      </c>
      <c r="G314">
        <v>42695</v>
      </c>
      <c r="H314">
        <v>327457.59999999998</v>
      </c>
    </row>
    <row r="315" spans="1:8" x14ac:dyDescent="0.2">
      <c r="A315" t="s">
        <v>155</v>
      </c>
      <c r="B315" t="s">
        <v>158</v>
      </c>
      <c r="C315">
        <v>2011</v>
      </c>
      <c r="D315">
        <v>3</v>
      </c>
      <c r="E315" s="173">
        <v>40634</v>
      </c>
      <c r="F315">
        <v>357313.1</v>
      </c>
      <c r="G315">
        <v>42695</v>
      </c>
      <c r="H315">
        <v>367532.25</v>
      </c>
    </row>
    <row r="316" spans="1:8" x14ac:dyDescent="0.2">
      <c r="A316" t="s">
        <v>155</v>
      </c>
      <c r="B316" t="s">
        <v>158</v>
      </c>
      <c r="C316">
        <v>2011</v>
      </c>
      <c r="D316">
        <v>4</v>
      </c>
      <c r="E316" s="173">
        <v>40664</v>
      </c>
      <c r="F316">
        <v>349805.45</v>
      </c>
      <c r="G316">
        <v>42695</v>
      </c>
      <c r="H316">
        <v>359809.89</v>
      </c>
    </row>
    <row r="317" spans="1:8" x14ac:dyDescent="0.2">
      <c r="A317" t="s">
        <v>155</v>
      </c>
      <c r="B317" t="s">
        <v>158</v>
      </c>
      <c r="C317">
        <v>2011</v>
      </c>
      <c r="D317">
        <v>5</v>
      </c>
      <c r="E317" s="173">
        <v>40695</v>
      </c>
      <c r="F317">
        <v>375100.02</v>
      </c>
      <c r="G317">
        <v>42695</v>
      </c>
      <c r="H317">
        <v>385827.88</v>
      </c>
    </row>
    <row r="318" spans="1:8" x14ac:dyDescent="0.2">
      <c r="A318" t="s">
        <v>155</v>
      </c>
      <c r="B318" t="s">
        <v>158</v>
      </c>
      <c r="C318">
        <v>2011</v>
      </c>
      <c r="D318">
        <v>6</v>
      </c>
      <c r="E318" s="173">
        <v>40725</v>
      </c>
      <c r="F318">
        <v>393597.67</v>
      </c>
      <c r="G318">
        <v>42695</v>
      </c>
      <c r="H318">
        <v>404854.56</v>
      </c>
    </row>
    <row r="319" spans="1:8" x14ac:dyDescent="0.2">
      <c r="A319" t="s">
        <v>155</v>
      </c>
      <c r="B319" t="s">
        <v>158</v>
      </c>
      <c r="C319">
        <v>2011</v>
      </c>
      <c r="D319">
        <v>7</v>
      </c>
      <c r="E319" s="173">
        <v>40756</v>
      </c>
      <c r="F319">
        <v>479504.42</v>
      </c>
      <c r="G319">
        <v>42695</v>
      </c>
      <c r="H319">
        <v>493218.25</v>
      </c>
    </row>
    <row r="320" spans="1:8" x14ac:dyDescent="0.2">
      <c r="A320" t="s">
        <v>155</v>
      </c>
      <c r="B320" t="s">
        <v>158</v>
      </c>
      <c r="C320">
        <v>2011</v>
      </c>
      <c r="D320">
        <v>8</v>
      </c>
      <c r="E320" s="173">
        <v>40787</v>
      </c>
      <c r="F320">
        <v>452020.69</v>
      </c>
      <c r="G320">
        <v>42695</v>
      </c>
      <c r="H320">
        <v>464948.47999999998</v>
      </c>
    </row>
    <row r="321" spans="1:8" x14ac:dyDescent="0.2">
      <c r="A321" t="s">
        <v>155</v>
      </c>
      <c r="B321" t="s">
        <v>158</v>
      </c>
      <c r="C321">
        <v>2011</v>
      </c>
      <c r="D321">
        <v>9</v>
      </c>
      <c r="E321" s="173">
        <v>40817</v>
      </c>
      <c r="F321">
        <v>427006.35</v>
      </c>
      <c r="G321">
        <v>42695</v>
      </c>
      <c r="H321">
        <v>439218.73</v>
      </c>
    </row>
    <row r="322" spans="1:8" x14ac:dyDescent="0.2">
      <c r="A322" t="s">
        <v>155</v>
      </c>
      <c r="B322" t="s">
        <v>158</v>
      </c>
      <c r="C322">
        <v>2011</v>
      </c>
      <c r="D322">
        <v>10</v>
      </c>
      <c r="E322" s="173">
        <v>40848</v>
      </c>
      <c r="F322">
        <v>416435.98</v>
      </c>
      <c r="G322">
        <v>42695</v>
      </c>
      <c r="H322">
        <v>428346.05</v>
      </c>
    </row>
    <row r="323" spans="1:8" x14ac:dyDescent="0.2">
      <c r="A323" t="s">
        <v>155</v>
      </c>
      <c r="B323" t="s">
        <v>158</v>
      </c>
      <c r="C323">
        <v>2011</v>
      </c>
      <c r="D323">
        <v>11</v>
      </c>
      <c r="E323" s="173">
        <v>40878</v>
      </c>
      <c r="F323">
        <v>396665.14</v>
      </c>
      <c r="G323">
        <v>42695</v>
      </c>
      <c r="H323">
        <v>408009.76</v>
      </c>
    </row>
    <row r="324" spans="1:8" x14ac:dyDescent="0.2">
      <c r="A324" t="s">
        <v>155</v>
      </c>
      <c r="B324" t="s">
        <v>158</v>
      </c>
      <c r="C324">
        <v>2011</v>
      </c>
      <c r="D324">
        <v>12</v>
      </c>
      <c r="E324" s="173">
        <v>40909</v>
      </c>
      <c r="F324">
        <v>395475.21</v>
      </c>
      <c r="G324">
        <v>42695</v>
      </c>
      <c r="H324">
        <v>406785.8</v>
      </c>
    </row>
    <row r="325" spans="1:8" x14ac:dyDescent="0.2">
      <c r="A325" t="s">
        <v>155</v>
      </c>
      <c r="B325" t="s">
        <v>158</v>
      </c>
      <c r="C325">
        <v>2012</v>
      </c>
      <c r="D325">
        <v>1</v>
      </c>
      <c r="E325" s="173">
        <v>40940</v>
      </c>
      <c r="F325">
        <v>387620.54</v>
      </c>
      <c r="G325">
        <v>42695</v>
      </c>
      <c r="H325">
        <v>398706.49</v>
      </c>
    </row>
    <row r="326" spans="1:8" x14ac:dyDescent="0.2">
      <c r="A326" t="s">
        <v>155</v>
      </c>
      <c r="B326" t="s">
        <v>158</v>
      </c>
      <c r="C326">
        <v>2012</v>
      </c>
      <c r="D326">
        <v>2</v>
      </c>
      <c r="E326" s="173">
        <v>40969</v>
      </c>
      <c r="F326">
        <v>366546.58</v>
      </c>
      <c r="G326">
        <v>42695</v>
      </c>
      <c r="H326">
        <v>377029.81</v>
      </c>
    </row>
    <row r="327" spans="1:8" x14ac:dyDescent="0.2">
      <c r="A327" t="s">
        <v>155</v>
      </c>
      <c r="B327" t="s">
        <v>158</v>
      </c>
      <c r="C327">
        <v>2012</v>
      </c>
      <c r="D327">
        <v>3</v>
      </c>
      <c r="E327" s="173">
        <v>41000</v>
      </c>
      <c r="F327">
        <v>407286.69</v>
      </c>
      <c r="G327">
        <v>42695</v>
      </c>
      <c r="H327">
        <v>418935.09</v>
      </c>
    </row>
    <row r="328" spans="1:8" x14ac:dyDescent="0.2">
      <c r="A328" t="s">
        <v>155</v>
      </c>
      <c r="B328" t="s">
        <v>158</v>
      </c>
      <c r="C328">
        <v>2012</v>
      </c>
      <c r="D328">
        <v>4</v>
      </c>
      <c r="E328" s="173">
        <v>41026</v>
      </c>
      <c r="F328">
        <v>332207.05</v>
      </c>
      <c r="G328">
        <v>42695</v>
      </c>
      <c r="H328">
        <v>341708.17</v>
      </c>
    </row>
    <row r="329" spans="1:8" x14ac:dyDescent="0.2">
      <c r="A329" s="178" t="s">
        <v>155</v>
      </c>
      <c r="B329" s="178" t="s">
        <v>158</v>
      </c>
      <c r="C329" s="178">
        <v>2012</v>
      </c>
      <c r="D329" s="178">
        <v>5</v>
      </c>
      <c r="E329" s="179">
        <v>41061</v>
      </c>
      <c r="F329" s="178">
        <v>471112.57</v>
      </c>
      <c r="G329" s="178">
        <v>42695</v>
      </c>
      <c r="H329" s="182">
        <v>484586.39</v>
      </c>
    </row>
    <row r="330" spans="1:8" x14ac:dyDescent="0.2">
      <c r="A330" s="178" t="s">
        <v>155</v>
      </c>
      <c r="B330" s="178" t="s">
        <v>158</v>
      </c>
      <c r="C330" s="178">
        <v>2012</v>
      </c>
      <c r="D330" s="178">
        <v>6</v>
      </c>
      <c r="E330" s="179">
        <v>41091</v>
      </c>
      <c r="F330" s="178">
        <v>420828.61170523043</v>
      </c>
      <c r="G330" s="178">
        <v>42695</v>
      </c>
      <c r="H330" s="182">
        <v>432864.31</v>
      </c>
    </row>
    <row r="331" spans="1:8" x14ac:dyDescent="0.2">
      <c r="A331" s="178" t="s">
        <v>155</v>
      </c>
      <c r="B331" s="178" t="s">
        <v>158</v>
      </c>
      <c r="C331" s="178">
        <v>2012</v>
      </c>
      <c r="D331" s="178">
        <v>7</v>
      </c>
      <c r="E331" s="179">
        <v>41122</v>
      </c>
      <c r="F331" s="178">
        <v>405326.32704647095</v>
      </c>
      <c r="G331" s="178">
        <v>42695</v>
      </c>
      <c r="H331" s="182">
        <v>416918.66</v>
      </c>
    </row>
    <row r="332" spans="1:8" x14ac:dyDescent="0.2">
      <c r="A332" s="178" t="s">
        <v>155</v>
      </c>
      <c r="B332" s="178" t="s">
        <v>158</v>
      </c>
      <c r="C332" s="178">
        <v>2012</v>
      </c>
      <c r="D332" s="178">
        <v>8</v>
      </c>
      <c r="E332" s="179">
        <v>41153</v>
      </c>
      <c r="F332" s="178">
        <v>363696.95702897146</v>
      </c>
      <c r="G332" s="178">
        <v>42695</v>
      </c>
      <c r="H332" s="182">
        <v>374098.69</v>
      </c>
    </row>
    <row r="333" spans="1:8" x14ac:dyDescent="0.2">
      <c r="A333" s="178" t="s">
        <v>155</v>
      </c>
      <c r="B333" s="178" t="s">
        <v>158</v>
      </c>
      <c r="C333" s="178">
        <v>2012</v>
      </c>
      <c r="D333" s="178">
        <v>9</v>
      </c>
      <c r="E333" s="179">
        <v>41183</v>
      </c>
      <c r="F333" s="178">
        <v>344213.82461598294</v>
      </c>
      <c r="G333" s="178">
        <v>42695</v>
      </c>
      <c r="H333" s="182">
        <v>354058.34</v>
      </c>
    </row>
    <row r="334" spans="1:8" x14ac:dyDescent="0.2">
      <c r="A334" s="178" t="s">
        <v>155</v>
      </c>
      <c r="B334" s="178" t="s">
        <v>158</v>
      </c>
      <c r="C334" s="178">
        <v>2012</v>
      </c>
      <c r="D334" s="178">
        <v>10</v>
      </c>
      <c r="E334" s="179">
        <v>41214</v>
      </c>
      <c r="F334" s="178">
        <v>337825.78261714953</v>
      </c>
      <c r="G334" s="178">
        <v>42695</v>
      </c>
      <c r="H334" s="182">
        <v>347487.6</v>
      </c>
    </row>
    <row r="335" spans="1:8" x14ac:dyDescent="0.2">
      <c r="A335" s="178" t="s">
        <v>155</v>
      </c>
      <c r="B335" s="178" t="s">
        <v>158</v>
      </c>
      <c r="C335" s="178">
        <v>2012</v>
      </c>
      <c r="D335" s="178">
        <v>11</v>
      </c>
      <c r="E335" s="179">
        <v>41244</v>
      </c>
      <c r="F335" s="178">
        <v>310770.94108496985</v>
      </c>
      <c r="G335" s="178">
        <v>42695</v>
      </c>
      <c r="H335" s="182">
        <v>319658.99</v>
      </c>
    </row>
    <row r="336" spans="1:8" x14ac:dyDescent="0.2">
      <c r="A336" s="178" t="s">
        <v>155</v>
      </c>
      <c r="B336" s="178" t="s">
        <v>158</v>
      </c>
      <c r="C336" s="178">
        <v>2012</v>
      </c>
      <c r="D336" s="178">
        <v>12</v>
      </c>
      <c r="E336" s="179">
        <v>41275</v>
      </c>
      <c r="F336" s="178">
        <v>295334.41571067472</v>
      </c>
      <c r="G336" s="178">
        <v>42695</v>
      </c>
      <c r="H336" s="182">
        <v>303780.98</v>
      </c>
    </row>
    <row r="1047385" spans="5:5" x14ac:dyDescent="0.2">
      <c r="E1047385" s="173"/>
    </row>
    <row r="1047386" spans="5:5" x14ac:dyDescent="0.2">
      <c r="E1047386" s="173"/>
    </row>
    <row r="1047387" spans="5:5" x14ac:dyDescent="0.2">
      <c r="E1047387" s="173"/>
    </row>
    <row r="1047388" spans="5:5" x14ac:dyDescent="0.2">
      <c r="E1047388" s="173"/>
    </row>
    <row r="1047389" spans="5:5" x14ac:dyDescent="0.2">
      <c r="E1047389" s="173"/>
    </row>
    <row r="1047390" spans="5:5" x14ac:dyDescent="0.2">
      <c r="E1047390" s="173"/>
    </row>
    <row r="1047391" spans="5:5" x14ac:dyDescent="0.2">
      <c r="E1047391" s="173"/>
    </row>
    <row r="1047392" spans="5:5" x14ac:dyDescent="0.2">
      <c r="E1047392" s="173"/>
    </row>
    <row r="1047393" spans="5:5" x14ac:dyDescent="0.2">
      <c r="E1047393" s="173"/>
    </row>
    <row r="1047394" spans="5:5" x14ac:dyDescent="0.2">
      <c r="E1047394" s="173"/>
    </row>
    <row r="1047395" spans="5:5" x14ac:dyDescent="0.2">
      <c r="E1047395" s="173"/>
    </row>
    <row r="1047396" spans="5:5" x14ac:dyDescent="0.2">
      <c r="E1047396" s="173"/>
    </row>
    <row r="1047397" spans="5:5" x14ac:dyDescent="0.2">
      <c r="E1047397" s="173"/>
    </row>
    <row r="1047398" spans="5:5" x14ac:dyDescent="0.2">
      <c r="E1047398" s="173"/>
    </row>
    <row r="1047399" spans="5:5" x14ac:dyDescent="0.2">
      <c r="E1047399" s="173"/>
    </row>
    <row r="1047400" spans="5:5" x14ac:dyDescent="0.2">
      <c r="E1047400" s="173"/>
    </row>
    <row r="1047401" spans="5:5" x14ac:dyDescent="0.2">
      <c r="E1047401" s="173"/>
    </row>
    <row r="1047402" spans="5:5" x14ac:dyDescent="0.2">
      <c r="E1047402" s="173"/>
    </row>
    <row r="1047403" spans="5:5" x14ac:dyDescent="0.2">
      <c r="E1047403" s="173"/>
    </row>
    <row r="1047404" spans="5:5" x14ac:dyDescent="0.2">
      <c r="E1047404" s="173"/>
    </row>
    <row r="1047405" spans="5:5" x14ac:dyDescent="0.2">
      <c r="E1047405" s="173"/>
    </row>
    <row r="1047406" spans="5:5" x14ac:dyDescent="0.2">
      <c r="E1047406" s="173"/>
    </row>
    <row r="1047407" spans="5:5" x14ac:dyDescent="0.2">
      <c r="E1047407" s="173"/>
    </row>
    <row r="1047408" spans="5:5" x14ac:dyDescent="0.2">
      <c r="E1047408" s="173"/>
    </row>
    <row r="1047409" spans="5:5" x14ac:dyDescent="0.2">
      <c r="E1047409" s="173"/>
    </row>
    <row r="1047410" spans="5:5" x14ac:dyDescent="0.2">
      <c r="E1047410" s="173"/>
    </row>
    <row r="1047411" spans="5:5" x14ac:dyDescent="0.2">
      <c r="E1047411" s="173"/>
    </row>
    <row r="1047412" spans="5:5" x14ac:dyDescent="0.2">
      <c r="E1047412" s="173"/>
    </row>
    <row r="1047413" spans="5:5" x14ac:dyDescent="0.2">
      <c r="E1047413" s="173"/>
    </row>
    <row r="1047414" spans="5:5" x14ac:dyDescent="0.2">
      <c r="E1047414" s="173"/>
    </row>
    <row r="1047415" spans="5:5" x14ac:dyDescent="0.2">
      <c r="E1047415" s="173"/>
    </row>
    <row r="1047416" spans="5:5" x14ac:dyDescent="0.2">
      <c r="E1047416" s="173"/>
    </row>
    <row r="1047417" spans="5:5" x14ac:dyDescent="0.2">
      <c r="E1047417" s="173"/>
    </row>
    <row r="1047418" spans="5:5" x14ac:dyDescent="0.2">
      <c r="E1047418" s="173"/>
    </row>
    <row r="1047419" spans="5:5" x14ac:dyDescent="0.2">
      <c r="E1047419" s="173"/>
    </row>
    <row r="1047420" spans="5:5" x14ac:dyDescent="0.2">
      <c r="E1047420" s="173"/>
    </row>
    <row r="1047421" spans="5:5" x14ac:dyDescent="0.2">
      <c r="E1047421" s="173"/>
    </row>
    <row r="1047422" spans="5:5" x14ac:dyDescent="0.2">
      <c r="E1047422" s="173"/>
    </row>
    <row r="1047423" spans="5:5" x14ac:dyDescent="0.2">
      <c r="E1047423" s="173"/>
    </row>
    <row r="1047424" spans="5:5" x14ac:dyDescent="0.2">
      <c r="E1047424" s="173"/>
    </row>
    <row r="1047425" spans="5:5" x14ac:dyDescent="0.2">
      <c r="E1047425" s="173"/>
    </row>
    <row r="1047426" spans="5:5" x14ac:dyDescent="0.2">
      <c r="E1047426" s="173"/>
    </row>
    <row r="1047427" spans="5:5" x14ac:dyDescent="0.2">
      <c r="E1047427" s="173"/>
    </row>
    <row r="1047428" spans="5:5" x14ac:dyDescent="0.2">
      <c r="E1047428" s="173"/>
    </row>
    <row r="1047429" spans="5:5" x14ac:dyDescent="0.2">
      <c r="E1047429" s="173"/>
    </row>
    <row r="1047430" spans="5:5" x14ac:dyDescent="0.2">
      <c r="E1047430" s="173"/>
    </row>
    <row r="1047431" spans="5:5" x14ac:dyDescent="0.2">
      <c r="E1047431" s="173"/>
    </row>
    <row r="1047432" spans="5:5" x14ac:dyDescent="0.2">
      <c r="E1047432" s="173"/>
    </row>
    <row r="1047433" spans="5:5" x14ac:dyDescent="0.2">
      <c r="E1047433" s="173"/>
    </row>
    <row r="1047434" spans="5:5" x14ac:dyDescent="0.2">
      <c r="E1047434" s="173"/>
    </row>
    <row r="1047435" spans="5:5" x14ac:dyDescent="0.2">
      <c r="E1047435" s="173"/>
    </row>
    <row r="1047436" spans="5:5" x14ac:dyDescent="0.2">
      <c r="E1047436" s="173"/>
    </row>
    <row r="1047437" spans="5:5" x14ac:dyDescent="0.2">
      <c r="E1047437" s="173"/>
    </row>
    <row r="1047438" spans="5:5" x14ac:dyDescent="0.2">
      <c r="E1047438" s="173"/>
    </row>
    <row r="1047439" spans="5:5" x14ac:dyDescent="0.2">
      <c r="E1047439" s="173"/>
    </row>
    <row r="1047440" spans="5:5" x14ac:dyDescent="0.2">
      <c r="E1047440" s="173"/>
    </row>
    <row r="1047441" spans="5:5" x14ac:dyDescent="0.2">
      <c r="E1047441" s="173"/>
    </row>
    <row r="1047442" spans="5:5" x14ac:dyDescent="0.2">
      <c r="E1047442" s="173"/>
    </row>
    <row r="1047443" spans="5:5" x14ac:dyDescent="0.2">
      <c r="E1047443" s="173"/>
    </row>
    <row r="1047444" spans="5:5" x14ac:dyDescent="0.2">
      <c r="E1047444" s="173"/>
    </row>
    <row r="1047445" spans="5:5" x14ac:dyDescent="0.2">
      <c r="E1047445" s="173"/>
    </row>
    <row r="1047446" spans="5:5" x14ac:dyDescent="0.2">
      <c r="E1047446" s="173"/>
    </row>
    <row r="1047447" spans="5:5" x14ac:dyDescent="0.2">
      <c r="E1047447" s="173"/>
    </row>
    <row r="1047448" spans="5:5" x14ac:dyDescent="0.2">
      <c r="E1047448" s="173"/>
    </row>
    <row r="1047449" spans="5:5" x14ac:dyDescent="0.2">
      <c r="E1047449" s="173"/>
    </row>
    <row r="1047450" spans="5:5" x14ac:dyDescent="0.2">
      <c r="E1047450" s="173"/>
    </row>
    <row r="1047451" spans="5:5" x14ac:dyDescent="0.2">
      <c r="E1047451" s="173"/>
    </row>
    <row r="1047452" spans="5:5" x14ac:dyDescent="0.2">
      <c r="E1047452" s="173"/>
    </row>
    <row r="1047453" spans="5:5" x14ac:dyDescent="0.2">
      <c r="E1047453" s="173"/>
    </row>
    <row r="1047454" spans="5:5" x14ac:dyDescent="0.2">
      <c r="E1047454" s="173"/>
    </row>
    <row r="1047455" spans="5:5" x14ac:dyDescent="0.2">
      <c r="E1047455" s="173"/>
    </row>
    <row r="1047456" spans="5:5" x14ac:dyDescent="0.2">
      <c r="E1047456" s="173"/>
    </row>
    <row r="1047457" spans="5:5" x14ac:dyDescent="0.2">
      <c r="E1047457" s="173"/>
    </row>
    <row r="1047458" spans="5:5" x14ac:dyDescent="0.2">
      <c r="E1047458" s="173"/>
    </row>
    <row r="1047459" spans="5:5" x14ac:dyDescent="0.2">
      <c r="E1047459" s="173"/>
    </row>
    <row r="1047460" spans="5:5" x14ac:dyDescent="0.2">
      <c r="E1047460" s="173"/>
    </row>
    <row r="1047461" spans="5:5" x14ac:dyDescent="0.2">
      <c r="E1047461" s="173"/>
    </row>
    <row r="1047462" spans="5:5" x14ac:dyDescent="0.2">
      <c r="E1047462" s="173"/>
    </row>
    <row r="1047463" spans="5:5" x14ac:dyDescent="0.2">
      <c r="E1047463" s="173"/>
    </row>
    <row r="1047464" spans="5:5" x14ac:dyDescent="0.2">
      <c r="E1047464" s="173"/>
    </row>
    <row r="1047465" spans="5:5" x14ac:dyDescent="0.2">
      <c r="E1047465" s="173"/>
    </row>
    <row r="1047466" spans="5:5" x14ac:dyDescent="0.2">
      <c r="E1047466" s="173"/>
    </row>
    <row r="1047467" spans="5:5" x14ac:dyDescent="0.2">
      <c r="E1047467" s="173"/>
    </row>
    <row r="1047468" spans="5:5" x14ac:dyDescent="0.2">
      <c r="E1047468" s="173"/>
    </row>
    <row r="1047469" spans="5:5" x14ac:dyDescent="0.2">
      <c r="E1047469" s="173"/>
    </row>
    <row r="1047470" spans="5:5" x14ac:dyDescent="0.2">
      <c r="E1047470" s="173"/>
    </row>
    <row r="1047471" spans="5:5" x14ac:dyDescent="0.2">
      <c r="E1047471" s="173"/>
    </row>
    <row r="1047472" spans="5:5" x14ac:dyDescent="0.2">
      <c r="E1047472" s="173"/>
    </row>
    <row r="1047473" spans="5:5" x14ac:dyDescent="0.2">
      <c r="E1047473" s="173"/>
    </row>
    <row r="1047474" spans="5:5" x14ac:dyDescent="0.2">
      <c r="E1047474" s="173"/>
    </row>
    <row r="1047475" spans="5:5" x14ac:dyDescent="0.2">
      <c r="E1047475" s="173"/>
    </row>
    <row r="1047476" spans="5:5" x14ac:dyDescent="0.2">
      <c r="E1047476" s="173"/>
    </row>
    <row r="1047477" spans="5:5" x14ac:dyDescent="0.2">
      <c r="E1047477" s="173"/>
    </row>
    <row r="1047478" spans="5:5" x14ac:dyDescent="0.2">
      <c r="E1047478" s="173"/>
    </row>
    <row r="1047479" spans="5:5" x14ac:dyDescent="0.2">
      <c r="E1047479" s="173"/>
    </row>
    <row r="1047480" spans="5:5" x14ac:dyDescent="0.2">
      <c r="E1047480" s="173"/>
    </row>
    <row r="1047481" spans="5:5" x14ac:dyDescent="0.2">
      <c r="E1047481" s="173"/>
    </row>
    <row r="1047482" spans="5:5" x14ac:dyDescent="0.2">
      <c r="E1047482" s="173"/>
    </row>
    <row r="1047483" spans="5:5" x14ac:dyDescent="0.2">
      <c r="E1047483" s="173"/>
    </row>
    <row r="1047484" spans="5:5" x14ac:dyDescent="0.2">
      <c r="E1047484" s="173"/>
    </row>
    <row r="1047485" spans="5:5" x14ac:dyDescent="0.2">
      <c r="E1047485" s="173"/>
    </row>
    <row r="1047486" spans="5:5" x14ac:dyDescent="0.2">
      <c r="E1047486" s="173"/>
    </row>
    <row r="1047487" spans="5:5" x14ac:dyDescent="0.2">
      <c r="E1047487" s="173"/>
    </row>
  </sheetData>
  <sortState ref="A2:H1047465">
    <sortCondition ref="A2:A1047465"/>
    <sortCondition ref="C2:C1047465"/>
    <sortCondition ref="D2:D104746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0" tint="-0.14999847407452621"/>
  </sheetPr>
  <dimension ref="A1:N17"/>
  <sheetViews>
    <sheetView workbookViewId="0"/>
  </sheetViews>
  <sheetFormatPr defaultRowHeight="15" x14ac:dyDescent="0.25"/>
  <cols>
    <col min="1" max="1" width="10.7109375" style="163" customWidth="1"/>
    <col min="2" max="2" width="16.7109375" style="163" bestFit="1" customWidth="1"/>
    <col min="3" max="4" width="16.85546875" style="163" bestFit="1" customWidth="1"/>
    <col min="5" max="5" width="21" style="163" bestFit="1" customWidth="1"/>
    <col min="6" max="7" width="8.85546875" style="163"/>
    <col min="8" max="8" width="11.28515625" style="163" bestFit="1" customWidth="1"/>
    <col min="9" max="10" width="10.140625" style="163" bestFit="1" customWidth="1"/>
    <col min="11" max="12" width="9.7109375" style="163" bestFit="1" customWidth="1"/>
    <col min="13" max="13" width="9.42578125" style="163" bestFit="1" customWidth="1"/>
    <col min="14" max="256" width="8.85546875" style="163"/>
    <col min="257" max="257" width="10.7109375" style="163" customWidth="1"/>
    <col min="258" max="258" width="16.7109375" style="163" bestFit="1" customWidth="1"/>
    <col min="259" max="260" width="16.85546875" style="163" bestFit="1" customWidth="1"/>
    <col min="261" max="261" width="11.5703125" style="163" bestFit="1" customWidth="1"/>
    <col min="262" max="512" width="8.85546875" style="163"/>
    <col min="513" max="513" width="10.7109375" style="163" customWidth="1"/>
    <col min="514" max="514" width="16.7109375" style="163" bestFit="1" customWidth="1"/>
    <col min="515" max="516" width="16.85546875" style="163" bestFit="1" customWidth="1"/>
    <col min="517" max="517" width="11.5703125" style="163" bestFit="1" customWidth="1"/>
    <col min="518" max="768" width="8.85546875" style="163"/>
    <col min="769" max="769" width="10.7109375" style="163" customWidth="1"/>
    <col min="770" max="770" width="16.7109375" style="163" bestFit="1" customWidth="1"/>
    <col min="771" max="772" width="16.85546875" style="163" bestFit="1" customWidth="1"/>
    <col min="773" max="773" width="11.5703125" style="163" bestFit="1" customWidth="1"/>
    <col min="774" max="1024" width="8.85546875" style="163"/>
    <col min="1025" max="1025" width="10.7109375" style="163" customWidth="1"/>
    <col min="1026" max="1026" width="16.7109375" style="163" bestFit="1" customWidth="1"/>
    <col min="1027" max="1028" width="16.85546875" style="163" bestFit="1" customWidth="1"/>
    <col min="1029" max="1029" width="11.5703125" style="163" bestFit="1" customWidth="1"/>
    <col min="1030" max="1280" width="8.85546875" style="163"/>
    <col min="1281" max="1281" width="10.7109375" style="163" customWidth="1"/>
    <col min="1282" max="1282" width="16.7109375" style="163" bestFit="1" customWidth="1"/>
    <col min="1283" max="1284" width="16.85546875" style="163" bestFit="1" customWidth="1"/>
    <col min="1285" max="1285" width="11.5703125" style="163" bestFit="1" customWidth="1"/>
    <col min="1286" max="1536" width="8.85546875" style="163"/>
    <col min="1537" max="1537" width="10.7109375" style="163" customWidth="1"/>
    <col min="1538" max="1538" width="16.7109375" style="163" bestFit="1" customWidth="1"/>
    <col min="1539" max="1540" width="16.85546875" style="163" bestFit="1" customWidth="1"/>
    <col min="1541" max="1541" width="11.5703125" style="163" bestFit="1" customWidth="1"/>
    <col min="1542" max="1792" width="8.85546875" style="163"/>
    <col min="1793" max="1793" width="10.7109375" style="163" customWidth="1"/>
    <col min="1794" max="1794" width="16.7109375" style="163" bestFit="1" customWidth="1"/>
    <col min="1795" max="1796" width="16.85546875" style="163" bestFit="1" customWidth="1"/>
    <col min="1797" max="1797" width="11.5703125" style="163" bestFit="1" customWidth="1"/>
    <col min="1798" max="2048" width="8.85546875" style="163"/>
    <col min="2049" max="2049" width="10.7109375" style="163" customWidth="1"/>
    <col min="2050" max="2050" width="16.7109375" style="163" bestFit="1" customWidth="1"/>
    <col min="2051" max="2052" width="16.85546875" style="163" bestFit="1" customWidth="1"/>
    <col min="2053" max="2053" width="11.5703125" style="163" bestFit="1" customWidth="1"/>
    <col min="2054" max="2304" width="8.85546875" style="163"/>
    <col min="2305" max="2305" width="10.7109375" style="163" customWidth="1"/>
    <col min="2306" max="2306" width="16.7109375" style="163" bestFit="1" customWidth="1"/>
    <col min="2307" max="2308" width="16.85546875" style="163" bestFit="1" customWidth="1"/>
    <col min="2309" max="2309" width="11.5703125" style="163" bestFit="1" customWidth="1"/>
    <col min="2310" max="2560" width="8.85546875" style="163"/>
    <col min="2561" max="2561" width="10.7109375" style="163" customWidth="1"/>
    <col min="2562" max="2562" width="16.7109375" style="163" bestFit="1" customWidth="1"/>
    <col min="2563" max="2564" width="16.85546875" style="163" bestFit="1" customWidth="1"/>
    <col min="2565" max="2565" width="11.5703125" style="163" bestFit="1" customWidth="1"/>
    <col min="2566" max="2816" width="8.85546875" style="163"/>
    <col min="2817" max="2817" width="10.7109375" style="163" customWidth="1"/>
    <col min="2818" max="2818" width="16.7109375" style="163" bestFit="1" customWidth="1"/>
    <col min="2819" max="2820" width="16.85546875" style="163" bestFit="1" customWidth="1"/>
    <col min="2821" max="2821" width="11.5703125" style="163" bestFit="1" customWidth="1"/>
    <col min="2822" max="3072" width="8.85546875" style="163"/>
    <col min="3073" max="3073" width="10.7109375" style="163" customWidth="1"/>
    <col min="3074" max="3074" width="16.7109375" style="163" bestFit="1" customWidth="1"/>
    <col min="3075" max="3076" width="16.85546875" style="163" bestFit="1" customWidth="1"/>
    <col min="3077" max="3077" width="11.5703125" style="163" bestFit="1" customWidth="1"/>
    <col min="3078" max="3328" width="8.85546875" style="163"/>
    <col min="3329" max="3329" width="10.7109375" style="163" customWidth="1"/>
    <col min="3330" max="3330" width="16.7109375" style="163" bestFit="1" customWidth="1"/>
    <col min="3331" max="3332" width="16.85546875" style="163" bestFit="1" customWidth="1"/>
    <col min="3333" max="3333" width="11.5703125" style="163" bestFit="1" customWidth="1"/>
    <col min="3334" max="3584" width="8.85546875" style="163"/>
    <col min="3585" max="3585" width="10.7109375" style="163" customWidth="1"/>
    <col min="3586" max="3586" width="16.7109375" style="163" bestFit="1" customWidth="1"/>
    <col min="3587" max="3588" width="16.85546875" style="163" bestFit="1" customWidth="1"/>
    <col min="3589" max="3589" width="11.5703125" style="163" bestFit="1" customWidth="1"/>
    <col min="3590" max="3840" width="8.85546875" style="163"/>
    <col min="3841" max="3841" width="10.7109375" style="163" customWidth="1"/>
    <col min="3842" max="3842" width="16.7109375" style="163" bestFit="1" customWidth="1"/>
    <col min="3843" max="3844" width="16.85546875" style="163" bestFit="1" customWidth="1"/>
    <col min="3845" max="3845" width="11.5703125" style="163" bestFit="1" customWidth="1"/>
    <col min="3846" max="4096" width="8.85546875" style="163"/>
    <col min="4097" max="4097" width="10.7109375" style="163" customWidth="1"/>
    <col min="4098" max="4098" width="16.7109375" style="163" bestFit="1" customWidth="1"/>
    <col min="4099" max="4100" width="16.85546875" style="163" bestFit="1" customWidth="1"/>
    <col min="4101" max="4101" width="11.5703125" style="163" bestFit="1" customWidth="1"/>
    <col min="4102" max="4352" width="8.85546875" style="163"/>
    <col min="4353" max="4353" width="10.7109375" style="163" customWidth="1"/>
    <col min="4354" max="4354" width="16.7109375" style="163" bestFit="1" customWidth="1"/>
    <col min="4355" max="4356" width="16.85546875" style="163" bestFit="1" customWidth="1"/>
    <col min="4357" max="4357" width="11.5703125" style="163" bestFit="1" customWidth="1"/>
    <col min="4358" max="4608" width="8.85546875" style="163"/>
    <col min="4609" max="4609" width="10.7109375" style="163" customWidth="1"/>
    <col min="4610" max="4610" width="16.7109375" style="163" bestFit="1" customWidth="1"/>
    <col min="4611" max="4612" width="16.85546875" style="163" bestFit="1" customWidth="1"/>
    <col min="4613" max="4613" width="11.5703125" style="163" bestFit="1" customWidth="1"/>
    <col min="4614" max="4864" width="8.85546875" style="163"/>
    <col min="4865" max="4865" width="10.7109375" style="163" customWidth="1"/>
    <col min="4866" max="4866" width="16.7109375" style="163" bestFit="1" customWidth="1"/>
    <col min="4867" max="4868" width="16.85546875" style="163" bestFit="1" customWidth="1"/>
    <col min="4869" max="4869" width="11.5703125" style="163" bestFit="1" customWidth="1"/>
    <col min="4870" max="5120" width="8.85546875" style="163"/>
    <col min="5121" max="5121" width="10.7109375" style="163" customWidth="1"/>
    <col min="5122" max="5122" width="16.7109375" style="163" bestFit="1" customWidth="1"/>
    <col min="5123" max="5124" width="16.85546875" style="163" bestFit="1" customWidth="1"/>
    <col min="5125" max="5125" width="11.5703125" style="163" bestFit="1" customWidth="1"/>
    <col min="5126" max="5376" width="8.85546875" style="163"/>
    <col min="5377" max="5377" width="10.7109375" style="163" customWidth="1"/>
    <col min="5378" max="5378" width="16.7109375" style="163" bestFit="1" customWidth="1"/>
    <col min="5379" max="5380" width="16.85546875" style="163" bestFit="1" customWidth="1"/>
    <col min="5381" max="5381" width="11.5703125" style="163" bestFit="1" customWidth="1"/>
    <col min="5382" max="5632" width="8.85546875" style="163"/>
    <col min="5633" max="5633" width="10.7109375" style="163" customWidth="1"/>
    <col min="5634" max="5634" width="16.7109375" style="163" bestFit="1" customWidth="1"/>
    <col min="5635" max="5636" width="16.85546875" style="163" bestFit="1" customWidth="1"/>
    <col min="5637" max="5637" width="11.5703125" style="163" bestFit="1" customWidth="1"/>
    <col min="5638" max="5888" width="8.85546875" style="163"/>
    <col min="5889" max="5889" width="10.7109375" style="163" customWidth="1"/>
    <col min="5890" max="5890" width="16.7109375" style="163" bestFit="1" customWidth="1"/>
    <col min="5891" max="5892" width="16.85546875" style="163" bestFit="1" customWidth="1"/>
    <col min="5893" max="5893" width="11.5703125" style="163" bestFit="1" customWidth="1"/>
    <col min="5894" max="6144" width="8.85546875" style="163"/>
    <col min="6145" max="6145" width="10.7109375" style="163" customWidth="1"/>
    <col min="6146" max="6146" width="16.7109375" style="163" bestFit="1" customWidth="1"/>
    <col min="6147" max="6148" width="16.85546875" style="163" bestFit="1" customWidth="1"/>
    <col min="6149" max="6149" width="11.5703125" style="163" bestFit="1" customWidth="1"/>
    <col min="6150" max="6400" width="8.85546875" style="163"/>
    <col min="6401" max="6401" width="10.7109375" style="163" customWidth="1"/>
    <col min="6402" max="6402" width="16.7109375" style="163" bestFit="1" customWidth="1"/>
    <col min="6403" max="6404" width="16.85546875" style="163" bestFit="1" customWidth="1"/>
    <col min="6405" max="6405" width="11.5703125" style="163" bestFit="1" customWidth="1"/>
    <col min="6406" max="6656" width="8.85546875" style="163"/>
    <col min="6657" max="6657" width="10.7109375" style="163" customWidth="1"/>
    <col min="6658" max="6658" width="16.7109375" style="163" bestFit="1" customWidth="1"/>
    <col min="6659" max="6660" width="16.85546875" style="163" bestFit="1" customWidth="1"/>
    <col min="6661" max="6661" width="11.5703125" style="163" bestFit="1" customWidth="1"/>
    <col min="6662" max="6912" width="8.85546875" style="163"/>
    <col min="6913" max="6913" width="10.7109375" style="163" customWidth="1"/>
    <col min="6914" max="6914" width="16.7109375" style="163" bestFit="1" customWidth="1"/>
    <col min="6915" max="6916" width="16.85546875" style="163" bestFit="1" customWidth="1"/>
    <col min="6917" max="6917" width="11.5703125" style="163" bestFit="1" customWidth="1"/>
    <col min="6918" max="7168" width="8.85546875" style="163"/>
    <col min="7169" max="7169" width="10.7109375" style="163" customWidth="1"/>
    <col min="7170" max="7170" width="16.7109375" style="163" bestFit="1" customWidth="1"/>
    <col min="7171" max="7172" width="16.85546875" style="163" bestFit="1" customWidth="1"/>
    <col min="7173" max="7173" width="11.5703125" style="163" bestFit="1" customWidth="1"/>
    <col min="7174" max="7424" width="8.85546875" style="163"/>
    <col min="7425" max="7425" width="10.7109375" style="163" customWidth="1"/>
    <col min="7426" max="7426" width="16.7109375" style="163" bestFit="1" customWidth="1"/>
    <col min="7427" max="7428" width="16.85546875" style="163" bestFit="1" customWidth="1"/>
    <col min="7429" max="7429" width="11.5703125" style="163" bestFit="1" customWidth="1"/>
    <col min="7430" max="7680" width="8.85546875" style="163"/>
    <col min="7681" max="7681" width="10.7109375" style="163" customWidth="1"/>
    <col min="7682" max="7682" width="16.7109375" style="163" bestFit="1" customWidth="1"/>
    <col min="7683" max="7684" width="16.85546875" style="163" bestFit="1" customWidth="1"/>
    <col min="7685" max="7685" width="11.5703125" style="163" bestFit="1" customWidth="1"/>
    <col min="7686" max="7936" width="8.85546875" style="163"/>
    <col min="7937" max="7937" width="10.7109375" style="163" customWidth="1"/>
    <col min="7938" max="7938" width="16.7109375" style="163" bestFit="1" customWidth="1"/>
    <col min="7939" max="7940" width="16.85546875" style="163" bestFit="1" customWidth="1"/>
    <col min="7941" max="7941" width="11.5703125" style="163" bestFit="1" customWidth="1"/>
    <col min="7942" max="8192" width="8.85546875" style="163"/>
    <col min="8193" max="8193" width="10.7109375" style="163" customWidth="1"/>
    <col min="8194" max="8194" width="16.7109375" style="163" bestFit="1" customWidth="1"/>
    <col min="8195" max="8196" width="16.85546875" style="163" bestFit="1" customWidth="1"/>
    <col min="8197" max="8197" width="11.5703125" style="163" bestFit="1" customWidth="1"/>
    <col min="8198" max="8448" width="8.85546875" style="163"/>
    <col min="8449" max="8449" width="10.7109375" style="163" customWidth="1"/>
    <col min="8450" max="8450" width="16.7109375" style="163" bestFit="1" customWidth="1"/>
    <col min="8451" max="8452" width="16.85546875" style="163" bestFit="1" customWidth="1"/>
    <col min="8453" max="8453" width="11.5703125" style="163" bestFit="1" customWidth="1"/>
    <col min="8454" max="8704" width="8.85546875" style="163"/>
    <col min="8705" max="8705" width="10.7109375" style="163" customWidth="1"/>
    <col min="8706" max="8706" width="16.7109375" style="163" bestFit="1" customWidth="1"/>
    <col min="8707" max="8708" width="16.85546875" style="163" bestFit="1" customWidth="1"/>
    <col min="8709" max="8709" width="11.5703125" style="163" bestFit="1" customWidth="1"/>
    <col min="8710" max="8960" width="8.85546875" style="163"/>
    <col min="8961" max="8961" width="10.7109375" style="163" customWidth="1"/>
    <col min="8962" max="8962" width="16.7109375" style="163" bestFit="1" customWidth="1"/>
    <col min="8963" max="8964" width="16.85546875" style="163" bestFit="1" customWidth="1"/>
    <col min="8965" max="8965" width="11.5703125" style="163" bestFit="1" customWidth="1"/>
    <col min="8966" max="9216" width="8.85546875" style="163"/>
    <col min="9217" max="9217" width="10.7109375" style="163" customWidth="1"/>
    <col min="9218" max="9218" width="16.7109375" style="163" bestFit="1" customWidth="1"/>
    <col min="9219" max="9220" width="16.85546875" style="163" bestFit="1" customWidth="1"/>
    <col min="9221" max="9221" width="11.5703125" style="163" bestFit="1" customWidth="1"/>
    <col min="9222" max="9472" width="8.85546875" style="163"/>
    <col min="9473" max="9473" width="10.7109375" style="163" customWidth="1"/>
    <col min="9474" max="9474" width="16.7109375" style="163" bestFit="1" customWidth="1"/>
    <col min="9475" max="9476" width="16.85546875" style="163" bestFit="1" customWidth="1"/>
    <col min="9477" max="9477" width="11.5703125" style="163" bestFit="1" customWidth="1"/>
    <col min="9478" max="9728" width="8.85546875" style="163"/>
    <col min="9729" max="9729" width="10.7109375" style="163" customWidth="1"/>
    <col min="9730" max="9730" width="16.7109375" style="163" bestFit="1" customWidth="1"/>
    <col min="9731" max="9732" width="16.85546875" style="163" bestFit="1" customWidth="1"/>
    <col min="9733" max="9733" width="11.5703125" style="163" bestFit="1" customWidth="1"/>
    <col min="9734" max="9984" width="8.85546875" style="163"/>
    <col min="9985" max="9985" width="10.7109375" style="163" customWidth="1"/>
    <col min="9986" max="9986" width="16.7109375" style="163" bestFit="1" customWidth="1"/>
    <col min="9987" max="9988" width="16.85546875" style="163" bestFit="1" customWidth="1"/>
    <col min="9989" max="9989" width="11.5703125" style="163" bestFit="1" customWidth="1"/>
    <col min="9990" max="10240" width="8.85546875" style="163"/>
    <col min="10241" max="10241" width="10.7109375" style="163" customWidth="1"/>
    <col min="10242" max="10242" width="16.7109375" style="163" bestFit="1" customWidth="1"/>
    <col min="10243" max="10244" width="16.85546875" style="163" bestFit="1" customWidth="1"/>
    <col min="10245" max="10245" width="11.5703125" style="163" bestFit="1" customWidth="1"/>
    <col min="10246" max="10496" width="8.85546875" style="163"/>
    <col min="10497" max="10497" width="10.7109375" style="163" customWidth="1"/>
    <col min="10498" max="10498" width="16.7109375" style="163" bestFit="1" customWidth="1"/>
    <col min="10499" max="10500" width="16.85546875" style="163" bestFit="1" customWidth="1"/>
    <col min="10501" max="10501" width="11.5703125" style="163" bestFit="1" customWidth="1"/>
    <col min="10502" max="10752" width="8.85546875" style="163"/>
    <col min="10753" max="10753" width="10.7109375" style="163" customWidth="1"/>
    <col min="10754" max="10754" width="16.7109375" style="163" bestFit="1" customWidth="1"/>
    <col min="10755" max="10756" width="16.85546875" style="163" bestFit="1" customWidth="1"/>
    <col min="10757" max="10757" width="11.5703125" style="163" bestFit="1" customWidth="1"/>
    <col min="10758" max="11008" width="8.85546875" style="163"/>
    <col min="11009" max="11009" width="10.7109375" style="163" customWidth="1"/>
    <col min="11010" max="11010" width="16.7109375" style="163" bestFit="1" customWidth="1"/>
    <col min="11011" max="11012" width="16.85546875" style="163" bestFit="1" customWidth="1"/>
    <col min="11013" max="11013" width="11.5703125" style="163" bestFit="1" customWidth="1"/>
    <col min="11014" max="11264" width="8.85546875" style="163"/>
    <col min="11265" max="11265" width="10.7109375" style="163" customWidth="1"/>
    <col min="11266" max="11266" width="16.7109375" style="163" bestFit="1" customWidth="1"/>
    <col min="11267" max="11268" width="16.85546875" style="163" bestFit="1" customWidth="1"/>
    <col min="11269" max="11269" width="11.5703125" style="163" bestFit="1" customWidth="1"/>
    <col min="11270" max="11520" width="8.85546875" style="163"/>
    <col min="11521" max="11521" width="10.7109375" style="163" customWidth="1"/>
    <col min="11522" max="11522" width="16.7109375" style="163" bestFit="1" customWidth="1"/>
    <col min="11523" max="11524" width="16.85546875" style="163" bestFit="1" customWidth="1"/>
    <col min="11525" max="11525" width="11.5703125" style="163" bestFit="1" customWidth="1"/>
    <col min="11526" max="11776" width="8.85546875" style="163"/>
    <col min="11777" max="11777" width="10.7109375" style="163" customWidth="1"/>
    <col min="11778" max="11778" width="16.7109375" style="163" bestFit="1" customWidth="1"/>
    <col min="11779" max="11780" width="16.85546875" style="163" bestFit="1" customWidth="1"/>
    <col min="11781" max="11781" width="11.5703125" style="163" bestFit="1" customWidth="1"/>
    <col min="11782" max="12032" width="8.85546875" style="163"/>
    <col min="12033" max="12033" width="10.7109375" style="163" customWidth="1"/>
    <col min="12034" max="12034" width="16.7109375" style="163" bestFit="1" customWidth="1"/>
    <col min="12035" max="12036" width="16.85546875" style="163" bestFit="1" customWidth="1"/>
    <col min="12037" max="12037" width="11.5703125" style="163" bestFit="1" customWidth="1"/>
    <col min="12038" max="12288" width="8.85546875" style="163"/>
    <col min="12289" max="12289" width="10.7109375" style="163" customWidth="1"/>
    <col min="12290" max="12290" width="16.7109375" style="163" bestFit="1" customWidth="1"/>
    <col min="12291" max="12292" width="16.85546875" style="163" bestFit="1" customWidth="1"/>
    <col min="12293" max="12293" width="11.5703125" style="163" bestFit="1" customWidth="1"/>
    <col min="12294" max="12544" width="8.85546875" style="163"/>
    <col min="12545" max="12545" width="10.7109375" style="163" customWidth="1"/>
    <col min="12546" max="12546" width="16.7109375" style="163" bestFit="1" customWidth="1"/>
    <col min="12547" max="12548" width="16.85546875" style="163" bestFit="1" customWidth="1"/>
    <col min="12549" max="12549" width="11.5703125" style="163" bestFit="1" customWidth="1"/>
    <col min="12550" max="12800" width="8.85546875" style="163"/>
    <col min="12801" max="12801" width="10.7109375" style="163" customWidth="1"/>
    <col min="12802" max="12802" width="16.7109375" style="163" bestFit="1" customWidth="1"/>
    <col min="12803" max="12804" width="16.85546875" style="163" bestFit="1" customWidth="1"/>
    <col min="12805" max="12805" width="11.5703125" style="163" bestFit="1" customWidth="1"/>
    <col min="12806" max="13056" width="8.85546875" style="163"/>
    <col min="13057" max="13057" width="10.7109375" style="163" customWidth="1"/>
    <col min="13058" max="13058" width="16.7109375" style="163" bestFit="1" customWidth="1"/>
    <col min="13059" max="13060" width="16.85546875" style="163" bestFit="1" customWidth="1"/>
    <col min="13061" max="13061" width="11.5703125" style="163" bestFit="1" customWidth="1"/>
    <col min="13062" max="13312" width="8.85546875" style="163"/>
    <col min="13313" max="13313" width="10.7109375" style="163" customWidth="1"/>
    <col min="13314" max="13314" width="16.7109375" style="163" bestFit="1" customWidth="1"/>
    <col min="13315" max="13316" width="16.85546875" style="163" bestFit="1" customWidth="1"/>
    <col min="13317" max="13317" width="11.5703125" style="163" bestFit="1" customWidth="1"/>
    <col min="13318" max="13568" width="8.85546875" style="163"/>
    <col min="13569" max="13569" width="10.7109375" style="163" customWidth="1"/>
    <col min="13570" max="13570" width="16.7109375" style="163" bestFit="1" customWidth="1"/>
    <col min="13571" max="13572" width="16.85546875" style="163" bestFit="1" customWidth="1"/>
    <col min="13573" max="13573" width="11.5703125" style="163" bestFit="1" customWidth="1"/>
    <col min="13574" max="13824" width="8.85546875" style="163"/>
    <col min="13825" max="13825" width="10.7109375" style="163" customWidth="1"/>
    <col min="13826" max="13826" width="16.7109375" style="163" bestFit="1" customWidth="1"/>
    <col min="13827" max="13828" width="16.85546875" style="163" bestFit="1" customWidth="1"/>
    <col min="13829" max="13829" width="11.5703125" style="163" bestFit="1" customWidth="1"/>
    <col min="13830" max="14080" width="8.85546875" style="163"/>
    <col min="14081" max="14081" width="10.7109375" style="163" customWidth="1"/>
    <col min="14082" max="14082" width="16.7109375" style="163" bestFit="1" customWidth="1"/>
    <col min="14083" max="14084" width="16.85546875" style="163" bestFit="1" customWidth="1"/>
    <col min="14085" max="14085" width="11.5703125" style="163" bestFit="1" customWidth="1"/>
    <col min="14086" max="14336" width="8.85546875" style="163"/>
    <col min="14337" max="14337" width="10.7109375" style="163" customWidth="1"/>
    <col min="14338" max="14338" width="16.7109375" style="163" bestFit="1" customWidth="1"/>
    <col min="14339" max="14340" width="16.85546875" style="163" bestFit="1" customWidth="1"/>
    <col min="14341" max="14341" width="11.5703125" style="163" bestFit="1" customWidth="1"/>
    <col min="14342" max="14592" width="8.85546875" style="163"/>
    <col min="14593" max="14593" width="10.7109375" style="163" customWidth="1"/>
    <col min="14594" max="14594" width="16.7109375" style="163" bestFit="1" customWidth="1"/>
    <col min="14595" max="14596" width="16.85546875" style="163" bestFit="1" customWidth="1"/>
    <col min="14597" max="14597" width="11.5703125" style="163" bestFit="1" customWidth="1"/>
    <col min="14598" max="14848" width="8.85546875" style="163"/>
    <col min="14849" max="14849" width="10.7109375" style="163" customWidth="1"/>
    <col min="14850" max="14850" width="16.7109375" style="163" bestFit="1" customWidth="1"/>
    <col min="14851" max="14852" width="16.85546875" style="163" bestFit="1" customWidth="1"/>
    <col min="14853" max="14853" width="11.5703125" style="163" bestFit="1" customWidth="1"/>
    <col min="14854" max="15104" width="8.85546875" style="163"/>
    <col min="15105" max="15105" width="10.7109375" style="163" customWidth="1"/>
    <col min="15106" max="15106" width="16.7109375" style="163" bestFit="1" customWidth="1"/>
    <col min="15107" max="15108" width="16.85546875" style="163" bestFit="1" customWidth="1"/>
    <col min="15109" max="15109" width="11.5703125" style="163" bestFit="1" customWidth="1"/>
    <col min="15110" max="15360" width="8.85546875" style="163"/>
    <col min="15361" max="15361" width="10.7109375" style="163" customWidth="1"/>
    <col min="15362" max="15362" width="16.7109375" style="163" bestFit="1" customWidth="1"/>
    <col min="15363" max="15364" width="16.85546875" style="163" bestFit="1" customWidth="1"/>
    <col min="15365" max="15365" width="11.5703125" style="163" bestFit="1" customWidth="1"/>
    <col min="15366" max="15616" width="8.85546875" style="163"/>
    <col min="15617" max="15617" width="10.7109375" style="163" customWidth="1"/>
    <col min="15618" max="15618" width="16.7109375" style="163" bestFit="1" customWidth="1"/>
    <col min="15619" max="15620" width="16.85546875" style="163" bestFit="1" customWidth="1"/>
    <col min="15621" max="15621" width="11.5703125" style="163" bestFit="1" customWidth="1"/>
    <col min="15622" max="15872" width="8.85546875" style="163"/>
    <col min="15873" max="15873" width="10.7109375" style="163" customWidth="1"/>
    <col min="15874" max="15874" width="16.7109375" style="163" bestFit="1" customWidth="1"/>
    <col min="15875" max="15876" width="16.85546875" style="163" bestFit="1" customWidth="1"/>
    <col min="15877" max="15877" width="11.5703125" style="163" bestFit="1" customWidth="1"/>
    <col min="15878" max="16128" width="8.85546875" style="163"/>
    <col min="16129" max="16129" width="10.7109375" style="163" customWidth="1"/>
    <col min="16130" max="16130" width="16.7109375" style="163" bestFit="1" customWidth="1"/>
    <col min="16131" max="16132" width="16.85546875" style="163" bestFit="1" customWidth="1"/>
    <col min="16133" max="16133" width="11.5703125" style="163" bestFit="1" customWidth="1"/>
    <col min="16134" max="16384" width="8.85546875" style="163"/>
  </cols>
  <sheetData>
    <row r="1" spans="1:14" x14ac:dyDescent="0.25">
      <c r="H1" s="163" t="s">
        <v>147</v>
      </c>
      <c r="I1" s="163" t="s">
        <v>147</v>
      </c>
    </row>
    <row r="2" spans="1:14" ht="16.5" thickBot="1" x14ac:dyDescent="0.3">
      <c r="A2" s="161"/>
      <c r="B2" s="162" t="s">
        <v>141</v>
      </c>
      <c r="C2" s="162" t="s">
        <v>142</v>
      </c>
      <c r="D2" s="162" t="s">
        <v>143</v>
      </c>
      <c r="E2" s="163" t="s">
        <v>144</v>
      </c>
      <c r="G2"/>
      <c r="H2" s="171" t="s">
        <v>145</v>
      </c>
      <c r="I2" s="171" t="s">
        <v>146</v>
      </c>
      <c r="J2"/>
    </row>
    <row r="3" spans="1:14" ht="15.75" thickBot="1" x14ac:dyDescent="0.3">
      <c r="A3" s="164">
        <v>40909</v>
      </c>
      <c r="B3" s="165">
        <v>174381.82</v>
      </c>
      <c r="C3" s="161">
        <v>1.2999999999999999E-3</v>
      </c>
      <c r="D3" s="166">
        <f t="shared" ref="D3:D14" si="0">B3/C3</f>
        <v>134139861.53846155</v>
      </c>
      <c r="E3" s="167">
        <f>134139861.54+(5510021/12)</f>
        <v>134599029.95666668</v>
      </c>
      <c r="F3" s="168">
        <f t="shared" ref="F3:F12" si="1">E3/D3</f>
        <v>1.0034230571952205</v>
      </c>
    </row>
    <row r="4" spans="1:14" ht="15.75" thickBot="1" x14ac:dyDescent="0.3">
      <c r="A4" s="164">
        <v>40940</v>
      </c>
      <c r="B4" s="165">
        <v>161479.18</v>
      </c>
      <c r="C4" s="161">
        <v>1.2999999999999999E-3</v>
      </c>
      <c r="D4" s="166">
        <f t="shared" si="0"/>
        <v>124214753.84615384</v>
      </c>
      <c r="E4" s="167">
        <f>124214753.85+(5510021/12)</f>
        <v>124673922.26666667</v>
      </c>
      <c r="F4" s="168">
        <f t="shared" si="1"/>
        <v>1.003696569097432</v>
      </c>
      <c r="K4" s="202" t="s">
        <v>167</v>
      </c>
      <c r="L4" s="203"/>
      <c r="M4" s="203"/>
      <c r="N4" s="204"/>
    </row>
    <row r="5" spans="1:14" x14ac:dyDescent="0.25">
      <c r="A5" s="164">
        <v>40969</v>
      </c>
      <c r="B5" s="165">
        <v>161700.04</v>
      </c>
      <c r="C5" s="161">
        <v>1.2999999999999999E-3</v>
      </c>
      <c r="D5" s="166">
        <f t="shared" si="0"/>
        <v>124384646.15384616</v>
      </c>
      <c r="E5" s="167">
        <f>124384646.15+(5510021/12)</f>
        <v>124843814.56666668</v>
      </c>
      <c r="F5" s="168">
        <f t="shared" si="1"/>
        <v>1.0036915200309577</v>
      </c>
      <c r="G5"/>
      <c r="H5"/>
      <c r="I5"/>
      <c r="J5"/>
      <c r="K5" s="156"/>
      <c r="L5" s="200"/>
      <c r="M5" s="201"/>
    </row>
    <row r="6" spans="1:14" x14ac:dyDescent="0.25">
      <c r="A6" s="164">
        <v>41000</v>
      </c>
      <c r="B6" s="165">
        <v>148915.67000000001</v>
      </c>
      <c r="C6" s="161">
        <v>1.2999999999999999E-3</v>
      </c>
      <c r="D6" s="166">
        <f t="shared" si="0"/>
        <v>114550515.38461541</v>
      </c>
      <c r="E6" s="167">
        <f>114550515.38+(27225356.55/9)+(5510021/12)</f>
        <v>118034723.41333333</v>
      </c>
      <c r="F6" s="168">
        <f t="shared" si="1"/>
        <v>1.0304163452867874</v>
      </c>
      <c r="G6" s="3">
        <v>41000</v>
      </c>
      <c r="H6" s="55">
        <v>67787.3857421875</v>
      </c>
      <c r="I6" s="55">
        <v>258380.8359375</v>
      </c>
      <c r="J6"/>
      <c r="K6" s="196">
        <f>SUM(H6:I6)</f>
        <v>326168.2216796875</v>
      </c>
      <c r="L6" s="189">
        <f>'WMP pivot'!J87</f>
        <v>3068109.5700000003</v>
      </c>
      <c r="M6" s="197">
        <f>L6-K6</f>
        <v>2741941.3483203128</v>
      </c>
    </row>
    <row r="7" spans="1:14" x14ac:dyDescent="0.25">
      <c r="A7" s="164">
        <v>41030</v>
      </c>
      <c r="B7" s="165">
        <v>132440.44</v>
      </c>
      <c r="C7" s="161">
        <v>1.1000000000000001E-3</v>
      </c>
      <c r="D7" s="166">
        <f t="shared" si="0"/>
        <v>120400400</v>
      </c>
      <c r="E7" s="167">
        <f>120400400+(27225356.55/9)+(5510021/12)</f>
        <v>123884608.03333333</v>
      </c>
      <c r="F7" s="168">
        <f t="shared" si="1"/>
        <v>1.0289385087867926</v>
      </c>
      <c r="G7" s="3">
        <v>41030</v>
      </c>
      <c r="H7" s="55">
        <v>700469.689453125</v>
      </c>
      <c r="I7" s="55">
        <v>2669935.40625</v>
      </c>
      <c r="J7"/>
      <c r="K7" s="196">
        <f t="shared" ref="K7:K14" si="2">SUM(H7:I7)</f>
        <v>3370405.095703125</v>
      </c>
      <c r="L7" s="189">
        <f>'WMP pivot'!J88</f>
        <v>4280789.9071008703</v>
      </c>
      <c r="M7" s="197">
        <f t="shared" ref="M7:M14" si="3">L7-K7</f>
        <v>910384.81139774527</v>
      </c>
    </row>
    <row r="8" spans="1:14" x14ac:dyDescent="0.25">
      <c r="A8" s="164">
        <v>41061</v>
      </c>
      <c r="B8" s="165">
        <v>140109.88</v>
      </c>
      <c r="C8" s="161">
        <v>1.1000000000000001E-3</v>
      </c>
      <c r="D8" s="166">
        <f t="shared" si="0"/>
        <v>127372618.18181817</v>
      </c>
      <c r="E8" s="167">
        <f>127372618.18+(27225356.55/9)+(5510021/12)</f>
        <v>130856826.21333334</v>
      </c>
      <c r="F8" s="168">
        <f t="shared" si="1"/>
        <v>1.0273544509114323</v>
      </c>
      <c r="G8" s="3">
        <v>41061</v>
      </c>
      <c r="H8" s="55">
        <v>782500.70202636695</v>
      </c>
      <c r="I8" s="55">
        <v>2879601.4453125</v>
      </c>
      <c r="J8"/>
      <c r="K8" s="196">
        <f t="shared" si="2"/>
        <v>3662102.1473388672</v>
      </c>
      <c r="L8" s="189">
        <f>'WMP pivot'!J89</f>
        <v>4002940.7091250243</v>
      </c>
      <c r="M8" s="197">
        <f t="shared" si="3"/>
        <v>340838.56178615708</v>
      </c>
    </row>
    <row r="9" spans="1:14" x14ac:dyDescent="0.25">
      <c r="A9" s="164">
        <v>41091</v>
      </c>
      <c r="B9" s="165">
        <v>155929.24</v>
      </c>
      <c r="C9" s="161">
        <v>1.1000000000000001E-3</v>
      </c>
      <c r="D9" s="166">
        <f t="shared" si="0"/>
        <v>141753854.54545453</v>
      </c>
      <c r="E9" s="167">
        <f>141753854.55+(27225356.55/9)+(5510021/12)</f>
        <v>145238062.58333334</v>
      </c>
      <c r="F9" s="168">
        <f t="shared" si="1"/>
        <v>1.0245792825108793</v>
      </c>
      <c r="G9" s="3">
        <v>41091</v>
      </c>
      <c r="H9" s="55">
        <v>1256470.6435546901</v>
      </c>
      <c r="I9" s="55">
        <v>3110758.4609375</v>
      </c>
      <c r="J9"/>
      <c r="K9" s="196">
        <f t="shared" si="2"/>
        <v>4367229.1044921903</v>
      </c>
      <c r="L9" s="189">
        <f>'WMP pivot'!J90</f>
        <v>4456275.6369364038</v>
      </c>
      <c r="M9" s="197">
        <f t="shared" si="3"/>
        <v>89046.532444213517</v>
      </c>
    </row>
    <row r="10" spans="1:14" x14ac:dyDescent="0.25">
      <c r="A10" s="164">
        <v>41122</v>
      </c>
      <c r="B10" s="165">
        <v>146129.07</v>
      </c>
      <c r="C10" s="161">
        <v>1.1000000000000001E-3</v>
      </c>
      <c r="D10" s="166">
        <f t="shared" si="0"/>
        <v>132844609.09090909</v>
      </c>
      <c r="E10" s="167">
        <f>132844609.09+(27225356.55/9)+(5510021/12)</f>
        <v>136328817.12333333</v>
      </c>
      <c r="F10" s="168">
        <f t="shared" si="1"/>
        <v>1.0262276960748924</v>
      </c>
      <c r="G10" s="3">
        <v>41122</v>
      </c>
      <c r="H10" s="55">
        <v>1188273.4082031299</v>
      </c>
      <c r="I10" s="55">
        <v>3021567.5546875</v>
      </c>
      <c r="J10"/>
      <c r="K10" s="196">
        <f t="shared" si="2"/>
        <v>4209840.9628906297</v>
      </c>
      <c r="L10" s="189">
        <f>'WMP pivot'!J91</f>
        <v>4204469.1301214648</v>
      </c>
      <c r="M10" s="197">
        <f t="shared" si="3"/>
        <v>-5371.8327691648155</v>
      </c>
    </row>
    <row r="11" spans="1:14" x14ac:dyDescent="0.25">
      <c r="A11" s="164">
        <v>41153</v>
      </c>
      <c r="B11" s="165">
        <v>126505.97</v>
      </c>
      <c r="C11" s="161">
        <v>1.1000000000000001E-3</v>
      </c>
      <c r="D11" s="166">
        <f t="shared" si="0"/>
        <v>115005427.27272727</v>
      </c>
      <c r="E11" s="167">
        <f>115005427.27+(27225356.55/9)+(5510021/12)</f>
        <v>118489635.30333333</v>
      </c>
      <c r="F11" s="168">
        <f t="shared" si="1"/>
        <v>1.0302960313546203</v>
      </c>
      <c r="G11" s="3">
        <v>41153</v>
      </c>
      <c r="H11" s="55">
        <v>1069094.2998046901</v>
      </c>
      <c r="I11" s="55">
        <v>2762527.546875</v>
      </c>
      <c r="J11"/>
      <c r="K11" s="196">
        <f t="shared" si="2"/>
        <v>3831621.8466796903</v>
      </c>
      <c r="L11" s="189">
        <f>'WMP pivot'!J92</f>
        <v>3823441.8692706958</v>
      </c>
      <c r="M11" s="197">
        <f t="shared" si="3"/>
        <v>-8179.9774089944549</v>
      </c>
    </row>
    <row r="12" spans="1:14" x14ac:dyDescent="0.25">
      <c r="A12" s="164">
        <v>41183</v>
      </c>
      <c r="B12" s="165">
        <v>128641.37</v>
      </c>
      <c r="C12" s="161">
        <v>1.1000000000000001E-3</v>
      </c>
      <c r="D12" s="166">
        <f t="shared" si="0"/>
        <v>116946699.99999999</v>
      </c>
      <c r="E12" s="167">
        <f>116946700+(27225356.55/9)+(5510021/12)</f>
        <v>120430908.03333333</v>
      </c>
      <c r="F12" s="168">
        <f t="shared" si="1"/>
        <v>1.0297931282655548</v>
      </c>
      <c r="G12" s="3">
        <v>41183</v>
      </c>
      <c r="H12" s="55">
        <v>1034545.109375</v>
      </c>
      <c r="I12" s="55">
        <v>2660561.75</v>
      </c>
      <c r="J12"/>
      <c r="K12" s="196">
        <f t="shared" si="2"/>
        <v>3695106.859375</v>
      </c>
      <c r="L12" s="189">
        <f>'WMP pivot'!J93</f>
        <v>3686580.7537210681</v>
      </c>
      <c r="M12" s="197">
        <f t="shared" si="3"/>
        <v>-8526.1056539318524</v>
      </c>
    </row>
    <row r="13" spans="1:14" x14ac:dyDescent="0.25">
      <c r="A13" s="164">
        <v>41214</v>
      </c>
      <c r="B13" s="165">
        <v>132763.19</v>
      </c>
      <c r="C13" s="161">
        <v>1.1000000000000001E-3</v>
      </c>
      <c r="D13" s="166">
        <f t="shared" si="0"/>
        <v>120693809.09090908</v>
      </c>
      <c r="E13" s="167">
        <f>120693809.09+(27225356.55/9)+(5510021/12)</f>
        <v>124178017.12333333</v>
      </c>
      <c r="F13" s="168">
        <f>E13/D13</f>
        <v>1.028868158679124</v>
      </c>
      <c r="G13" s="3">
        <v>41214</v>
      </c>
      <c r="H13" s="55">
        <v>952492.15625</v>
      </c>
      <c r="I13" s="55">
        <v>2487313.7421875</v>
      </c>
      <c r="J13"/>
      <c r="K13" s="196">
        <f t="shared" si="2"/>
        <v>3439805.8984375</v>
      </c>
      <c r="L13" s="189">
        <f>'WMP pivot'!J94</f>
        <v>3435397.2584457616</v>
      </c>
      <c r="M13" s="197">
        <f t="shared" si="3"/>
        <v>-4408.6399917383678</v>
      </c>
    </row>
    <row r="14" spans="1:14" ht="15.75" thickBot="1" x14ac:dyDescent="0.3">
      <c r="A14" s="164">
        <v>41244</v>
      </c>
      <c r="B14" s="165">
        <v>133703.64000000001</v>
      </c>
      <c r="C14" s="161">
        <v>1.1000000000000001E-3</v>
      </c>
      <c r="D14" s="166">
        <f t="shared" si="0"/>
        <v>121548763.63636364</v>
      </c>
      <c r="E14" s="167">
        <f>121548763.64+(27225356.55/9)+(5510021/12)</f>
        <v>125032971.67333333</v>
      </c>
      <c r="F14" s="168">
        <f>E14/D14</f>
        <v>1.0286651047096897</v>
      </c>
      <c r="G14" s="3">
        <v>41244</v>
      </c>
      <c r="H14" s="55">
        <v>952805.85986328102</v>
      </c>
      <c r="I14" s="55">
        <v>2498976.2109375</v>
      </c>
      <c r="J14"/>
      <c r="K14" s="196">
        <f t="shared" si="2"/>
        <v>3451782.0708007813</v>
      </c>
      <c r="L14" s="189">
        <f>'WMP pivot'!J95</f>
        <v>3448510.9882503077</v>
      </c>
      <c r="M14" s="197">
        <f t="shared" si="3"/>
        <v>-3271.0825504735112</v>
      </c>
    </row>
    <row r="15" spans="1:14" ht="15.75" thickBot="1" x14ac:dyDescent="0.3">
      <c r="C15" s="169">
        <v>1493743421</v>
      </c>
      <c r="D15" s="170">
        <f>SUM(D3:D14)</f>
        <v>1493855958.7412589</v>
      </c>
      <c r="E15" s="170">
        <f>D15-C15</f>
        <v>112537.74125885963</v>
      </c>
      <c r="G15" t="s">
        <v>91</v>
      </c>
      <c r="H15" s="172">
        <f>SUM(H6:H14)</f>
        <v>8004439.2542724712</v>
      </c>
      <c r="I15" s="172">
        <f>SUM(I6:I14)</f>
        <v>22349622.953125</v>
      </c>
      <c r="J15" s="195">
        <f>H15+I15</f>
        <v>30354062.207397472</v>
      </c>
      <c r="K15" s="158"/>
      <c r="L15" s="198"/>
      <c r="M15" s="199">
        <f>SUM(M6:M14)</f>
        <v>4052453.6155741257</v>
      </c>
    </row>
    <row r="16" spans="1:14" x14ac:dyDescent="0.25">
      <c r="K16"/>
    </row>
    <row r="17" spans="7:11" x14ac:dyDescent="0.25">
      <c r="G17"/>
      <c r="H17" s="112" t="s">
        <v>165</v>
      </c>
      <c r="I17"/>
      <c r="J17"/>
      <c r="K17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X109"/>
  <sheetViews>
    <sheetView topLeftCell="A55" workbookViewId="0">
      <selection activeCell="B6" sqref="B6:B13"/>
    </sheetView>
  </sheetViews>
  <sheetFormatPr defaultRowHeight="12.75" x14ac:dyDescent="0.2"/>
  <cols>
    <col min="1" max="1" width="21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2.5703125" style="6" customWidth="1"/>
    <col min="13" max="13" width="11.28515625" style="6" customWidth="1"/>
    <col min="14" max="14" width="12.42578125" style="6" customWidth="1"/>
    <col min="15" max="15" width="16.85546875" style="6" bestFit="1" customWidth="1"/>
    <col min="16" max="18" width="16.85546875" style="6" customWidth="1"/>
    <col min="19" max="19" width="14.28515625" style="6" customWidth="1"/>
    <col min="20" max="20" width="12.7109375" style="6" bestFit="1" customWidth="1"/>
    <col min="21" max="21" width="11.7109375" style="6" bestFit="1" customWidth="1"/>
    <col min="22" max="22" width="14" style="6" customWidth="1"/>
    <col min="23" max="23" width="10.140625" style="6" bestFit="1" customWidth="1"/>
    <col min="24" max="24" width="12.7109375" style="6" bestFit="1" customWidth="1"/>
  </cols>
  <sheetData>
    <row r="2" spans="1:24" ht="51" x14ac:dyDescent="0.2">
      <c r="B2" s="2" t="s">
        <v>9</v>
      </c>
      <c r="C2" s="2" t="s">
        <v>10</v>
      </c>
      <c r="D2" s="2" t="s">
        <v>44</v>
      </c>
      <c r="E2" s="2" t="s">
        <v>11</v>
      </c>
      <c r="F2" s="2" t="s">
        <v>0</v>
      </c>
      <c r="G2" s="7" t="s">
        <v>3</v>
      </c>
      <c r="H2" s="45" t="s">
        <v>1</v>
      </c>
      <c r="I2" s="46" t="s">
        <v>61</v>
      </c>
      <c r="J2" s="231" t="s">
        <v>62</v>
      </c>
      <c r="K2" s="231" t="s">
        <v>63</v>
      </c>
      <c r="L2" s="115" t="s">
        <v>113</v>
      </c>
      <c r="M2" s="47" t="s">
        <v>66</v>
      </c>
      <c r="N2" s="47" t="s">
        <v>195</v>
      </c>
      <c r="O2" s="47" t="s">
        <v>2</v>
      </c>
      <c r="P2" s="119" t="s">
        <v>205</v>
      </c>
      <c r="Q2" s="119" t="s">
        <v>206</v>
      </c>
      <c r="R2" s="119" t="s">
        <v>207</v>
      </c>
      <c r="S2" s="119" t="s">
        <v>203</v>
      </c>
      <c r="U2" s="119" t="s">
        <v>204</v>
      </c>
      <c r="V2" s="115" t="s">
        <v>112</v>
      </c>
    </row>
    <row r="4" spans="1:24" x14ac:dyDescent="0.2">
      <c r="A4" s="16"/>
      <c r="B4" s="40" t="s">
        <v>46</v>
      </c>
    </row>
    <row r="5" spans="1:24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217">
        <f>'Purchased Power Model'!A154</f>
        <v>2010</v>
      </c>
      <c r="B6" s="6">
        <f>'Purchased Power Model'!I154-'Purchased Power Model'!H154</f>
        <v>1761921851.4400003</v>
      </c>
      <c r="C6" s="6">
        <f>'Purchased Power Model'!Z154</f>
        <v>1754738833.941493</v>
      </c>
      <c r="D6" s="36">
        <f t="shared" ref="D6:D13" si="0">C6-B6</f>
        <v>-7183017.4985072613</v>
      </c>
      <c r="E6" s="5">
        <f t="shared" ref="E6:E13" si="1">D6/B6</f>
        <v>-4.0768082265604782E-3</v>
      </c>
      <c r="F6" s="22">
        <f t="shared" ref="F6:F13" si="2">1 +(B6-G6)/G6</f>
        <v>1.0358950481783462</v>
      </c>
      <c r="G6" s="25">
        <f t="shared" ref="G6:G13" si="3">SUM(H6:S6)</f>
        <v>1700869074.0808105</v>
      </c>
      <c r="H6" s="25">
        <f t="shared" ref="H6:I13" si="4">H20+H30</f>
        <v>476486462.39498103</v>
      </c>
      <c r="I6" s="25">
        <f t="shared" si="4"/>
        <v>199237830.35864899</v>
      </c>
      <c r="J6" s="25">
        <f t="shared" ref="J6:P6" si="5">J20+J30</f>
        <v>486523861.41307795</v>
      </c>
      <c r="K6" s="25">
        <f t="shared" si="5"/>
        <v>250459340.058624</v>
      </c>
      <c r="L6" s="25">
        <f t="shared" si="5"/>
        <v>196557280.622706</v>
      </c>
      <c r="M6" s="25">
        <f t="shared" si="5"/>
        <v>11228686.4925451</v>
      </c>
      <c r="N6" s="25">
        <f t="shared" si="5"/>
        <v>175284.4</v>
      </c>
      <c r="O6" s="25">
        <f t="shared" si="5"/>
        <v>2609944.9105078499</v>
      </c>
      <c r="P6" s="25">
        <f t="shared" si="5"/>
        <v>373339</v>
      </c>
      <c r="Q6" s="25">
        <f t="shared" ref="Q6:R6" si="6">Q20+Q30</f>
        <v>13348829.459999999</v>
      </c>
      <c r="R6" s="25">
        <f t="shared" si="6"/>
        <v>50253229.850000001</v>
      </c>
      <c r="S6" s="25">
        <f>S20</f>
        <v>13614985.1197195</v>
      </c>
      <c r="V6" s="25">
        <f t="shared" ref="V6:V13" si="7">V20+V30</f>
        <v>43796746.469999999</v>
      </c>
    </row>
    <row r="7" spans="1:24" x14ac:dyDescent="0.2">
      <c r="A7" s="217">
        <f>'Purchased Power Model'!A155</f>
        <v>2011</v>
      </c>
      <c r="B7" s="6">
        <f>'Purchased Power Model'!I155-'Purchased Power Model'!H155</f>
        <v>1767032100.7299998</v>
      </c>
      <c r="C7" s="6">
        <f>'Purchased Power Model'!Z155</f>
        <v>1774007371.5704544</v>
      </c>
      <c r="D7" s="36">
        <f t="shared" si="0"/>
        <v>6975270.8404545784</v>
      </c>
      <c r="E7" s="5">
        <f t="shared" si="1"/>
        <v>3.9474499855282428E-3</v>
      </c>
      <c r="F7" s="22">
        <f t="shared" si="2"/>
        <v>1.0360871937936311</v>
      </c>
      <c r="G7" s="25">
        <f t="shared" si="3"/>
        <v>1705485900.5254331</v>
      </c>
      <c r="H7" s="25">
        <f t="shared" si="4"/>
        <v>478456723.38740706</v>
      </c>
      <c r="I7" s="25">
        <f t="shared" si="4"/>
        <v>194492494.32360297</v>
      </c>
      <c r="J7" s="25">
        <f t="shared" ref="J7:P13" si="8">J21+J31</f>
        <v>500487577.54214203</v>
      </c>
      <c r="K7" s="25">
        <f t="shared" si="8"/>
        <v>269851932.18712997</v>
      </c>
      <c r="L7" s="25">
        <f t="shared" si="8"/>
        <v>169195800.19187</v>
      </c>
      <c r="M7" s="25">
        <f t="shared" si="8"/>
        <v>11229392.51389375</v>
      </c>
      <c r="N7" s="25">
        <f t="shared" si="8"/>
        <v>164006.01</v>
      </c>
      <c r="O7" s="25">
        <f t="shared" si="8"/>
        <v>2512918.5874618399</v>
      </c>
      <c r="P7" s="25">
        <f t="shared" si="8"/>
        <v>373339</v>
      </c>
      <c r="Q7" s="25">
        <f t="shared" ref="Q7:R7" si="9">Q21+Q31</f>
        <v>13695349.587000001</v>
      </c>
      <c r="R7" s="25">
        <f t="shared" si="9"/>
        <v>51547773.450000003</v>
      </c>
      <c r="S7" s="25">
        <f t="shared" ref="S7:S13" si="10">S21</f>
        <v>13478593.7449254</v>
      </c>
      <c r="V7" s="25">
        <f t="shared" si="7"/>
        <v>46753740.939999998</v>
      </c>
    </row>
    <row r="8" spans="1:24" x14ac:dyDescent="0.2">
      <c r="A8" s="217">
        <f>'Purchased Power Model'!A156</f>
        <v>2012</v>
      </c>
      <c r="B8" s="6">
        <f>'Purchased Power Model'!I156-'Purchased Power Model'!H156</f>
        <v>1775157463.7770283</v>
      </c>
      <c r="C8" s="6">
        <f>'Purchased Power Model'!Z156</f>
        <v>1787028754.77142</v>
      </c>
      <c r="D8" s="36">
        <f t="shared" si="0"/>
        <v>11871290.99439168</v>
      </c>
      <c r="E8" s="5">
        <f t="shared" si="1"/>
        <v>6.6874580067578689E-3</v>
      </c>
      <c r="F8" s="22">
        <f t="shared" si="2"/>
        <v>1.03120504335467</v>
      </c>
      <c r="G8" s="25">
        <f t="shared" si="3"/>
        <v>1721439858.3643131</v>
      </c>
      <c r="H8" s="25">
        <f t="shared" si="4"/>
        <v>479247117.86883599</v>
      </c>
      <c r="I8" s="25">
        <f t="shared" si="4"/>
        <v>194297828.73600498</v>
      </c>
      <c r="J8" s="25">
        <f t="shared" si="8"/>
        <v>501135344.831294</v>
      </c>
      <c r="K8" s="25">
        <f t="shared" si="8"/>
        <v>256008218.77028799</v>
      </c>
      <c r="L8" s="25">
        <f t="shared" si="8"/>
        <v>201189505.21250001</v>
      </c>
      <c r="M8" s="25">
        <f t="shared" si="8"/>
        <v>11359958.941223141</v>
      </c>
      <c r="N8" s="25">
        <f t="shared" si="8"/>
        <v>178406.38999999998</v>
      </c>
      <c r="O8" s="25">
        <f t="shared" si="8"/>
        <v>2457457.59674505</v>
      </c>
      <c r="P8" s="25">
        <f t="shared" si="8"/>
        <v>374823</v>
      </c>
      <c r="Q8" s="25">
        <f t="shared" ref="Q8:R8" si="11">Q22+Q32</f>
        <v>9863706.6199999992</v>
      </c>
      <c r="R8" s="25">
        <f t="shared" si="11"/>
        <v>52318961.540000007</v>
      </c>
      <c r="S8" s="25">
        <f t="shared" si="10"/>
        <v>13008528.857421899</v>
      </c>
      <c r="V8" s="25">
        <f t="shared" si="7"/>
        <v>45452655.189999998</v>
      </c>
    </row>
    <row r="9" spans="1:24" x14ac:dyDescent="0.2">
      <c r="A9" s="217">
        <f>'Purchased Power Model'!A157</f>
        <v>2013</v>
      </c>
      <c r="B9" s="6">
        <f>'Purchased Power Model'!I157-'Purchased Power Model'!H157</f>
        <v>1780674124.0000002</v>
      </c>
      <c r="C9" s="6">
        <f>'Purchased Power Model'!Z157</f>
        <v>1767005562.2187479</v>
      </c>
      <c r="D9" s="36">
        <f t="shared" si="0"/>
        <v>-13668561.781252384</v>
      </c>
      <c r="E9" s="5">
        <f t="shared" si="1"/>
        <v>-7.6760602049678476E-3</v>
      </c>
      <c r="F9" s="22">
        <f t="shared" si="2"/>
        <v>1.0201625089689037</v>
      </c>
      <c r="G9" s="25">
        <f t="shared" si="3"/>
        <v>1745480850.6928558</v>
      </c>
      <c r="H9" s="25">
        <f t="shared" si="4"/>
        <v>464848342.57999998</v>
      </c>
      <c r="I9" s="25">
        <f t="shared" si="4"/>
        <v>193717266.88</v>
      </c>
      <c r="J9" s="25">
        <f t="shared" si="8"/>
        <v>518348767.14387101</v>
      </c>
      <c r="K9" s="25">
        <f t="shared" si="8"/>
        <v>270280542.79000002</v>
      </c>
      <c r="L9" s="25">
        <f t="shared" si="8"/>
        <v>204906256.95999998</v>
      </c>
      <c r="M9" s="25">
        <f t="shared" si="8"/>
        <v>11262943.219999999</v>
      </c>
      <c r="N9" s="25">
        <f t="shared" si="8"/>
        <v>152803.15</v>
      </c>
      <c r="O9" s="25">
        <f t="shared" si="8"/>
        <v>2430644.8189845476</v>
      </c>
      <c r="P9" s="25">
        <f t="shared" si="8"/>
        <v>356273</v>
      </c>
      <c r="Q9" s="25">
        <f t="shared" ref="Q9:R9" si="12">Q23+Q33</f>
        <v>13883197</v>
      </c>
      <c r="R9" s="25">
        <f t="shared" si="12"/>
        <v>52117101.93</v>
      </c>
      <c r="S9" s="25">
        <f t="shared" si="10"/>
        <v>13176711.219999999</v>
      </c>
      <c r="U9" s="6">
        <f>U23</f>
        <v>45983609.929999992</v>
      </c>
      <c r="V9" s="25">
        <f t="shared" si="7"/>
        <v>43073849.080000006</v>
      </c>
    </row>
    <row r="10" spans="1:24" x14ac:dyDescent="0.2">
      <c r="A10" s="217">
        <f>'Purchased Power Model'!A158</f>
        <v>2014</v>
      </c>
      <c r="B10" s="6">
        <f>'Purchased Power Model'!I158-'Purchased Power Model'!H158</f>
        <v>1782419695</v>
      </c>
      <c r="C10" s="6">
        <f>'Purchased Power Model'!Z158</f>
        <v>1748217172.9203961</v>
      </c>
      <c r="D10" s="36">
        <f t="shared" si="0"/>
        <v>-34202522.07960391</v>
      </c>
      <c r="E10" s="5">
        <f t="shared" si="1"/>
        <v>-1.9188815168250207E-2</v>
      </c>
      <c r="F10" s="22">
        <f t="shared" si="2"/>
        <v>1.0300442866551462</v>
      </c>
      <c r="G10" s="25">
        <f t="shared" si="3"/>
        <v>1730430155.3751984</v>
      </c>
      <c r="H10" s="25">
        <f t="shared" si="4"/>
        <v>477025968.10000002</v>
      </c>
      <c r="I10" s="25">
        <f t="shared" si="4"/>
        <v>198149244.67199999</v>
      </c>
      <c r="J10" s="25">
        <f t="shared" si="8"/>
        <v>494277241.77838707</v>
      </c>
      <c r="K10" s="25">
        <f t="shared" si="8"/>
        <v>263042175.85000002</v>
      </c>
      <c r="L10" s="25">
        <f t="shared" si="8"/>
        <v>205265394.56999999</v>
      </c>
      <c r="M10" s="25">
        <f t="shared" si="8"/>
        <v>11406115.66</v>
      </c>
      <c r="N10" s="25">
        <f t="shared" si="8"/>
        <v>146515.24000000002</v>
      </c>
      <c r="O10" s="25">
        <f t="shared" si="8"/>
        <v>2451441.9548110636</v>
      </c>
      <c r="P10" s="25">
        <f t="shared" si="8"/>
        <v>338022</v>
      </c>
      <c r="Q10" s="25">
        <f t="shared" ref="Q10:R10" si="13">Q24+Q34</f>
        <v>12996387</v>
      </c>
      <c r="R10" s="25">
        <f t="shared" si="13"/>
        <v>51485741.349999994</v>
      </c>
      <c r="S10" s="25">
        <f t="shared" si="10"/>
        <v>13845907.199999999</v>
      </c>
      <c r="U10" s="6">
        <f t="shared" ref="U10:U13" si="14">U24</f>
        <v>58781039.110000007</v>
      </c>
      <c r="V10" s="25">
        <f t="shared" si="7"/>
        <v>41667982.329999998</v>
      </c>
    </row>
    <row r="11" spans="1:24" x14ac:dyDescent="0.2">
      <c r="A11" s="217">
        <f>'Purchased Power Model'!A159</f>
        <v>2015</v>
      </c>
      <c r="B11" s="6">
        <f>'Purchased Power Model'!I159-'Purchased Power Model'!H159</f>
        <v>1777379399.230386</v>
      </c>
      <c r="C11" s="6">
        <f>'Purchased Power Model'!Z159</f>
        <v>1760138786.0988028</v>
      </c>
      <c r="D11" s="36">
        <f t="shared" si="0"/>
        <v>-17240613.131583214</v>
      </c>
      <c r="E11" s="5">
        <f t="shared" si="1"/>
        <v>-9.7000185436201657E-3</v>
      </c>
      <c r="F11" s="22">
        <f t="shared" si="2"/>
        <v>1.0155378037361846</v>
      </c>
      <c r="G11" s="25">
        <f t="shared" si="3"/>
        <v>1750185362.5649092</v>
      </c>
      <c r="H11" s="25">
        <f t="shared" si="4"/>
        <v>486541295.97806096</v>
      </c>
      <c r="I11" s="25">
        <f t="shared" si="4"/>
        <v>203100575.02300143</v>
      </c>
      <c r="J11" s="25">
        <f t="shared" si="8"/>
        <v>485904145.62462068</v>
      </c>
      <c r="K11" s="25">
        <f t="shared" si="8"/>
        <v>263255329.52904668</v>
      </c>
      <c r="L11" s="25">
        <f t="shared" si="8"/>
        <v>207374361.59</v>
      </c>
      <c r="M11" s="25">
        <f t="shared" si="8"/>
        <v>11394265.718750002</v>
      </c>
      <c r="N11" s="25">
        <f t="shared" si="8"/>
        <v>142708.41887585534</v>
      </c>
      <c r="O11" s="25">
        <f t="shared" si="8"/>
        <v>2413613.7725536497</v>
      </c>
      <c r="P11" s="25">
        <f t="shared" si="8"/>
        <v>352067.78</v>
      </c>
      <c r="Q11" s="25">
        <f t="shared" ref="Q11:R11" si="15">Q25+Q35</f>
        <v>13819341.6</v>
      </c>
      <c r="R11" s="25">
        <f t="shared" si="15"/>
        <v>62339455.030000001</v>
      </c>
      <c r="S11" s="25">
        <f t="shared" si="10"/>
        <v>13548202.5</v>
      </c>
      <c r="U11" s="6">
        <f t="shared" si="14"/>
        <v>60363735.780000001</v>
      </c>
      <c r="V11" s="25">
        <f t="shared" si="7"/>
        <v>41569997.659999996</v>
      </c>
    </row>
    <row r="12" spans="1:24" x14ac:dyDescent="0.2">
      <c r="A12" s="217">
        <f>'Purchased Power Model'!A160</f>
        <v>2016</v>
      </c>
      <c r="B12" s="6">
        <f>'Purchased Power Model'!I160-'Purchased Power Model'!H160</f>
        <v>1722187255.9999998</v>
      </c>
      <c r="C12" s="6">
        <f>'Purchased Power Model'!Z160</f>
        <v>1708419635.3160131</v>
      </c>
      <c r="D12" s="36">
        <f t="shared" si="0"/>
        <v>-13767620.683986664</v>
      </c>
      <c r="E12" s="5">
        <f t="shared" si="1"/>
        <v>-7.9942646399345247E-3</v>
      </c>
      <c r="F12" s="22">
        <f t="shared" si="2"/>
        <v>1.0271798679874402</v>
      </c>
      <c r="G12" s="25">
        <f t="shared" si="3"/>
        <v>1676617026.5528002</v>
      </c>
      <c r="H12" s="25">
        <f t="shared" si="4"/>
        <v>479944151.9611001</v>
      </c>
      <c r="I12" s="25">
        <f t="shared" si="4"/>
        <v>212807518.98150003</v>
      </c>
      <c r="J12" s="25">
        <f t="shared" si="8"/>
        <v>484199963.40020001</v>
      </c>
      <c r="K12" s="25">
        <f t="shared" si="8"/>
        <v>261804628.41999996</v>
      </c>
      <c r="L12" s="25">
        <f t="shared" si="8"/>
        <v>151250311.81999996</v>
      </c>
      <c r="M12" s="25">
        <f t="shared" si="8"/>
        <v>11108606.15000003</v>
      </c>
      <c r="N12" s="25">
        <f t="shared" si="8"/>
        <v>136701.00000000009</v>
      </c>
      <c r="O12" s="25">
        <f t="shared" si="8"/>
        <v>2346837.5999999996</v>
      </c>
      <c r="P12" s="25">
        <f t="shared" si="8"/>
        <v>380114.44</v>
      </c>
      <c r="Q12" s="25">
        <f t="shared" ref="Q12:R13" si="16">Q26+Q36</f>
        <v>13560291.5</v>
      </c>
      <c r="R12" s="25">
        <f t="shared" si="16"/>
        <v>46050289.200000003</v>
      </c>
      <c r="S12" s="25">
        <f t="shared" si="10"/>
        <v>13027612.079999994</v>
      </c>
      <c r="U12" s="6">
        <f t="shared" si="14"/>
        <v>61404043.760000005</v>
      </c>
      <c r="V12" s="25">
        <f t="shared" si="7"/>
        <v>42104477.210000001</v>
      </c>
    </row>
    <row r="13" spans="1:24" x14ac:dyDescent="0.2">
      <c r="A13" s="217">
        <f>'Purchased Power Model'!A161</f>
        <v>2017</v>
      </c>
      <c r="B13" s="6">
        <f>'Purchased Power Model'!I161-'Purchased Power Model'!H161</f>
        <v>1643582346.5518768</v>
      </c>
      <c r="C13" s="6">
        <f>'Purchased Power Model'!Z161</f>
        <v>1657349967.2358639</v>
      </c>
      <c r="D13" s="36">
        <f t="shared" si="0"/>
        <v>13767620.683987141</v>
      </c>
      <c r="E13" s="5">
        <f t="shared" si="1"/>
        <v>8.3765931855319976E-3</v>
      </c>
      <c r="F13" s="22">
        <f t="shared" si="2"/>
        <v>1.0293782012671415</v>
      </c>
      <c r="G13" s="25">
        <f t="shared" si="3"/>
        <v>1596674909.6966147</v>
      </c>
      <c r="H13" s="25">
        <f t="shared" si="4"/>
        <v>453855074.99999994</v>
      </c>
      <c r="I13" s="25">
        <f t="shared" si="4"/>
        <v>189005847.53</v>
      </c>
      <c r="J13" s="25">
        <f t="shared" si="8"/>
        <v>487037521.93633008</v>
      </c>
      <c r="K13" s="25">
        <f t="shared" si="8"/>
        <v>241351905.12511182</v>
      </c>
      <c r="L13" s="25">
        <f t="shared" si="8"/>
        <v>146226388.16</v>
      </c>
      <c r="M13" s="25">
        <f t="shared" si="8"/>
        <v>8378434.2200000007</v>
      </c>
      <c r="N13" s="25">
        <f t="shared" si="8"/>
        <v>126989</v>
      </c>
      <c r="O13" s="25">
        <f t="shared" si="8"/>
        <v>2273987.9970972422</v>
      </c>
      <c r="P13" s="25">
        <f t="shared" si="8"/>
        <v>347756.59287776717</v>
      </c>
      <c r="Q13" s="25">
        <f t="shared" si="16"/>
        <v>12191720.381133871</v>
      </c>
      <c r="R13" s="25">
        <f t="shared" si="16"/>
        <v>43274121.534063838</v>
      </c>
      <c r="S13" s="25">
        <f t="shared" si="10"/>
        <v>12605162.219999999</v>
      </c>
      <c r="U13" s="6">
        <f t="shared" si="14"/>
        <v>58104381.490000002</v>
      </c>
      <c r="V13" s="25">
        <f t="shared" si="7"/>
        <v>39682870.949999996</v>
      </c>
    </row>
    <row r="14" spans="1:24" x14ac:dyDescent="0.2">
      <c r="A14" s="217">
        <f>'Purchased Power Model'!A162</f>
        <v>2018</v>
      </c>
      <c r="B14" s="6"/>
      <c r="C14" s="19">
        <f>'Purchased Power Model'!Z162</f>
        <v>1658697867.5955088</v>
      </c>
      <c r="D14" s="160"/>
      <c r="E14" s="160"/>
      <c r="F14" s="160"/>
      <c r="G14" s="19">
        <f>C14/$F$17</f>
        <v>1613227055.7823238</v>
      </c>
      <c r="H14"/>
      <c r="I14"/>
      <c r="J14"/>
      <c r="K14"/>
      <c r="L14"/>
      <c r="M14"/>
      <c r="N14"/>
      <c r="O14"/>
      <c r="P14"/>
      <c r="Q14"/>
      <c r="R14"/>
      <c r="S14"/>
      <c r="V14"/>
    </row>
    <row r="15" spans="1:24" x14ac:dyDescent="0.2">
      <c r="A15" s="217">
        <f>'Purchased Power Model'!A163</f>
        <v>2019</v>
      </c>
      <c r="B15" s="6"/>
      <c r="C15" s="19">
        <f>'Purchased Power Model'!Z163</f>
        <v>1665199220.6854582</v>
      </c>
      <c r="D15" s="160"/>
      <c r="E15" s="160"/>
      <c r="F15" s="160"/>
      <c r="G15" s="19">
        <f>C15/$F$17</f>
        <v>1619550183.6459317</v>
      </c>
      <c r="H15"/>
      <c r="I15"/>
      <c r="J15"/>
      <c r="K15"/>
      <c r="L15"/>
      <c r="M15"/>
      <c r="N15"/>
      <c r="O15"/>
      <c r="P15"/>
      <c r="Q15"/>
      <c r="R15"/>
      <c r="S15"/>
      <c r="V15"/>
    </row>
    <row r="16" spans="1:24" x14ac:dyDescent="0.2"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V16" s="51"/>
    </row>
    <row r="17" spans="1:24" x14ac:dyDescent="0.2">
      <c r="A17" s="17" t="s">
        <v>16</v>
      </c>
      <c r="C17" s="53"/>
      <c r="D17" s="62"/>
      <c r="F17" s="22">
        <f>AVERAGE(F6:F13)</f>
        <v>1.028186244242683</v>
      </c>
    </row>
    <row r="18" spans="1:24" x14ac:dyDescent="0.2">
      <c r="C18" s="53"/>
      <c r="D18" s="62"/>
    </row>
    <row r="19" spans="1:24" x14ac:dyDescent="0.2">
      <c r="A19" s="112" t="s">
        <v>171</v>
      </c>
      <c r="B19" s="160"/>
      <c r="C19" s="53"/>
      <c r="D19" s="62"/>
      <c r="E19" s="160"/>
      <c r="F19" s="160"/>
    </row>
    <row r="20" spans="1:24" x14ac:dyDescent="0.2">
      <c r="A20" s="217">
        <v>2010</v>
      </c>
      <c r="B20" s="217">
        <v>2010</v>
      </c>
      <c r="C20" s="217">
        <v>2010</v>
      </c>
      <c r="D20" s="217">
        <v>2010</v>
      </c>
      <c r="E20" s="5"/>
      <c r="F20" s="22"/>
      <c r="G20" s="25"/>
      <c r="H20" s="69">
        <v>396266835.39498103</v>
      </c>
      <c r="I20" s="69">
        <v>163479892.81864899</v>
      </c>
      <c r="J20" s="69">
        <v>426513755.56307799</v>
      </c>
      <c r="K20" s="69">
        <v>220917668.45862401</v>
      </c>
      <c r="L20" s="69">
        <v>196557280.622706</v>
      </c>
      <c r="M20" s="69">
        <v>9519205.9225450996</v>
      </c>
      <c r="O20" s="69">
        <v>2130241.9105078499</v>
      </c>
      <c r="S20" s="69">
        <v>13614985.1197195</v>
      </c>
      <c r="V20" s="69">
        <v>43796746.469999999</v>
      </c>
      <c r="W20"/>
      <c r="X20"/>
    </row>
    <row r="21" spans="1:24" x14ac:dyDescent="0.2">
      <c r="A21" s="217">
        <v>2011</v>
      </c>
      <c r="B21" s="217">
        <v>2011</v>
      </c>
      <c r="C21" s="217">
        <v>2011</v>
      </c>
      <c r="D21" s="217">
        <v>2011</v>
      </c>
      <c r="E21" s="5"/>
      <c r="F21" s="22"/>
      <c r="G21" s="25"/>
      <c r="H21" s="69">
        <v>396556720.36740702</v>
      </c>
      <c r="I21" s="69">
        <v>158322069.24360299</v>
      </c>
      <c r="J21" s="69">
        <v>437159036.082142</v>
      </c>
      <c r="K21" s="69">
        <v>240767174.87713</v>
      </c>
      <c r="L21" s="69">
        <v>169195800.19187</v>
      </c>
      <c r="M21" s="69">
        <v>9519485.5138937496</v>
      </c>
      <c r="O21" s="69">
        <v>2067610.5874618399</v>
      </c>
      <c r="S21" s="69">
        <v>13478593.7449254</v>
      </c>
      <c r="V21" s="69">
        <v>46753740.939999998</v>
      </c>
      <c r="W21"/>
      <c r="X21"/>
    </row>
    <row r="22" spans="1:24" x14ac:dyDescent="0.2">
      <c r="A22" s="217">
        <v>2012</v>
      </c>
      <c r="B22" s="217">
        <v>2012</v>
      </c>
      <c r="C22" s="217">
        <v>2012</v>
      </c>
      <c r="D22" s="217">
        <v>2012</v>
      </c>
      <c r="E22" s="5"/>
      <c r="F22" s="22"/>
      <c r="G22" s="25"/>
      <c r="H22" s="69">
        <v>399587578.131836</v>
      </c>
      <c r="I22" s="69">
        <v>158595034.37600499</v>
      </c>
      <c r="J22" s="69">
        <v>437401279.48903602</v>
      </c>
      <c r="K22" s="69">
        <v>226229939.170288</v>
      </c>
      <c r="L22" s="69">
        <v>201189505.21250001</v>
      </c>
      <c r="M22" s="69">
        <v>9645171.1912231408</v>
      </c>
      <c r="O22" s="69">
        <v>2015389.59674505</v>
      </c>
      <c r="S22" s="69">
        <v>13008528.857421899</v>
      </c>
      <c r="V22" s="69">
        <v>45452655.189999998</v>
      </c>
      <c r="W22"/>
      <c r="X22"/>
    </row>
    <row r="23" spans="1:24" x14ac:dyDescent="0.2">
      <c r="A23" s="217">
        <v>2013</v>
      </c>
      <c r="B23" s="217">
        <v>2013</v>
      </c>
      <c r="C23" s="217">
        <v>2013</v>
      </c>
      <c r="D23" s="217">
        <v>2013</v>
      </c>
      <c r="E23" s="5"/>
      <c r="F23" s="22"/>
      <c r="G23" s="25"/>
      <c r="H23" s="69">
        <v>384916687.52999997</v>
      </c>
      <c r="I23" s="69">
        <v>156590626.41999999</v>
      </c>
      <c r="J23" s="69">
        <v>452357522.44387102</v>
      </c>
      <c r="K23" s="69">
        <v>239339190.17000002</v>
      </c>
      <c r="L23" s="69">
        <v>204906256.95999998</v>
      </c>
      <c r="M23" s="69">
        <v>9566349.8299999982</v>
      </c>
      <c r="O23" s="69">
        <v>1988576.8189845479</v>
      </c>
      <c r="S23" s="69">
        <v>13176711.219999999</v>
      </c>
      <c r="U23" s="69">
        <v>45983609.929999992</v>
      </c>
      <c r="V23" s="69">
        <v>43073849.080000006</v>
      </c>
      <c r="W23"/>
      <c r="X23"/>
    </row>
    <row r="24" spans="1:24" x14ac:dyDescent="0.2">
      <c r="A24" s="217">
        <v>2014</v>
      </c>
      <c r="B24" s="217">
        <v>2014</v>
      </c>
      <c r="C24" s="217">
        <v>2014</v>
      </c>
      <c r="D24" s="217">
        <v>2014</v>
      </c>
      <c r="E24" s="5"/>
      <c r="F24" s="22"/>
      <c r="G24" s="25"/>
      <c r="H24" s="69">
        <v>395480270.08000004</v>
      </c>
      <c r="I24" s="69">
        <v>160543970.72</v>
      </c>
      <c r="J24" s="69">
        <v>426495390.96838707</v>
      </c>
      <c r="K24" s="69">
        <v>232446554.61000001</v>
      </c>
      <c r="L24" s="69">
        <v>205265394.56999999</v>
      </c>
      <c r="M24" s="69">
        <v>9696634.4700000007</v>
      </c>
      <c r="O24" s="69">
        <v>2009373.9548110634</v>
      </c>
      <c r="S24" s="69">
        <v>13845907.199999999</v>
      </c>
      <c r="U24" s="69">
        <v>58781039.110000007</v>
      </c>
      <c r="V24" s="69">
        <v>41667982.329999998</v>
      </c>
      <c r="W24"/>
      <c r="X24"/>
    </row>
    <row r="25" spans="1:24" x14ac:dyDescent="0.2">
      <c r="A25" s="217">
        <v>2015</v>
      </c>
      <c r="B25" s="217">
        <v>2015</v>
      </c>
      <c r="C25" s="217">
        <v>2015</v>
      </c>
      <c r="D25" s="217">
        <v>2015</v>
      </c>
      <c r="E25" s="5"/>
      <c r="F25" s="22"/>
      <c r="G25" s="25"/>
      <c r="H25" s="69">
        <v>401332021.95999998</v>
      </c>
      <c r="I25" s="69">
        <v>167151503.62</v>
      </c>
      <c r="J25" s="69">
        <v>436415952.41462064</v>
      </c>
      <c r="K25" s="69">
        <v>227449908.25904667</v>
      </c>
      <c r="L25" s="69">
        <v>207374361.59</v>
      </c>
      <c r="M25" s="69">
        <v>9696633.3400000017</v>
      </c>
      <c r="O25" s="69">
        <v>1973538.7725536495</v>
      </c>
      <c r="S25" s="69">
        <v>13548202.5</v>
      </c>
      <c r="U25" s="69">
        <v>60363735.780000001</v>
      </c>
      <c r="V25" s="69">
        <v>41569997.659999996</v>
      </c>
      <c r="W25"/>
      <c r="X25" s="55"/>
    </row>
    <row r="26" spans="1:24" x14ac:dyDescent="0.2">
      <c r="A26" s="217">
        <v>2016</v>
      </c>
      <c r="B26" s="217">
        <v>2016</v>
      </c>
      <c r="C26" s="217">
        <v>2016</v>
      </c>
      <c r="D26" s="217">
        <v>2016</v>
      </c>
      <c r="E26" s="5"/>
      <c r="F26" s="22"/>
      <c r="G26" s="25"/>
      <c r="H26" s="69">
        <v>396571029.72890007</v>
      </c>
      <c r="I26" s="69">
        <v>170125866.85190004</v>
      </c>
      <c r="J26" s="69">
        <v>416114898.05560005</v>
      </c>
      <c r="K26" s="69">
        <v>223127015.06999996</v>
      </c>
      <c r="L26" s="69">
        <v>151250311.81999996</v>
      </c>
      <c r="M26" s="69">
        <v>9646646.8700000253</v>
      </c>
      <c r="O26" s="69">
        <v>1926179.9999999995</v>
      </c>
      <c r="S26" s="69">
        <v>13027612.079999994</v>
      </c>
      <c r="U26" s="69">
        <v>61404043.760000005</v>
      </c>
      <c r="V26" s="69">
        <v>42104477.210000001</v>
      </c>
      <c r="W26"/>
      <c r="X26" s="55"/>
    </row>
    <row r="27" spans="1:24" x14ac:dyDescent="0.2">
      <c r="A27" s="217">
        <v>2017</v>
      </c>
      <c r="B27" s="217">
        <v>2017</v>
      </c>
      <c r="C27" s="217">
        <v>2017</v>
      </c>
      <c r="D27" s="217">
        <v>2017</v>
      </c>
      <c r="E27" s="5"/>
      <c r="F27" s="22"/>
      <c r="G27" s="25"/>
      <c r="H27" s="69">
        <v>374247658.30999994</v>
      </c>
      <c r="I27" s="69">
        <v>152251310.46000001</v>
      </c>
      <c r="J27" s="69">
        <v>424072679.95784116</v>
      </c>
      <c r="K27" s="69">
        <v>207211616.07262492</v>
      </c>
      <c r="L27" s="69">
        <v>146226388.16</v>
      </c>
      <c r="M27" s="69">
        <v>7627852.4800000004</v>
      </c>
      <c r="O27" s="69">
        <v>1855835.9970972422</v>
      </c>
      <c r="S27" s="69">
        <v>12605162.219999999</v>
      </c>
      <c r="U27" s="69">
        <v>58104381.490000002</v>
      </c>
      <c r="V27" s="69">
        <v>39682870.949999996</v>
      </c>
      <c r="W27"/>
      <c r="X27" s="55"/>
    </row>
    <row r="28" spans="1:24" x14ac:dyDescent="0.2">
      <c r="B28" s="160"/>
      <c r="C28" s="53"/>
      <c r="D28" s="62"/>
      <c r="E28" s="160"/>
      <c r="F28" s="160"/>
    </row>
    <row r="29" spans="1:24" x14ac:dyDescent="0.2">
      <c r="A29" s="112" t="s">
        <v>172</v>
      </c>
      <c r="B29" s="160"/>
      <c r="C29" s="53"/>
      <c r="D29" s="62"/>
      <c r="E29" s="160"/>
      <c r="F29" s="160"/>
      <c r="H29"/>
      <c r="I29"/>
      <c r="J29"/>
      <c r="K29"/>
      <c r="M29"/>
      <c r="N29"/>
      <c r="O29"/>
      <c r="P29"/>
      <c r="Q29"/>
      <c r="R29"/>
    </row>
    <row r="30" spans="1:24" x14ac:dyDescent="0.2">
      <c r="A30" s="217">
        <v>2010</v>
      </c>
      <c r="B30" s="160"/>
      <c r="C30" s="53"/>
      <c r="D30" s="62"/>
      <c r="E30" s="160"/>
      <c r="F30" s="160"/>
      <c r="H30" s="69">
        <v>80219627</v>
      </c>
      <c r="I30" s="69">
        <v>35757937.539999999</v>
      </c>
      <c r="J30" s="69">
        <v>60010105.849999994</v>
      </c>
      <c r="K30" s="69">
        <v>29541671.599999994</v>
      </c>
      <c r="M30" s="69">
        <v>1709480.57</v>
      </c>
      <c r="N30" s="69">
        <v>175284.4</v>
      </c>
      <c r="O30" s="69">
        <v>479703</v>
      </c>
      <c r="P30" s="69">
        <v>373339</v>
      </c>
      <c r="Q30" s="69">
        <v>13348829.459999999</v>
      </c>
      <c r="R30" s="69">
        <v>50253229.850000001</v>
      </c>
    </row>
    <row r="31" spans="1:24" x14ac:dyDescent="0.2">
      <c r="A31" s="217">
        <v>2011</v>
      </c>
      <c r="B31" s="160"/>
      <c r="C31" s="53"/>
      <c r="D31" s="62"/>
      <c r="E31" s="160"/>
      <c r="F31" s="160"/>
      <c r="H31" s="69">
        <v>81900003.020000011</v>
      </c>
      <c r="I31" s="69">
        <v>36170425.079999998</v>
      </c>
      <c r="J31" s="69">
        <v>63328541.460000016</v>
      </c>
      <c r="K31" s="69">
        <v>29084757.309999999</v>
      </c>
      <c r="M31" s="69">
        <v>1709907.0000000002</v>
      </c>
      <c r="N31" s="69">
        <v>164006.01</v>
      </c>
      <c r="O31" s="69">
        <v>445308</v>
      </c>
      <c r="P31" s="69">
        <v>373339</v>
      </c>
      <c r="Q31" s="69">
        <v>13695349.587000001</v>
      </c>
      <c r="R31" s="69">
        <v>51547773.450000003</v>
      </c>
    </row>
    <row r="32" spans="1:24" x14ac:dyDescent="0.2">
      <c r="A32" s="217">
        <v>2012</v>
      </c>
      <c r="B32" s="160"/>
      <c r="C32" s="53"/>
      <c r="D32" s="62"/>
      <c r="E32" s="160"/>
      <c r="F32" s="160"/>
      <c r="H32" s="69">
        <v>79659539.737000003</v>
      </c>
      <c r="I32" s="69">
        <v>35702794.359999992</v>
      </c>
      <c r="J32" s="69">
        <v>63734065.342257977</v>
      </c>
      <c r="K32" s="69">
        <v>29778279.600000001</v>
      </c>
      <c r="M32" s="69">
        <v>1714787.7500000002</v>
      </c>
      <c r="N32" s="69">
        <v>178406.38999999998</v>
      </c>
      <c r="O32" s="69">
        <v>442068</v>
      </c>
      <c r="P32" s="69">
        <v>374823</v>
      </c>
      <c r="Q32" s="69">
        <v>9863706.6199999992</v>
      </c>
      <c r="R32" s="69">
        <v>52318961.540000007</v>
      </c>
    </row>
    <row r="33" spans="1:22" x14ac:dyDescent="0.2">
      <c r="A33" s="217">
        <v>2013</v>
      </c>
      <c r="B33" s="160"/>
      <c r="C33" s="53"/>
      <c r="D33" s="62"/>
      <c r="E33" s="160"/>
      <c r="F33" s="160"/>
      <c r="H33" s="69">
        <v>79931655.050000012</v>
      </c>
      <c r="I33" s="69">
        <v>37126640.460000001</v>
      </c>
      <c r="J33" s="69">
        <v>65991244.699999988</v>
      </c>
      <c r="K33" s="69">
        <v>30941352.619999997</v>
      </c>
      <c r="M33" s="69">
        <v>1696593.3900000004</v>
      </c>
      <c r="N33" s="69">
        <v>152803.15</v>
      </c>
      <c r="O33" s="69">
        <v>442068</v>
      </c>
      <c r="P33" s="69">
        <v>356273</v>
      </c>
      <c r="Q33" s="69">
        <v>13883197</v>
      </c>
      <c r="R33" s="69">
        <v>52117101.93</v>
      </c>
    </row>
    <row r="34" spans="1:22" x14ac:dyDescent="0.2">
      <c r="A34" s="217">
        <v>2014</v>
      </c>
      <c r="B34" s="160"/>
      <c r="C34" s="53"/>
      <c r="D34" s="62"/>
      <c r="E34" s="160"/>
      <c r="F34" s="160"/>
      <c r="H34" s="69">
        <v>81545698.020000011</v>
      </c>
      <c r="I34" s="69">
        <v>37605273.952</v>
      </c>
      <c r="J34" s="69">
        <v>67781850.810000002</v>
      </c>
      <c r="K34" s="69">
        <v>30595621.239999998</v>
      </c>
      <c r="M34" s="69">
        <v>1709481.1900000002</v>
      </c>
      <c r="N34" s="69">
        <v>146515.24000000002</v>
      </c>
      <c r="O34" s="69">
        <v>442068</v>
      </c>
      <c r="P34" s="69">
        <v>338022</v>
      </c>
      <c r="Q34" s="69">
        <v>12996387</v>
      </c>
      <c r="R34" s="69">
        <v>51485741.349999994</v>
      </c>
    </row>
    <row r="35" spans="1:22" x14ac:dyDescent="0.2">
      <c r="A35" s="217">
        <v>2015</v>
      </c>
      <c r="B35" s="160"/>
      <c r="C35" s="53"/>
      <c r="D35" s="62"/>
      <c r="E35" s="160"/>
      <c r="F35" s="160"/>
      <c r="H35" s="226">
        <v>85209274.018060982</v>
      </c>
      <c r="I35" s="226">
        <v>35949071.403001435</v>
      </c>
      <c r="J35" s="226">
        <v>49488193.210000008</v>
      </c>
      <c r="K35" s="226">
        <v>35805421.270000003</v>
      </c>
      <c r="M35" s="226">
        <v>1697632.3787499999</v>
      </c>
      <c r="N35" s="226">
        <v>142708.41887585534</v>
      </c>
      <c r="O35" s="226">
        <v>440075</v>
      </c>
      <c r="P35" s="226">
        <v>352067.78</v>
      </c>
      <c r="Q35" s="226">
        <v>13819341.6</v>
      </c>
      <c r="R35" s="226">
        <v>62339455.030000001</v>
      </c>
    </row>
    <row r="36" spans="1:22" x14ac:dyDescent="0.2">
      <c r="A36" s="217">
        <v>2016</v>
      </c>
      <c r="B36" s="160"/>
      <c r="C36" s="53"/>
      <c r="D36" s="62"/>
      <c r="E36" s="160"/>
      <c r="F36" s="160"/>
      <c r="H36" s="226">
        <v>83373122.232199997</v>
      </c>
      <c r="I36" s="226">
        <v>42681652.129600003</v>
      </c>
      <c r="J36" s="226">
        <v>68085065.344599992</v>
      </c>
      <c r="K36" s="226">
        <v>38677613.350000001</v>
      </c>
      <c r="M36" s="226">
        <v>1461959.2800000047</v>
      </c>
      <c r="N36" s="226">
        <v>136701.00000000009</v>
      </c>
      <c r="O36" s="226">
        <v>420657.60000000033</v>
      </c>
      <c r="P36" s="226">
        <v>380114.44</v>
      </c>
      <c r="Q36" s="226">
        <v>13560291.5</v>
      </c>
      <c r="R36" s="226">
        <v>46050289.200000003</v>
      </c>
    </row>
    <row r="37" spans="1:22" x14ac:dyDescent="0.2">
      <c r="A37" s="217">
        <v>2017</v>
      </c>
      <c r="B37" s="160"/>
      <c r="C37" s="53"/>
      <c r="D37" s="62"/>
      <c r="E37" s="160"/>
      <c r="F37" s="160"/>
      <c r="H37" s="226">
        <v>79607416.689999983</v>
      </c>
      <c r="I37" s="226">
        <v>36754537.07</v>
      </c>
      <c r="J37" s="226">
        <v>62964841.97848893</v>
      </c>
      <c r="K37" s="226">
        <v>34140289.052486897</v>
      </c>
      <c r="M37" s="226">
        <v>750581.73999999987</v>
      </c>
      <c r="N37" s="226">
        <v>126989</v>
      </c>
      <c r="O37" s="226">
        <v>418152</v>
      </c>
      <c r="P37" s="226">
        <v>347756.59287776717</v>
      </c>
      <c r="Q37" s="226">
        <v>12191720.381133871</v>
      </c>
      <c r="R37" s="226">
        <v>43274121.534063838</v>
      </c>
    </row>
    <row r="38" spans="1:22" x14ac:dyDescent="0.2">
      <c r="B38" s="160"/>
      <c r="C38" s="53"/>
      <c r="D38" s="62"/>
      <c r="E38" s="160"/>
      <c r="F38" s="160"/>
    </row>
    <row r="39" spans="1:22" x14ac:dyDescent="0.2">
      <c r="A39" s="20" t="s">
        <v>18</v>
      </c>
      <c r="B39" s="12"/>
    </row>
    <row r="41" spans="1:22" x14ac:dyDescent="0.2">
      <c r="A41">
        <f>A6</f>
        <v>2010</v>
      </c>
      <c r="F41" s="22"/>
      <c r="H41" s="25">
        <f>H6/'Rate Class Customer Model'!B13</f>
        <v>8981.18962006945</v>
      </c>
      <c r="I41" s="25">
        <f>I6/'Rate Class Customer Model'!C13</f>
        <v>33807.142499853479</v>
      </c>
      <c r="J41" s="25">
        <f>J6/'Rate Class Customer Model'!D13</f>
        <v>606191.03302791389</v>
      </c>
      <c r="K41" s="25">
        <f>K6/'Rate Class Customer Model'!E13</f>
        <v>8079333.5502781933</v>
      </c>
      <c r="L41" s="25">
        <f>L6/'Rate Class Customer Model'!F13</f>
        <v>98278640.311352998</v>
      </c>
      <c r="M41" s="25">
        <f>M6/'Rate Class Customer Model'!G13</f>
        <v>738.80228262954233</v>
      </c>
      <c r="N41" s="25">
        <f>N6/'Rate Class Customer Model'!H13</f>
        <v>799.69159176969754</v>
      </c>
      <c r="O41" s="25">
        <f>O6/'Rate Class Customer Model'!I13</f>
        <v>4432.0864538447886</v>
      </c>
      <c r="P41" s="25">
        <f>P6/'Rate Class Customer Model'!J13</f>
        <v>373339</v>
      </c>
      <c r="Q41" s="25">
        <f>Q6/'Rate Class Customer Model'!K13</f>
        <v>13348829.459999999</v>
      </c>
      <c r="R41" s="25">
        <f>R6/'Rate Class Customer Model'!L13</f>
        <v>12563307.4625</v>
      </c>
      <c r="S41" s="25">
        <f>S6/'Rate Class Customer Model'!M13</f>
        <v>6807492.5598597499</v>
      </c>
      <c r="U41" s="25">
        <f>U6/'Rate Class Customer Model'!P13</f>
        <v>0</v>
      </c>
      <c r="V41" s="25">
        <f>V6/'Rate Class Customer Model'!Q13</f>
        <v>10949186.6175</v>
      </c>
    </row>
    <row r="42" spans="1:22" x14ac:dyDescent="0.2">
      <c r="A42">
        <v>2011</v>
      </c>
      <c r="F42" s="22"/>
      <c r="H42" s="25">
        <f>H7/'Rate Class Customer Model'!B14</f>
        <v>8857.1774420778183</v>
      </c>
      <c r="I42" s="25">
        <f>I7/'Rate Class Customer Model'!C14</f>
        <v>32785.457890876009</v>
      </c>
      <c r="J42" s="25">
        <f>J7/'Rate Class Customer Model'!D14</f>
        <v>608532.54019618337</v>
      </c>
      <c r="K42" s="25">
        <f>K7/'Rate Class Customer Model'!E14</f>
        <v>8177331.2783978777</v>
      </c>
      <c r="L42" s="25">
        <f>L7/'Rate Class Customer Model'!F14</f>
        <v>84597900.095935002</v>
      </c>
      <c r="M42" s="25">
        <f>M7/'Rate Class Customer Model'!G14</f>
        <v>735.70232999598716</v>
      </c>
      <c r="N42" s="25">
        <f>N7/'Rate Class Customer Model'!H14</f>
        <v>867.20351216302367</v>
      </c>
      <c r="O42" s="25">
        <f>O7/'Rate Class Customer Model'!I14</f>
        <v>4448.0371492377017</v>
      </c>
      <c r="P42" s="25">
        <f>P7/'Rate Class Customer Model'!J14</f>
        <v>373339</v>
      </c>
      <c r="Q42" s="25">
        <f>Q7/'Rate Class Customer Model'!K14</f>
        <v>13695349.587000001</v>
      </c>
      <c r="R42" s="25">
        <f>R7/'Rate Class Customer Model'!L14</f>
        <v>12886943.362500001</v>
      </c>
      <c r="S42" s="25">
        <f>S7/'Rate Class Customer Model'!M14</f>
        <v>6739296.8724627001</v>
      </c>
      <c r="U42" s="25">
        <f>U7/'Rate Class Customer Model'!P14</f>
        <v>0</v>
      </c>
      <c r="V42" s="25">
        <f>V7/'Rate Class Customer Model'!Q14</f>
        <v>11688435.234999999</v>
      </c>
    </row>
    <row r="43" spans="1:22" x14ac:dyDescent="0.2">
      <c r="A43">
        <v>2012</v>
      </c>
      <c r="F43" s="22"/>
      <c r="H43" s="25">
        <f>H8/'Rate Class Customer Model'!B15</f>
        <v>8772.0743109214818</v>
      </c>
      <c r="I43" s="25">
        <f>I8/'Rate Class Customer Model'!C15</f>
        <v>32489.02464997175</v>
      </c>
      <c r="J43" s="25">
        <f>J8/'Rate Class Customer Model'!D15</f>
        <v>597312.63413809647</v>
      </c>
      <c r="K43" s="25">
        <f>K8/'Rate Class Customer Model'!E15</f>
        <v>8000256.8365714997</v>
      </c>
      <c r="L43" s="25">
        <f>L8/'Rate Class Customer Model'!F15</f>
        <v>100594752.60625</v>
      </c>
      <c r="M43" s="25">
        <f>M8/'Rate Class Customer Model'!G15</f>
        <v>739.48437320812013</v>
      </c>
      <c r="N43" s="25">
        <f>N8/'Rate Class Customer Model'!H15</f>
        <v>1008.5322371824705</v>
      </c>
      <c r="O43" s="25">
        <f>O8/'Rate Class Customer Model'!I15</f>
        <v>4563.9476214041224</v>
      </c>
      <c r="P43" s="25">
        <f>P8/'Rate Class Customer Model'!J15</f>
        <v>374823</v>
      </c>
      <c r="Q43" s="25">
        <f>Q8/'Rate Class Customer Model'!K15</f>
        <v>9863706.6199999992</v>
      </c>
      <c r="R43" s="25">
        <f>R8/'Rate Class Customer Model'!L15</f>
        <v>13079740.385000002</v>
      </c>
      <c r="S43" s="25">
        <f>S8/'Rate Class Customer Model'!M15</f>
        <v>6504264.4287109496</v>
      </c>
      <c r="U43" s="25">
        <f>U8/'Rate Class Customer Model'!P15</f>
        <v>0</v>
      </c>
      <c r="V43" s="25">
        <f>V8/'Rate Class Customer Model'!Q15</f>
        <v>11363163.797499999</v>
      </c>
    </row>
    <row r="44" spans="1:22" x14ac:dyDescent="0.2">
      <c r="A44">
        <v>2013</v>
      </c>
      <c r="H44" s="25">
        <f>H9/'Rate Class Customer Model'!B16</f>
        <v>8441.0806639819912</v>
      </c>
      <c r="I44" s="25">
        <f>I9/'Rate Class Customer Model'!C16</f>
        <v>32262.640503708873</v>
      </c>
      <c r="J44" s="25">
        <f>J9/'Rate Class Customer Model'!D16</f>
        <v>617081.67418034689</v>
      </c>
      <c r="K44" s="25">
        <f>K9/'Rate Class Customer Model'!E16</f>
        <v>9162052.2979661021</v>
      </c>
      <c r="L44" s="25">
        <f>L9/'Rate Class Customer Model'!F16</f>
        <v>81962502.783999994</v>
      </c>
      <c r="M44" s="25">
        <f>M9/'Rate Class Customer Model'!G16</f>
        <v>728.84808398018117</v>
      </c>
      <c r="N44" s="25">
        <f>N9/'Rate Class Customer Model'!H16</f>
        <v>801.68606860883096</v>
      </c>
      <c r="O44" s="25">
        <f>O9/'Rate Class Customer Model'!I16</f>
        <v>4551.7693239411001</v>
      </c>
      <c r="P44" s="25">
        <f>P9/'Rate Class Customer Model'!J16</f>
        <v>356273</v>
      </c>
      <c r="Q44" s="25">
        <f>Q9/'Rate Class Customer Model'!K16</f>
        <v>13883197</v>
      </c>
      <c r="R44" s="25">
        <f>R9/'Rate Class Customer Model'!L16</f>
        <v>13029275.4825</v>
      </c>
      <c r="S44" s="25">
        <f>S9/'Rate Class Customer Model'!M16</f>
        <v>6588355.6099999994</v>
      </c>
      <c r="U44" s="25">
        <f>U9/'Rate Class Customer Model'!P16</f>
        <v>45983609.929999992</v>
      </c>
      <c r="V44" s="25">
        <f>V9/'Rate Class Customer Model'!Q16</f>
        <v>10768462.270000001</v>
      </c>
    </row>
    <row r="45" spans="1:22" x14ac:dyDescent="0.2">
      <c r="A45">
        <v>2014</v>
      </c>
      <c r="H45" s="25">
        <f>H10/'Rate Class Customer Model'!B17</f>
        <v>8600.791183436897</v>
      </c>
      <c r="I45" s="25">
        <f>I10/'Rate Class Customer Model'!C17</f>
        <v>32715.348553067852</v>
      </c>
      <c r="J45" s="25">
        <f>J10/'Rate Class Customer Model'!D17</f>
        <v>599123.55087832466</v>
      </c>
      <c r="K45" s="25">
        <f>K10/'Rate Class Customer Model'!E17</f>
        <v>9070419.8568965532</v>
      </c>
      <c r="L45" s="25">
        <f>L10/'Rate Class Customer Model'!F17</f>
        <v>82106157.827999994</v>
      </c>
      <c r="M45" s="25">
        <f>M10/'Rate Class Customer Model'!G17</f>
        <v>735.30566047393643</v>
      </c>
      <c r="N45" s="25">
        <f>N10/'Rate Class Customer Model'!H17</f>
        <v>777.18077941662534</v>
      </c>
      <c r="O45" s="25">
        <f>O10/'Rate Class Customer Model'!I17</f>
        <v>4616.6515156517207</v>
      </c>
      <c r="P45" s="25">
        <f>P10/'Rate Class Customer Model'!J17</f>
        <v>338022</v>
      </c>
      <c r="Q45" s="25">
        <f>Q10/'Rate Class Customer Model'!K17</f>
        <v>12996387</v>
      </c>
      <c r="R45" s="25">
        <f>R10/'Rate Class Customer Model'!L17</f>
        <v>12871435.337499999</v>
      </c>
      <c r="S45" s="25">
        <f>S10/'Rate Class Customer Model'!M17</f>
        <v>6922953.5999999996</v>
      </c>
      <c r="U45" s="25">
        <f>U10/'Rate Class Customer Model'!P17</f>
        <v>58781039.110000007</v>
      </c>
      <c r="V45" s="25">
        <f>V10/'Rate Class Customer Model'!Q17</f>
        <v>10416995.5825</v>
      </c>
    </row>
    <row r="46" spans="1:22" x14ac:dyDescent="0.2">
      <c r="A46">
        <f>A11</f>
        <v>2015</v>
      </c>
      <c r="B46" s="160"/>
      <c r="C46" s="160"/>
      <c r="D46" s="160"/>
      <c r="E46" s="160"/>
      <c r="F46" s="160"/>
      <c r="H46" s="25">
        <f>H11/'Rate Class Customer Model'!B18</f>
        <v>8700.3809899312964</v>
      </c>
      <c r="I46" s="25">
        <f>I11/'Rate Class Customer Model'!C18</f>
        <v>33029.318271172022</v>
      </c>
      <c r="J46" s="25">
        <f>J11/'Rate Class Customer Model'!D18</f>
        <v>601413.35486969049</v>
      </c>
      <c r="K46" s="25">
        <f>K11/'Rate Class Customer Model'!E18</f>
        <v>9077769.9837602302</v>
      </c>
      <c r="L46" s="25">
        <f>L11/'Rate Class Customer Model'!F18</f>
        <v>103687180.795</v>
      </c>
      <c r="M46" s="25">
        <f>M11/'Rate Class Customer Model'!G18</f>
        <v>733.29251335392746</v>
      </c>
      <c r="N46" s="25">
        <f>N11/'Rate Class Customer Model'!H18</f>
        <v>755.94276465802852</v>
      </c>
      <c r="O46" s="25">
        <f>O11/'Rate Class Customer Model'!I18</f>
        <v>4519.8759785648872</v>
      </c>
      <c r="P46" s="25">
        <f>P11/'Rate Class Customer Model'!J18</f>
        <v>352067.78</v>
      </c>
      <c r="Q46" s="25">
        <f>Q11/'Rate Class Customer Model'!K18</f>
        <v>13819341.6</v>
      </c>
      <c r="R46" s="25">
        <f>R11/'Rate Class Customer Model'!L18</f>
        <v>15584863.7575</v>
      </c>
      <c r="S46" s="25">
        <f>S11/'Rate Class Customer Model'!M18</f>
        <v>6774101.25</v>
      </c>
      <c r="U46" s="25">
        <f>U11/'Rate Class Customer Model'!P18</f>
        <v>60363735.780000001</v>
      </c>
      <c r="V46" s="25">
        <f>V11/'Rate Class Customer Model'!Q18</f>
        <v>10392499.414999999</v>
      </c>
    </row>
    <row r="47" spans="1:22" x14ac:dyDescent="0.2">
      <c r="A47">
        <f>A12</f>
        <v>2016</v>
      </c>
      <c r="B47" s="160"/>
      <c r="C47" s="160"/>
      <c r="D47" s="160"/>
      <c r="E47" s="160"/>
      <c r="F47" s="160"/>
      <c r="H47" s="25">
        <f>H12/'Rate Class Customer Model'!B19</f>
        <v>8485.4898194868856</v>
      </c>
      <c r="I47" s="25">
        <f>I12/'Rate Class Customer Model'!C19</f>
        <v>34099.854678323245</v>
      </c>
      <c r="J47" s="25">
        <f>J12/'Rate Class Customer Model'!D19</f>
        <v>600791.47141893243</v>
      </c>
      <c r="K47" s="25">
        <f>K12/'Rate Class Customer Model'!E19</f>
        <v>9186127.3129824549</v>
      </c>
      <c r="L47" s="25">
        <f>L12/'Rate Class Customer Model'!F19</f>
        <v>75625155.909999982</v>
      </c>
      <c r="M47" s="25">
        <f>M12/'Rate Class Customer Model'!G19</f>
        <v>706.38472275213212</v>
      </c>
      <c r="N47" s="25">
        <f>N12/'Rate Class Customer Model'!H19</f>
        <v>755.16518451336344</v>
      </c>
      <c r="O47" s="25">
        <f>O12/'Rate Class Customer Model'!I19</f>
        <v>4487.2611854684501</v>
      </c>
      <c r="P47" s="25">
        <f>P12/'Rate Class Customer Model'!J19</f>
        <v>380114.44</v>
      </c>
      <c r="Q47" s="25">
        <f>Q12/'Rate Class Customer Model'!K19</f>
        <v>13560291.5</v>
      </c>
      <c r="R47" s="25">
        <f>R12/'Rate Class Customer Model'!L19</f>
        <v>11512572.300000001</v>
      </c>
      <c r="S47" s="25">
        <f>S12/'Rate Class Customer Model'!M19</f>
        <v>6513806.0399999972</v>
      </c>
      <c r="U47" s="25">
        <f>U12/'Rate Class Customer Model'!P19</f>
        <v>61404043.760000005</v>
      </c>
      <c r="V47" s="25">
        <f>V12/'Rate Class Customer Model'!Q19</f>
        <v>10526119.3025</v>
      </c>
    </row>
    <row r="48" spans="1:22" x14ac:dyDescent="0.2">
      <c r="A48">
        <f>A13</f>
        <v>2017</v>
      </c>
      <c r="B48" s="160"/>
      <c r="C48" s="160"/>
      <c r="D48" s="160"/>
      <c r="E48" s="160"/>
      <c r="F48" s="160"/>
      <c r="H48" s="25">
        <f>H13/'Rate Class Customer Model'!B20</f>
        <v>7924.6235038369859</v>
      </c>
      <c r="I48" s="25">
        <f>I13/'Rate Class Customer Model'!C20</f>
        <v>30012.838035728462</v>
      </c>
      <c r="J48" s="25">
        <f>J13/'Rate Class Customer Model'!D20</f>
        <v>611856.1833370981</v>
      </c>
      <c r="K48" s="25">
        <f>K13/'Rate Class Customer Model'!E20</f>
        <v>8619710.8973254226</v>
      </c>
      <c r="L48" s="25">
        <f>L13/'Rate Class Customer Model'!F20</f>
        <v>73113194.079999998</v>
      </c>
      <c r="M48" s="25">
        <f>M13/'Rate Class Customer Model'!G20</f>
        <v>522.86783699450825</v>
      </c>
      <c r="N48" s="25">
        <f>N13/'Rate Class Customer Model'!H20</f>
        <v>755.88690476190482</v>
      </c>
      <c r="O48" s="25">
        <f>O13/'Rate Class Customer Model'!I20</f>
        <v>4557.0901745435713</v>
      </c>
      <c r="P48" s="25">
        <f>P13/'Rate Class Customer Model'!J20</f>
        <v>347756.59287776717</v>
      </c>
      <c r="Q48" s="25">
        <f>Q13/'Rate Class Customer Model'!K20</f>
        <v>12191720.381133871</v>
      </c>
      <c r="R48" s="25">
        <f>R13/'Rate Class Customer Model'!L20</f>
        <v>10818530.38351596</v>
      </c>
      <c r="S48" s="25">
        <f>S13/'Rate Class Customer Model'!M20</f>
        <v>6302581.1099999994</v>
      </c>
      <c r="U48" s="25">
        <f>U13/'Rate Class Customer Model'!P20</f>
        <v>58104381.490000002</v>
      </c>
      <c r="V48" s="25">
        <f>V13/'Rate Class Customer Model'!Q20</f>
        <v>9920717.7374999989</v>
      </c>
    </row>
    <row r="49" spans="1:22" x14ac:dyDescent="0.2">
      <c r="A49">
        <f>A14</f>
        <v>2018</v>
      </c>
      <c r="B49" s="160"/>
      <c r="C49" s="160"/>
      <c r="D49" s="160"/>
      <c r="E49" s="160"/>
      <c r="F49" s="160"/>
      <c r="H49" s="19">
        <f t="shared" ref="H49:P49" si="17">H48*H61</f>
        <v>7924.6235038369859</v>
      </c>
      <c r="I49" s="19">
        <f t="shared" si="17"/>
        <v>30012.838035728462</v>
      </c>
      <c r="J49" s="19">
        <f t="shared" si="17"/>
        <v>611856.1833370981</v>
      </c>
      <c r="K49" s="19">
        <f t="shared" si="17"/>
        <v>8619710.8973254226</v>
      </c>
      <c r="L49" s="19">
        <f t="shared" si="17"/>
        <v>73113194.079999998</v>
      </c>
      <c r="M49" s="19">
        <f t="shared" si="17"/>
        <v>522.86783699450825</v>
      </c>
      <c r="N49" s="19">
        <f t="shared" si="17"/>
        <v>755.88690476190482</v>
      </c>
      <c r="O49" s="19">
        <f t="shared" si="17"/>
        <v>4557.0901745435713</v>
      </c>
      <c r="P49" s="19">
        <f t="shared" si="17"/>
        <v>347756.59287776717</v>
      </c>
      <c r="Q49" s="19">
        <f t="shared" ref="Q49:R49" si="18">Q48*Q61</f>
        <v>12191720.381133871</v>
      </c>
      <c r="R49" s="19">
        <f t="shared" si="18"/>
        <v>10818530.38351596</v>
      </c>
      <c r="S49" s="19">
        <f>S48*S61</f>
        <v>6302581.1099999994</v>
      </c>
      <c r="U49" s="19">
        <f>U48*U61</f>
        <v>58104381.490000002</v>
      </c>
      <c r="V49" s="19">
        <f>V48*V61</f>
        <v>9920717.7374999989</v>
      </c>
    </row>
    <row r="50" spans="1:22" x14ac:dyDescent="0.2">
      <c r="A50">
        <f>A15</f>
        <v>2019</v>
      </c>
      <c r="B50" s="160"/>
      <c r="C50" s="160"/>
      <c r="D50" s="160"/>
      <c r="E50" s="160"/>
      <c r="F50" s="160"/>
      <c r="H50" s="19">
        <f t="shared" ref="H50:P50" si="19">H49*H61</f>
        <v>7924.6235038369859</v>
      </c>
      <c r="I50" s="19">
        <f t="shared" si="19"/>
        <v>30012.838035728462</v>
      </c>
      <c r="J50" s="19">
        <f t="shared" si="19"/>
        <v>611856.1833370981</v>
      </c>
      <c r="K50" s="19">
        <f t="shared" si="19"/>
        <v>8619710.8973254226</v>
      </c>
      <c r="L50" s="19">
        <f t="shared" si="19"/>
        <v>73113194.079999998</v>
      </c>
      <c r="M50" s="19">
        <f t="shared" si="19"/>
        <v>522.86783699450825</v>
      </c>
      <c r="N50" s="19">
        <f t="shared" si="19"/>
        <v>755.88690476190482</v>
      </c>
      <c r="O50" s="19">
        <f t="shared" si="19"/>
        <v>4557.0901745435713</v>
      </c>
      <c r="P50" s="19">
        <f t="shared" si="19"/>
        <v>347756.59287776717</v>
      </c>
      <c r="Q50" s="19">
        <f t="shared" ref="Q50:R50" si="20">Q49*Q61</f>
        <v>12191720.381133871</v>
      </c>
      <c r="R50" s="19">
        <f t="shared" si="20"/>
        <v>10818530.38351596</v>
      </c>
      <c r="S50" s="19">
        <f>S49*S61</f>
        <v>6302581.1099999994</v>
      </c>
      <c r="U50" s="19">
        <f>U49*U61</f>
        <v>58104381.490000002</v>
      </c>
      <c r="V50" s="19">
        <f>V49*V61</f>
        <v>9920717.7374999989</v>
      </c>
    </row>
    <row r="51" spans="1:22" x14ac:dyDescent="0.2">
      <c r="B51" s="160"/>
      <c r="C51" s="160"/>
      <c r="D51" s="160"/>
      <c r="E51" s="160"/>
      <c r="F51" s="160"/>
      <c r="H51"/>
      <c r="I51"/>
      <c r="J51"/>
      <c r="K51"/>
      <c r="L51"/>
      <c r="M51"/>
      <c r="N51"/>
      <c r="O51"/>
      <c r="P51"/>
      <c r="Q51"/>
      <c r="R51"/>
      <c r="S51"/>
      <c r="V51"/>
    </row>
    <row r="52" spans="1:22" x14ac:dyDescent="0.2">
      <c r="A52" s="70">
        <v>2010</v>
      </c>
      <c r="D52" s="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U52" s="75"/>
      <c r="V52" s="23"/>
    </row>
    <row r="53" spans="1:22" x14ac:dyDescent="0.2">
      <c r="A53" s="70">
        <v>2011</v>
      </c>
      <c r="D53" s="6"/>
      <c r="H53" s="23">
        <f t="shared" ref="H53:H58" si="21">H42/H41</f>
        <v>0.98619200982968747</v>
      </c>
      <c r="I53" s="23">
        <f t="shared" ref="I53:S53" si="22">I42/I41</f>
        <v>0.96977903089615169</v>
      </c>
      <c r="J53" s="23">
        <f t="shared" si="22"/>
        <v>1.0038626555668</v>
      </c>
      <c r="K53" s="23">
        <f t="shared" si="22"/>
        <v>1.0121294321505405</v>
      </c>
      <c r="L53" s="23">
        <f t="shared" si="22"/>
        <v>0.86079640324615259</v>
      </c>
      <c r="M53" s="23">
        <f t="shared" si="22"/>
        <v>0.99580408357358907</v>
      </c>
      <c r="N53" s="23">
        <f t="shared" si="22"/>
        <v>1.0844224462132006</v>
      </c>
      <c r="O53" s="23">
        <f t="shared" si="22"/>
        <v>1.003598913414488</v>
      </c>
      <c r="P53" s="23">
        <f t="shared" si="22"/>
        <v>1</v>
      </c>
      <c r="Q53" s="23">
        <f t="shared" si="22"/>
        <v>1.0259588399146424</v>
      </c>
      <c r="R53" s="23">
        <f t="shared" si="22"/>
        <v>1.0257604059254313</v>
      </c>
      <c r="S53" s="23">
        <f t="shared" si="22"/>
        <v>0.98998226045825388</v>
      </c>
      <c r="U53" s="23"/>
      <c r="V53" s="23">
        <f t="shared" ref="V53" si="23">V42/V41</f>
        <v>1.0675163044822402</v>
      </c>
    </row>
    <row r="54" spans="1:22" x14ac:dyDescent="0.2">
      <c r="A54" s="70">
        <v>2012</v>
      </c>
      <c r="D54" s="6"/>
      <c r="H54" s="23">
        <f t="shared" si="21"/>
        <v>0.99039161948455079</v>
      </c>
      <c r="I54" s="23">
        <f t="shared" ref="I54:S54" si="24">I43/I42</f>
        <v>0.99095839253211238</v>
      </c>
      <c r="J54" s="23">
        <f t="shared" si="24"/>
        <v>0.98156235646088907</v>
      </c>
      <c r="K54" s="23">
        <f t="shared" si="24"/>
        <v>0.97834569301427754</v>
      </c>
      <c r="L54" s="23">
        <f t="shared" si="24"/>
        <v>1.1890927847165755</v>
      </c>
      <c r="M54" s="23">
        <f t="shared" si="24"/>
        <v>1.0051407247985114</v>
      </c>
      <c r="N54" s="23">
        <f t="shared" si="24"/>
        <v>1.1629706557194832</v>
      </c>
      <c r="O54" s="23">
        <f t="shared" si="24"/>
        <v>1.0260587913898798</v>
      </c>
      <c r="P54" s="23">
        <f t="shared" si="24"/>
        <v>1.0039749396660944</v>
      </c>
      <c r="Q54" s="23">
        <f t="shared" si="24"/>
        <v>0.72022306238629341</v>
      </c>
      <c r="R54" s="23">
        <f t="shared" si="24"/>
        <v>1.0149606479268796</v>
      </c>
      <c r="S54" s="23">
        <f t="shared" si="24"/>
        <v>0.96512507933696889</v>
      </c>
      <c r="U54" s="23"/>
      <c r="V54" s="23">
        <f t="shared" ref="V54" si="25">V43/V42</f>
        <v>0.9721715156083508</v>
      </c>
    </row>
    <row r="55" spans="1:22" x14ac:dyDescent="0.2">
      <c r="A55" s="37">
        <v>2013</v>
      </c>
      <c r="B55" s="160"/>
      <c r="C55" s="160"/>
      <c r="D55" s="6"/>
      <c r="E55" s="160"/>
      <c r="F55" s="160"/>
      <c r="H55" s="23">
        <f t="shared" si="21"/>
        <v>0.96226734576023898</v>
      </c>
      <c r="I55" s="23">
        <f t="shared" ref="I55:S55" si="26">I44/I43</f>
        <v>0.99303198083962563</v>
      </c>
      <c r="J55" s="23">
        <f t="shared" si="26"/>
        <v>1.0330966380290558</v>
      </c>
      <c r="K55" s="23">
        <f t="shared" si="26"/>
        <v>1.1452197704558307</v>
      </c>
      <c r="L55" s="23">
        <f t="shared" si="26"/>
        <v>0.8147791078608172</v>
      </c>
      <c r="M55" s="23">
        <f t="shared" si="26"/>
        <v>0.98561661393628197</v>
      </c>
      <c r="N55" s="23">
        <f t="shared" si="26"/>
        <v>0.79490376118119521</v>
      </c>
      <c r="O55" s="23">
        <f t="shared" si="26"/>
        <v>0.99733163075625408</v>
      </c>
      <c r="P55" s="23">
        <f t="shared" si="26"/>
        <v>0.95050997404108073</v>
      </c>
      <c r="Q55" s="23">
        <f t="shared" si="26"/>
        <v>1.4075030345945145</v>
      </c>
      <c r="R55" s="23">
        <f t="shared" si="26"/>
        <v>0.99614175044652453</v>
      </c>
      <c r="S55" s="23">
        <f t="shared" si="26"/>
        <v>1.0129286227844392</v>
      </c>
      <c r="U55" s="23"/>
      <c r="V55" s="23">
        <f t="shared" ref="V55" si="27">V44/V43</f>
        <v>0.94766408914823197</v>
      </c>
    </row>
    <row r="56" spans="1:22" x14ac:dyDescent="0.2">
      <c r="A56" s="37">
        <v>2014</v>
      </c>
      <c r="B56" s="160"/>
      <c r="C56" s="160"/>
      <c r="D56" s="6"/>
      <c r="E56" s="160"/>
      <c r="F56" s="160"/>
      <c r="H56" s="23">
        <f t="shared" si="21"/>
        <v>1.0189206247176845</v>
      </c>
      <c r="I56" s="23">
        <f t="shared" ref="I56:S56" si="28">I45/I44</f>
        <v>1.0140319590179525</v>
      </c>
      <c r="J56" s="23">
        <f t="shared" si="28"/>
        <v>0.97089830397916854</v>
      </c>
      <c r="K56" s="23">
        <f t="shared" si="28"/>
        <v>0.98999869918993033</v>
      </c>
      <c r="L56" s="23">
        <f t="shared" si="28"/>
        <v>1.001752692257075</v>
      </c>
      <c r="M56" s="23">
        <f t="shared" si="28"/>
        <v>1.0088599759479244</v>
      </c>
      <c r="N56" s="23">
        <f t="shared" si="28"/>
        <v>0.96943281148102056</v>
      </c>
      <c r="O56" s="23">
        <f t="shared" si="28"/>
        <v>1.0142542794006184</v>
      </c>
      <c r="P56" s="23">
        <f t="shared" si="28"/>
        <v>0.94877243013082668</v>
      </c>
      <c r="Q56" s="23">
        <f t="shared" si="28"/>
        <v>0.93612350238925512</v>
      </c>
      <c r="R56" s="23">
        <f t="shared" si="28"/>
        <v>0.9878857312356315</v>
      </c>
      <c r="S56" s="23">
        <f t="shared" si="28"/>
        <v>1.0507862674401087</v>
      </c>
      <c r="U56" s="23">
        <f t="shared" ref="U56:V56" si="29">U45/U44</f>
        <v>1.278304143573793</v>
      </c>
      <c r="V56" s="23">
        <f t="shared" si="29"/>
        <v>0.96736147848340825</v>
      </c>
    </row>
    <row r="57" spans="1:22" x14ac:dyDescent="0.2">
      <c r="A57" s="70">
        <v>2015</v>
      </c>
      <c r="B57" s="160"/>
      <c r="C57" s="160"/>
      <c r="D57" s="6"/>
      <c r="E57" s="160"/>
      <c r="F57" s="160"/>
      <c r="H57" s="23">
        <f t="shared" si="21"/>
        <v>1.0115791447984677</v>
      </c>
      <c r="I57" s="23">
        <f t="shared" ref="I57:S57" si="30">I46/I45</f>
        <v>1.0095970158347809</v>
      </c>
      <c r="J57" s="23">
        <f t="shared" si="30"/>
        <v>1.0038219228538237</v>
      </c>
      <c r="K57" s="23">
        <f t="shared" si="30"/>
        <v>1.0008103403127573</v>
      </c>
      <c r="L57" s="23">
        <f t="shared" si="30"/>
        <v>1.2628429284464753</v>
      </c>
      <c r="M57" s="23">
        <f t="shared" si="30"/>
        <v>0.99726216289602421</v>
      </c>
      <c r="N57" s="23">
        <f t="shared" si="30"/>
        <v>0.9726730056621592</v>
      </c>
      <c r="O57" s="23">
        <f t="shared" si="30"/>
        <v>0.97903772100650488</v>
      </c>
      <c r="P57" s="23">
        <f t="shared" si="30"/>
        <v>1.0415528575063162</v>
      </c>
      <c r="Q57" s="23">
        <f t="shared" si="30"/>
        <v>1.0633217985891001</v>
      </c>
      <c r="R57" s="23">
        <f t="shared" si="30"/>
        <v>1.2108100882964175</v>
      </c>
      <c r="S57" s="23">
        <f t="shared" si="30"/>
        <v>0.97849872199056775</v>
      </c>
      <c r="U57" s="23">
        <f t="shared" ref="U57:V57" si="31">U46/U45</f>
        <v>1.0269252924746399</v>
      </c>
      <c r="V57" s="23">
        <f t="shared" si="31"/>
        <v>0.99764844217260173</v>
      </c>
    </row>
    <row r="58" spans="1:22" x14ac:dyDescent="0.2">
      <c r="A58" s="70">
        <v>2016</v>
      </c>
      <c r="B58" s="160"/>
      <c r="C58" s="160"/>
      <c r="D58" s="6"/>
      <c r="E58" s="160"/>
      <c r="F58" s="160"/>
      <c r="H58" s="23">
        <f t="shared" si="21"/>
        <v>0.97530094708575421</v>
      </c>
      <c r="I58" s="23">
        <f t="shared" ref="H58:S59" si="32">I47/I46</f>
        <v>1.0324117015786423</v>
      </c>
      <c r="J58" s="23">
        <f t="shared" si="32"/>
        <v>0.99896596334996113</v>
      </c>
      <c r="K58" s="23">
        <f t="shared" si="32"/>
        <v>1.0119365581432522</v>
      </c>
      <c r="L58" s="23">
        <f t="shared" si="32"/>
        <v>0.7293587821576375</v>
      </c>
      <c r="M58" s="23">
        <f t="shared" si="32"/>
        <v>0.96330551572288026</v>
      </c>
      <c r="N58" s="23">
        <f t="shared" si="32"/>
        <v>0.99897137695997817</v>
      </c>
      <c r="O58" s="23">
        <f t="shared" si="32"/>
        <v>0.99278413981907687</v>
      </c>
      <c r="P58" s="23">
        <f t="shared" si="32"/>
        <v>1.0796626717730318</v>
      </c>
      <c r="Q58" s="23">
        <f t="shared" si="32"/>
        <v>0.98125452662665202</v>
      </c>
      <c r="R58" s="23">
        <f t="shared" si="32"/>
        <v>0.73870214582143745</v>
      </c>
      <c r="S58" s="23">
        <f t="shared" si="32"/>
        <v>0.96157494545863142</v>
      </c>
      <c r="U58" s="23">
        <f t="shared" ref="U58:V58" si="33">U47/U46</f>
        <v>1.0172339893573101</v>
      </c>
      <c r="V58" s="23">
        <f t="shared" si="33"/>
        <v>1.0128573389484286</v>
      </c>
    </row>
    <row r="59" spans="1:22" x14ac:dyDescent="0.2">
      <c r="A59" s="70">
        <v>2017</v>
      </c>
      <c r="B59" s="160"/>
      <c r="C59" s="160"/>
      <c r="D59" s="6"/>
      <c r="E59" s="160"/>
      <c r="F59" s="160"/>
      <c r="H59" s="23">
        <f t="shared" si="32"/>
        <v>0.93390289451978681</v>
      </c>
      <c r="I59" s="23">
        <f t="shared" si="32"/>
        <v>0.8801456287380357</v>
      </c>
      <c r="J59" s="23">
        <f t="shared" si="32"/>
        <v>1.0184168924569341</v>
      </c>
      <c r="K59" s="23">
        <f t="shared" si="32"/>
        <v>0.9383400211690367</v>
      </c>
      <c r="L59" s="23">
        <f t="shared" si="32"/>
        <v>0.96678404428032627</v>
      </c>
      <c r="M59" s="23">
        <f t="shared" si="32"/>
        <v>0.74020264050639828</v>
      </c>
      <c r="N59" s="23">
        <f t="shared" si="32"/>
        <v>1.0009557117612704</v>
      </c>
      <c r="O59" s="23">
        <f t="shared" si="32"/>
        <v>1.0155616056629946</v>
      </c>
      <c r="P59" s="23">
        <f t="shared" si="32"/>
        <v>0.91487340727641697</v>
      </c>
      <c r="Q59" s="23">
        <f t="shared" si="32"/>
        <v>0.89907509592503021</v>
      </c>
      <c r="R59" s="23">
        <f t="shared" si="32"/>
        <v>0.93971443580128122</v>
      </c>
      <c r="S59" s="23">
        <f t="shared" si="32"/>
        <v>0.96757273263850552</v>
      </c>
      <c r="U59" s="23"/>
      <c r="V59" s="23"/>
    </row>
    <row r="60" spans="1:22" x14ac:dyDescent="0.2">
      <c r="A60" s="3"/>
      <c r="D60" s="6"/>
      <c r="E60" s="6"/>
      <c r="F60" s="6"/>
    </row>
    <row r="61" spans="1:22" x14ac:dyDescent="0.2">
      <c r="A61" t="s">
        <v>21</v>
      </c>
      <c r="D61" s="6"/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3">
        <v>1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U61" s="23">
        <v>1</v>
      </c>
      <c r="V61" s="23">
        <v>1</v>
      </c>
    </row>
    <row r="62" spans="1:22" x14ac:dyDescent="0.2">
      <c r="A62" s="3"/>
      <c r="D62" s="6"/>
      <c r="H62" s="12"/>
      <c r="I62" s="12"/>
      <c r="K62" s="11"/>
      <c r="L62" s="11"/>
      <c r="M62" s="11"/>
      <c r="N62" s="11"/>
      <c r="O62" s="11"/>
      <c r="P62" s="11"/>
      <c r="Q62" s="11"/>
      <c r="R62" s="11"/>
    </row>
    <row r="63" spans="1:22" x14ac:dyDescent="0.2">
      <c r="A63" t="s">
        <v>17</v>
      </c>
      <c r="D63" s="6"/>
      <c r="H63" s="23">
        <f>GEOMEAN(H53:H59)</f>
        <v>0.98227924441763093</v>
      </c>
      <c r="I63" s="23">
        <f t="shared" ref="I63:V63" si="34">GEOMEAN(I53:I59)</f>
        <v>0.98313710151561395</v>
      </c>
      <c r="J63" s="23">
        <f t="shared" si="34"/>
        <v>1.0013297530438721</v>
      </c>
      <c r="K63" s="23">
        <f t="shared" si="34"/>
        <v>1.0092917827383547</v>
      </c>
      <c r="L63" s="23">
        <f t="shared" si="34"/>
        <v>0.95862353763340202</v>
      </c>
      <c r="M63" s="23">
        <f t="shared" si="34"/>
        <v>0.95181371206949117</v>
      </c>
      <c r="N63" s="23">
        <f t="shared" si="34"/>
        <v>0.99198452873871434</v>
      </c>
      <c r="O63" s="23">
        <f t="shared" si="34"/>
        <v>1.0039813107639</v>
      </c>
      <c r="P63" s="23">
        <f t="shared" si="34"/>
        <v>0.98991066164978769</v>
      </c>
      <c r="Q63" s="23">
        <f t="shared" si="34"/>
        <v>0.98713043937136291</v>
      </c>
      <c r="R63" s="23">
        <f t="shared" si="34"/>
        <v>0.97886650649519846</v>
      </c>
      <c r="S63" s="23">
        <f t="shared" si="34"/>
        <v>0.98905115076053862</v>
      </c>
      <c r="T63" s="23"/>
      <c r="U63" s="23">
        <f t="shared" si="34"/>
        <v>1.1011960291832519</v>
      </c>
      <c r="V63" s="23">
        <f t="shared" si="34"/>
        <v>0.99345394421071231</v>
      </c>
    </row>
    <row r="64" spans="1:22" x14ac:dyDescent="0.2">
      <c r="D64" s="6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V64" s="23"/>
    </row>
    <row r="65" spans="1:22" x14ac:dyDescent="0.2">
      <c r="A65" s="17" t="s">
        <v>48</v>
      </c>
    </row>
    <row r="66" spans="1:22" x14ac:dyDescent="0.2">
      <c r="A66" s="17">
        <v>2018</v>
      </c>
      <c r="G66" s="6">
        <f>SUM(H66:S66)</f>
        <v>1601537023.6876438</v>
      </c>
      <c r="H66" s="6">
        <f>H49*'Rate Class Customer Model'!B21</f>
        <v>459391243.72947484</v>
      </c>
      <c r="I66" s="6">
        <f>I49*'Rate Class Customer Model'!C21</f>
        <v>191292506.06746426</v>
      </c>
      <c r="J66" s="6">
        <f>J49*'Rate Class Customer Model'!D21</f>
        <v>488381569.65300667</v>
      </c>
      <c r="K66" s="6">
        <f>K49*'Rate Class Customer Model'!E21</f>
        <v>236985785.159668</v>
      </c>
      <c r="L66" s="6">
        <f>L49*'Rate Class Customer Model'!F21</f>
        <v>146226388.16</v>
      </c>
      <c r="M66" s="6">
        <f>M49*'Rate Class Customer Model'!G21</f>
        <v>8439793.1928569693</v>
      </c>
      <c r="N66" s="6">
        <f>N49*'Rate Class Customer Model'!H21</f>
        <v>126989.00000000001</v>
      </c>
      <c r="O66" s="6">
        <f>O49*'Rate Class Customer Model'!I21</f>
        <v>2273987.9970972422</v>
      </c>
      <c r="P66" s="6">
        <f>P49*'Rate Class Customer Model'!K21</f>
        <v>347756.59287776717</v>
      </c>
      <c r="Q66" s="6">
        <f>Q49*'Rate Class Customer Model'!K21</f>
        <v>12191720.381133871</v>
      </c>
      <c r="R66" s="6">
        <f>R49*'Rate Class Customer Model'!L21</f>
        <v>43274121.534063838</v>
      </c>
      <c r="S66" s="6">
        <f>S49*'Rate Class Customer Model'!M21</f>
        <v>12605162.219999999</v>
      </c>
      <c r="U66" s="6">
        <f>U49*'Rate Class Customer Model'!P21</f>
        <v>58104381.490000002</v>
      </c>
      <c r="V66" s="6">
        <f>V49*'Rate Class Customer Model'!Q21</f>
        <v>39682870.949999996</v>
      </c>
    </row>
    <row r="67" spans="1:22" x14ac:dyDescent="0.2">
      <c r="A67" s="17">
        <v>2019</v>
      </c>
      <c r="G67" s="6">
        <f>SUM(H67:S67)</f>
        <v>1606577475.9121997</v>
      </c>
      <c r="H67" s="6">
        <f>H50*'Rate Class Customer Model'!B22</f>
        <v>464994943.18822759</v>
      </c>
      <c r="I67" s="6">
        <f>I50*'Rate Class Customer Model'!C22</f>
        <v>193606829.39591402</v>
      </c>
      <c r="J67" s="6">
        <f>J50*'Rate Class Customer Model'!D22</f>
        <v>489729326.45611572</v>
      </c>
      <c r="K67" s="6">
        <f>K50*'Rate Class Customer Model'!E22</f>
        <v>232698649.46220735</v>
      </c>
      <c r="L67" s="6">
        <f>L50*'Rate Class Customer Model'!F22</f>
        <v>146226388.16</v>
      </c>
      <c r="M67" s="6">
        <f>M50*'Rate Class Customer Model'!G22</f>
        <v>8501601.5245620497</v>
      </c>
      <c r="N67" s="6">
        <f>N50*'Rate Class Customer Model'!H22</f>
        <v>126989.00000000001</v>
      </c>
      <c r="O67" s="6">
        <f>O50*'Rate Class Customer Model'!I22</f>
        <v>2273987.9970972422</v>
      </c>
      <c r="P67" s="6">
        <f>P50*'Rate Class Customer Model'!K22</f>
        <v>347756.59287776717</v>
      </c>
      <c r="Q67" s="6">
        <f>Q50*'Rate Class Customer Model'!K22</f>
        <v>12191720.381133871</v>
      </c>
      <c r="R67" s="6">
        <f>R50*'Rate Class Customer Model'!L22</f>
        <v>43274121.534063838</v>
      </c>
      <c r="S67" s="6">
        <f>S50*'Rate Class Customer Model'!M22</f>
        <v>12605162.219999999</v>
      </c>
      <c r="U67" s="6">
        <f>U50*'Rate Class Customer Model'!P22</f>
        <v>58104381.490000002</v>
      </c>
      <c r="V67" s="6">
        <f>V50*'Rate Class Customer Model'!Q22</f>
        <v>39682870.949999996</v>
      </c>
    </row>
    <row r="69" spans="1:22" x14ac:dyDescent="0.2">
      <c r="A69" s="17" t="s">
        <v>47</v>
      </c>
      <c r="T69" s="6" t="s">
        <v>20</v>
      </c>
    </row>
    <row r="70" spans="1:22" x14ac:dyDescent="0.2">
      <c r="A70" s="17">
        <v>2018</v>
      </c>
      <c r="G70" s="19">
        <f>G14</f>
        <v>1613227055.7823238</v>
      </c>
      <c r="H70" s="6">
        <f t="shared" ref="H70:S70" si="35">H66+H78-H85</f>
        <v>453789900.748303</v>
      </c>
      <c r="I70" s="6">
        <f t="shared" si="35"/>
        <v>186565536.31280667</v>
      </c>
      <c r="J70" s="6">
        <f t="shared" si="35"/>
        <v>487155103.89883274</v>
      </c>
      <c r="K70" s="6">
        <f t="shared" si="35"/>
        <v>234220609.72181344</v>
      </c>
      <c r="L70" s="6">
        <f t="shared" si="35"/>
        <v>145628457.4468382</v>
      </c>
      <c r="M70" s="6">
        <f t="shared" si="35"/>
        <v>5151174.2704671035</v>
      </c>
      <c r="N70" s="6">
        <f t="shared" si="35"/>
        <v>126989.00000000001</v>
      </c>
      <c r="O70" s="6">
        <f t="shared" si="35"/>
        <v>2273987.9970972422</v>
      </c>
      <c r="P70" s="6">
        <f t="shared" si="35"/>
        <v>347756.59287776717</v>
      </c>
      <c r="Q70" s="6">
        <f t="shared" si="35"/>
        <v>12191720.381133871</v>
      </c>
      <c r="R70" s="6">
        <f t="shared" si="35"/>
        <v>43274121.534063838</v>
      </c>
      <c r="S70" s="6">
        <f t="shared" si="35"/>
        <v>12605162.219999999</v>
      </c>
      <c r="T70" s="6">
        <f>SUM(H70:S70)</f>
        <v>1583330520.1242337</v>
      </c>
      <c r="U70" s="6">
        <f>G70-T70</f>
        <v>29896535.658090115</v>
      </c>
    </row>
    <row r="71" spans="1:22" x14ac:dyDescent="0.2">
      <c r="A71" s="17">
        <v>2019</v>
      </c>
      <c r="B71" s="160"/>
      <c r="C71" s="160"/>
      <c r="D71" s="160"/>
      <c r="E71" s="160"/>
      <c r="F71" s="160"/>
      <c r="G71" s="19">
        <f>G15</f>
        <v>1619550183.6459317</v>
      </c>
      <c r="H71" s="6">
        <f t="shared" ref="H71:S71" si="36">H67+H79-H86</f>
        <v>455917687.37380087</v>
      </c>
      <c r="I71" s="6">
        <f t="shared" si="36"/>
        <v>191662012.20038912</v>
      </c>
      <c r="J71" s="6">
        <f t="shared" si="36"/>
        <v>487508783.298621</v>
      </c>
      <c r="K71" s="6">
        <f t="shared" si="36"/>
        <v>228523285.78499964</v>
      </c>
      <c r="L71" s="6">
        <f t="shared" si="36"/>
        <v>145141006.46077192</v>
      </c>
      <c r="M71" s="6">
        <f t="shared" si="36"/>
        <v>3798280.8279070696</v>
      </c>
      <c r="N71" s="6">
        <f t="shared" si="36"/>
        <v>126989.00000000001</v>
      </c>
      <c r="O71" s="6">
        <f t="shared" si="36"/>
        <v>2273987.9970972422</v>
      </c>
      <c r="P71" s="6">
        <f t="shared" si="36"/>
        <v>347756.59287776717</v>
      </c>
      <c r="Q71" s="6">
        <f t="shared" si="36"/>
        <v>12191720.381133871</v>
      </c>
      <c r="R71" s="6">
        <f t="shared" si="36"/>
        <v>43274121.534063838</v>
      </c>
      <c r="S71" s="6">
        <f t="shared" si="36"/>
        <v>12605162.219999999</v>
      </c>
      <c r="T71" s="6">
        <f>SUM(H71:S71)</f>
        <v>1583370793.6716626</v>
      </c>
      <c r="U71" s="6">
        <f>G71-T71</f>
        <v>36179389.974269152</v>
      </c>
    </row>
    <row r="73" spans="1:22" x14ac:dyDescent="0.2">
      <c r="A73" t="s">
        <v>49</v>
      </c>
      <c r="H73" s="111">
        <f>(100%+J73)/2</f>
        <v>0.73977685635363388</v>
      </c>
      <c r="I73" s="52">
        <f>H73</f>
        <v>0.73977685635363388</v>
      </c>
      <c r="J73" s="52">
        <v>0.47955371270726771</v>
      </c>
      <c r="K73" s="52">
        <v>0.22849704086909819</v>
      </c>
      <c r="L73" s="52">
        <v>0</v>
      </c>
      <c r="M73" s="52">
        <v>0</v>
      </c>
      <c r="N73" s="52"/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6" t="s">
        <v>20</v>
      </c>
      <c r="V73"/>
    </row>
    <row r="74" spans="1:22" x14ac:dyDescent="0.2">
      <c r="A74" s="17">
        <v>2018</v>
      </c>
      <c r="G74" s="6">
        <f>G70-G66</f>
        <v>11690032.094680071</v>
      </c>
      <c r="H74" s="6">
        <f t="shared" ref="H74:M75" si="37">H66*H$73</f>
        <v>339847010.12257695</v>
      </c>
      <c r="I74" s="6">
        <f t="shared" si="37"/>
        <v>141513768.78259715</v>
      </c>
      <c r="J74" s="6">
        <f t="shared" si="37"/>
        <v>234205194.94490242</v>
      </c>
      <c r="K74" s="6">
        <f t="shared" si="37"/>
        <v>54150550.637023985</v>
      </c>
      <c r="L74" s="6">
        <f t="shared" si="37"/>
        <v>0</v>
      </c>
      <c r="M74" s="6">
        <f t="shared" si="37"/>
        <v>0</v>
      </c>
      <c r="O74" s="6">
        <f t="shared" ref="O74:S75" si="38">O66*O$73</f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>SUM(H74:S74)</f>
        <v>769716524.4871006</v>
      </c>
    </row>
    <row r="75" spans="1:22" x14ac:dyDescent="0.2">
      <c r="A75" s="17">
        <v>2019</v>
      </c>
      <c r="G75" s="6">
        <f>G71-G67</f>
        <v>12972707.733731985</v>
      </c>
      <c r="H75" s="6">
        <f t="shared" si="37"/>
        <v>343992497.29212362</v>
      </c>
      <c r="I75" s="6">
        <f t="shared" si="37"/>
        <v>143225851.61910358</v>
      </c>
      <c r="J75" s="6">
        <f t="shared" si="37"/>
        <v>234851516.72365984</v>
      </c>
      <c r="K75" s="6">
        <f t="shared" si="37"/>
        <v>53170952.816349946</v>
      </c>
      <c r="L75" s="6">
        <f t="shared" si="37"/>
        <v>0</v>
      </c>
      <c r="M75" s="6">
        <f t="shared" si="37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>SUM(H75:S75)</f>
        <v>775240818.45123708</v>
      </c>
    </row>
    <row r="76" spans="1:22" ht="12" customHeight="1" x14ac:dyDescent="0.2"/>
    <row r="77" spans="1:22" x14ac:dyDescent="0.2">
      <c r="A77" t="s">
        <v>50</v>
      </c>
    </row>
    <row r="78" spans="1:22" x14ac:dyDescent="0.2">
      <c r="A78" s="17">
        <v>2018</v>
      </c>
      <c r="H78" s="6">
        <f t="shared" ref="H78:M78" si="39">H74/$T$74*$G$74</f>
        <v>5161409.8557404252</v>
      </c>
      <c r="I78" s="6">
        <f t="shared" si="39"/>
        <v>2149233.4467030391</v>
      </c>
      <c r="J78" s="6">
        <f t="shared" si="39"/>
        <v>3556979.9511204273</v>
      </c>
      <c r="K78" s="6">
        <f t="shared" si="39"/>
        <v>822408.8411161782</v>
      </c>
      <c r="L78" s="6">
        <f t="shared" si="39"/>
        <v>0</v>
      </c>
      <c r="M78" s="6">
        <f t="shared" si="39"/>
        <v>0</v>
      </c>
      <c r="O78" s="6">
        <f>O74/$T$74*$G$74</f>
        <v>0</v>
      </c>
      <c r="S78" s="6">
        <f>S74/$T$74*$G$74</f>
        <v>0</v>
      </c>
      <c r="T78" s="6">
        <f>SUM(H78:S78)</f>
        <v>11690032.094680071</v>
      </c>
    </row>
    <row r="79" spans="1:22" x14ac:dyDescent="0.2">
      <c r="A79" s="17">
        <v>2019</v>
      </c>
      <c r="G79" s="24"/>
      <c r="H79" s="6">
        <f t="shared" ref="H79:M79" si="40">H75/$T$75*$G$75</f>
        <v>5756294.0750236111</v>
      </c>
      <c r="I79" s="6">
        <f t="shared" si="40"/>
        <v>2396709.6013873853</v>
      </c>
      <c r="J79" s="6">
        <f t="shared" si="40"/>
        <v>3929953.1381310318</v>
      </c>
      <c r="K79" s="6">
        <f t="shared" si="40"/>
        <v>889750.91918995522</v>
      </c>
      <c r="L79" s="6">
        <f t="shared" si="40"/>
        <v>0</v>
      </c>
      <c r="M79" s="6">
        <f t="shared" si="40"/>
        <v>0</v>
      </c>
      <c r="O79" s="6">
        <f>O75/$T$75*$G$75</f>
        <v>0</v>
      </c>
      <c r="S79" s="6">
        <f>S75/$T$75*$G$75</f>
        <v>0</v>
      </c>
      <c r="T79" s="6">
        <f>SUM(H79:S79)</f>
        <v>12972707.733731985</v>
      </c>
    </row>
    <row r="80" spans="1:22" x14ac:dyDescent="0.2">
      <c r="G80" s="24"/>
    </row>
    <row r="81" spans="1:22" x14ac:dyDescent="0.2">
      <c r="A81" s="112" t="s">
        <v>223</v>
      </c>
    </row>
    <row r="82" spans="1:22" x14ac:dyDescent="0.2">
      <c r="A82" s="17">
        <v>2018</v>
      </c>
      <c r="B82" s="160"/>
      <c r="C82" s="160"/>
      <c r="D82" s="160"/>
      <c r="E82" s="160"/>
      <c r="F82" s="160"/>
      <c r="H82" s="111">
        <v>0.36</v>
      </c>
      <c r="I82" s="52">
        <v>0.23</v>
      </c>
      <c r="J82" s="52">
        <v>0.16</v>
      </c>
      <c r="K82" s="52">
        <v>0.12</v>
      </c>
      <c r="L82" s="52">
        <v>0.02</v>
      </c>
      <c r="M82" s="52">
        <v>0.11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78">
        <v>0</v>
      </c>
      <c r="T82" s="244">
        <f>SUM(H82:S82)</f>
        <v>1</v>
      </c>
      <c r="V82"/>
    </row>
    <row r="83" spans="1:22" x14ac:dyDescent="0.2">
      <c r="A83" s="17">
        <v>2019</v>
      </c>
      <c r="B83" s="160"/>
      <c r="C83" s="160"/>
      <c r="D83" s="160"/>
      <c r="E83" s="160"/>
      <c r="F83" s="160"/>
      <c r="H83" s="111">
        <v>0.41</v>
      </c>
      <c r="I83" s="52">
        <v>0.12</v>
      </c>
      <c r="J83" s="52">
        <v>0.17</v>
      </c>
      <c r="K83" s="52">
        <v>0.14000000000000001</v>
      </c>
      <c r="L83" s="52">
        <v>0.03</v>
      </c>
      <c r="M83" s="52">
        <v>0.13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78">
        <v>0</v>
      </c>
      <c r="T83" s="244">
        <f>SUM(H83:S83)</f>
        <v>1</v>
      </c>
      <c r="V83"/>
    </row>
    <row r="84" spans="1:22" x14ac:dyDescent="0.2">
      <c r="A84" s="112" t="s">
        <v>224</v>
      </c>
      <c r="B84" s="160"/>
      <c r="C84" s="160"/>
      <c r="D84" s="160"/>
      <c r="E84" s="160"/>
      <c r="F84" s="160"/>
      <c r="H84"/>
      <c r="I84"/>
      <c r="J84"/>
      <c r="K84"/>
      <c r="L84"/>
      <c r="M84"/>
      <c r="N84"/>
      <c r="O84"/>
      <c r="P84"/>
      <c r="Q84"/>
      <c r="R84"/>
      <c r="S84"/>
      <c r="V84"/>
    </row>
    <row r="85" spans="1:22" x14ac:dyDescent="0.2">
      <c r="A85" s="17">
        <v>2018</v>
      </c>
      <c r="G85" s="6">
        <f>'CDM Activity '!U7*0.5+'CDM Activity '!U8*0.5</f>
        <v>29896535.65808969</v>
      </c>
      <c r="H85" s="6">
        <f>$G$85*H82</f>
        <v>10762752.836912287</v>
      </c>
      <c r="I85" s="6">
        <f t="shared" ref="I85:S85" si="41">$G$85*I82</f>
        <v>6876203.2013606289</v>
      </c>
      <c r="J85" s="6">
        <f t="shared" si="41"/>
        <v>4783445.7052943502</v>
      </c>
      <c r="K85" s="6">
        <f t="shared" si="41"/>
        <v>3587584.2789707626</v>
      </c>
      <c r="L85" s="6">
        <f t="shared" si="41"/>
        <v>597930.71316179377</v>
      </c>
      <c r="M85" s="6">
        <f t="shared" si="41"/>
        <v>3288618.9223898659</v>
      </c>
      <c r="N85" s="6">
        <f t="shared" si="41"/>
        <v>0</v>
      </c>
      <c r="O85" s="6">
        <f t="shared" si="41"/>
        <v>0</v>
      </c>
      <c r="P85" s="6">
        <f t="shared" si="41"/>
        <v>0</v>
      </c>
      <c r="Q85" s="6">
        <f t="shared" ref="Q85:R85" si="42">$G$85*Q82</f>
        <v>0</v>
      </c>
      <c r="R85" s="6">
        <f t="shared" si="42"/>
        <v>0</v>
      </c>
      <c r="S85" s="6">
        <f t="shared" si="41"/>
        <v>0</v>
      </c>
      <c r="T85" s="6">
        <f>SUM(H85:S85)</f>
        <v>29896535.658089686</v>
      </c>
      <c r="U85" s="6">
        <f>G85-T85</f>
        <v>0</v>
      </c>
      <c r="V85"/>
    </row>
    <row r="86" spans="1:22" x14ac:dyDescent="0.2">
      <c r="A86" s="17">
        <v>2019</v>
      </c>
      <c r="G86" s="6">
        <f>'CDM Activity '!V7*0.5+'CDM Activity '!V8+'CDM Activity '!V9*0.5</f>
        <v>36179389.974269077</v>
      </c>
      <c r="H86" s="6">
        <f>$G$86*H83</f>
        <v>14833549.889450321</v>
      </c>
      <c r="I86" s="6">
        <f t="shared" ref="I86:S86" si="43">$G$86*I83</f>
        <v>4341526.7969122892</v>
      </c>
      <c r="J86" s="6">
        <f t="shared" si="43"/>
        <v>6150496.2956257435</v>
      </c>
      <c r="K86" s="6">
        <f t="shared" si="43"/>
        <v>5065114.5963976709</v>
      </c>
      <c r="L86" s="6">
        <f t="shared" si="43"/>
        <v>1085381.6992280723</v>
      </c>
      <c r="M86" s="6">
        <f>$G$86*M83</f>
        <v>4703320.6966549801</v>
      </c>
      <c r="N86" s="6">
        <f t="shared" si="43"/>
        <v>0</v>
      </c>
      <c r="O86" s="6">
        <f t="shared" si="43"/>
        <v>0</v>
      </c>
      <c r="P86" s="6">
        <f t="shared" si="43"/>
        <v>0</v>
      </c>
      <c r="Q86" s="6">
        <f t="shared" si="43"/>
        <v>0</v>
      </c>
      <c r="R86" s="6">
        <f t="shared" si="43"/>
        <v>0</v>
      </c>
      <c r="S86" s="6">
        <f t="shared" si="43"/>
        <v>0</v>
      </c>
      <c r="T86" s="6">
        <f>SUM(H86:S86)</f>
        <v>36179389.974269077</v>
      </c>
      <c r="U86" s="6">
        <f>G86-T86</f>
        <v>0</v>
      </c>
      <c r="V86"/>
    </row>
    <row r="87" spans="1:22" x14ac:dyDescent="0.2">
      <c r="A87" s="17"/>
      <c r="B87" s="160"/>
      <c r="C87" s="160"/>
      <c r="D87" s="160"/>
      <c r="E87" s="160"/>
      <c r="F87" s="160"/>
    </row>
    <row r="88" spans="1:22" x14ac:dyDescent="0.2">
      <c r="A88" s="17"/>
      <c r="B88" s="160"/>
      <c r="C88" s="160"/>
      <c r="D88" s="160"/>
      <c r="E88" s="160"/>
      <c r="F88" s="160"/>
    </row>
    <row r="89" spans="1:22" x14ac:dyDescent="0.2">
      <c r="A89" s="17"/>
      <c r="B89" s="160"/>
      <c r="C89" s="160"/>
      <c r="D89" s="160"/>
      <c r="E89" s="160"/>
      <c r="F89" s="160"/>
    </row>
    <row r="90" spans="1:22" x14ac:dyDescent="0.2">
      <c r="A90" s="17"/>
      <c r="B90" s="160"/>
      <c r="C90" s="160"/>
      <c r="D90" s="160"/>
      <c r="E90" s="160"/>
      <c r="F90" s="160"/>
    </row>
    <row r="92" spans="1:22" x14ac:dyDescent="0.2">
      <c r="A92" s="112" t="s">
        <v>116</v>
      </c>
    </row>
    <row r="93" spans="1:22" x14ac:dyDescent="0.2">
      <c r="A93" s="17">
        <v>2018</v>
      </c>
      <c r="B93" s="17"/>
      <c r="C93" s="17"/>
      <c r="D93" s="17"/>
      <c r="E93" s="17"/>
      <c r="F93" s="17"/>
      <c r="G93" s="17"/>
      <c r="S93" s="6">
        <f>U66</f>
        <v>58104381.490000002</v>
      </c>
    </row>
    <row r="94" spans="1:22" x14ac:dyDescent="0.2">
      <c r="A94" s="17">
        <v>2019</v>
      </c>
      <c r="S94" s="6">
        <f>S93</f>
        <v>58104381.490000002</v>
      </c>
    </row>
    <row r="98" spans="2:24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</sheetData>
  <phoneticPr fontId="0" type="noConversion"/>
  <pageMargins left="0.38" right="0.75" top="0.73" bottom="0.74" header="0.5" footer="0.5"/>
  <pageSetup scale="62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2014 Board Approved Proxy</vt:lpstr>
      <vt:lpstr>Summary</vt:lpstr>
      <vt:lpstr>Summary BCP</vt:lpstr>
      <vt:lpstr>Summary CND</vt:lpstr>
      <vt:lpstr>Purchased Power Model</vt:lpstr>
      <vt:lpstr>WMP pivot</vt:lpstr>
      <vt:lpstr>WMP historical data</vt:lpstr>
      <vt:lpstr>WMP Purchases</vt:lpstr>
      <vt:lpstr>Rate Class Energy Model</vt:lpstr>
      <vt:lpstr>Rate Class Customer Model</vt:lpstr>
      <vt:lpstr>Rate Class Load Model</vt:lpstr>
      <vt:lpstr>CDM Activity </vt:lpstr>
      <vt:lpstr>HDD and CDD</vt:lpstr>
      <vt:lpstr>Weather Analysis </vt:lpstr>
      <vt:lpstr>2018 COP Forecast</vt:lpstr>
      <vt:lpstr>2019 COP Forecast</vt:lpstr>
      <vt:lpstr>'CDM Activity '!Print_Area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2014-03-06T15:42:29Z</cp:lastPrinted>
  <dcterms:created xsi:type="dcterms:W3CDTF">2014-03-06T15:42:29Z</dcterms:created>
  <dcterms:modified xsi:type="dcterms:W3CDTF">2018-09-12T12:47:37Z</dcterms:modified>
</cp:coreProperties>
</file>