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904"/>
  <workbookPr defaultThemeVersion="124226"/>
  <mc:AlternateContent xmlns:mc="http://schemas.openxmlformats.org/markup-compatibility/2006">
    <mc:Choice Requires="x15">
      <x15ac:absPath xmlns:x15ac="http://schemas.microsoft.com/office/spreadsheetml/2010/11/ac" url="S:\Rates\_Alectra\Rate Applications\Rate Applications\2019 EDR Application\Interrogatories and IR tracker\2019 IRs_Rates Team\Board Staffs\BRZ\"/>
    </mc:Choice>
  </mc:AlternateContent>
  <xr:revisionPtr revIDLastSave="13" documentId="11_10761557F86024887EC434E831E1D595EE1A63C3" xr6:coauthVersionLast="37" xr6:coauthVersionMax="37" xr10:uidLastSave="{16BBEED7-B730-4723-8360-91B27C6DE09B}"/>
  <bookViews>
    <workbookView xWindow="0" yWindow="0" windowWidth="15360" windowHeight="8724" firstSheet="1" activeTab="1" xr2:uid="{00000000-000D-0000-FFFF-FFFF00000000}"/>
  </bookViews>
  <sheets>
    <sheet name="Instructions" sheetId="2" r:id="rId1"/>
    <sheet name="GA Analysis " sheetId="4" r:id="rId2"/>
    <sheet name="Non-RPP Consum Data Don't use" sheetId="5" state="hidden" r:id="rId3"/>
  </sheets>
  <externalReferences>
    <externalReference r:id="rId4"/>
    <externalReference r:id="rId5"/>
    <externalReference r:id="rId6"/>
    <externalReference r:id="rId7"/>
    <externalReference r:id="rId8"/>
  </externalReferences>
  <definedNames>
    <definedName name="GARate" localSheetId="1">#REF!</definedName>
    <definedName name="GARate">#REF!</definedName>
    <definedName name="listdata">'[1]4. Billing Det. for Def-Var'!#REF!</definedName>
    <definedName name="_xlnm.Print_Area" localSheetId="1">'GA Analysis '!$A$12:$K$107</definedName>
    <definedName name="_xlnm.Print_Area" localSheetId="0">Instructions!$A$11:$C$83</definedName>
  </definedNames>
  <calcPr calcId="179020"/>
</workbook>
</file>

<file path=xl/calcChain.xml><?xml version="1.0" encoding="utf-8"?>
<calcChain xmlns="http://schemas.openxmlformats.org/spreadsheetml/2006/main">
  <c r="C47" i="4" l="1"/>
  <c r="D47" i="4"/>
  <c r="E47" i="4"/>
  <c r="F47" i="4"/>
  <c r="C48" i="4"/>
  <c r="D48" i="4"/>
  <c r="E48" i="4"/>
  <c r="F48" i="4"/>
  <c r="C49" i="4"/>
  <c r="D49" i="4"/>
  <c r="E49" i="4"/>
  <c r="F49" i="4"/>
  <c r="C50" i="4"/>
  <c r="D50" i="4"/>
  <c r="E50" i="4"/>
  <c r="F50" i="4"/>
  <c r="C51" i="4"/>
  <c r="D51" i="4"/>
  <c r="E51" i="4"/>
  <c r="F51" i="4"/>
  <c r="C52" i="4"/>
  <c r="D52" i="4"/>
  <c r="E52" i="4"/>
  <c r="F52" i="4"/>
  <c r="C53" i="4"/>
  <c r="D53" i="4"/>
  <c r="E53" i="4"/>
  <c r="F53" i="4"/>
  <c r="C54" i="4"/>
  <c r="D54" i="4"/>
  <c r="E54" i="4"/>
  <c r="F54" i="4"/>
  <c r="C55" i="4"/>
  <c r="D55" i="4"/>
  <c r="E55" i="4"/>
  <c r="F55" i="4"/>
  <c r="C56" i="4"/>
  <c r="D56" i="4"/>
  <c r="E56" i="4"/>
  <c r="F56" i="4"/>
  <c r="C57" i="4"/>
  <c r="D57" i="4"/>
  <c r="E57" i="4"/>
  <c r="F57" i="4"/>
  <c r="C58" i="4"/>
  <c r="D58" i="4"/>
  <c r="E58" i="4"/>
  <c r="F58" i="4"/>
  <c r="F59" i="4"/>
  <c r="I47" i="4"/>
  <c r="D67" i="4"/>
  <c r="D66" i="4"/>
  <c r="D79" i="4"/>
  <c r="O45" i="4"/>
  <c r="E66" i="4"/>
  <c r="D24" i="4"/>
  <c r="F26" i="5"/>
  <c r="F23" i="5"/>
  <c r="D20" i="5"/>
  <c r="D21" i="5"/>
  <c r="D22" i="5"/>
  <c r="E20" i="5"/>
  <c r="E21" i="5"/>
  <c r="E22" i="5"/>
  <c r="F22" i="5"/>
  <c r="F24" i="5"/>
  <c r="F25" i="5"/>
  <c r="D22" i="4"/>
  <c r="F21" i="5"/>
  <c r="F30" i="5"/>
  <c r="E17" i="5"/>
  <c r="D17" i="5"/>
  <c r="B15" i="5"/>
  <c r="B12" i="5"/>
  <c r="B9" i="5"/>
  <c r="B6" i="5"/>
  <c r="F20" i="5"/>
  <c r="F29" i="5"/>
  <c r="F27" i="5"/>
  <c r="F31" i="5"/>
  <c r="F32" i="5"/>
  <c r="G48" i="4"/>
  <c r="L48" i="4"/>
  <c r="G49" i="4"/>
  <c r="L49" i="4"/>
  <c r="G50" i="4"/>
  <c r="L50" i="4"/>
  <c r="G51" i="4"/>
  <c r="L51" i="4"/>
  <c r="G52" i="4"/>
  <c r="L52" i="4"/>
  <c r="G53" i="4"/>
  <c r="L53" i="4"/>
  <c r="G54" i="4"/>
  <c r="L54" i="4"/>
  <c r="G55" i="4"/>
  <c r="L55" i="4"/>
  <c r="G56" i="4"/>
  <c r="L56" i="4"/>
  <c r="G57" i="4"/>
  <c r="L57" i="4"/>
  <c r="G58" i="4"/>
  <c r="L58" i="4"/>
  <c r="G47" i="4"/>
  <c r="L47" i="4"/>
  <c r="I58" i="4"/>
  <c r="I57" i="4"/>
  <c r="I56" i="4"/>
  <c r="I55" i="4"/>
  <c r="I54" i="4"/>
  <c r="I53" i="4"/>
  <c r="I52" i="4"/>
  <c r="I51" i="4"/>
  <c r="I50" i="4"/>
  <c r="I49" i="4"/>
  <c r="I48" i="4"/>
  <c r="M48" i="4"/>
  <c r="M49" i="4"/>
  <c r="M50" i="4"/>
  <c r="M51" i="4"/>
  <c r="M52" i="4"/>
  <c r="M54" i="4"/>
  <c r="M55" i="4"/>
  <c r="M56" i="4"/>
  <c r="M57" i="4"/>
  <c r="M58" i="4"/>
  <c r="D21" i="4"/>
  <c r="C44" i="4"/>
  <c r="F88" i="4"/>
  <c r="G88" i="4"/>
  <c r="I88" i="4"/>
  <c r="F89" i="4"/>
  <c r="G89" i="4"/>
  <c r="F90" i="4"/>
  <c r="G90" i="4"/>
  <c r="F91" i="4"/>
  <c r="G91" i="4"/>
  <c r="G92" i="4"/>
  <c r="J52" i="4"/>
  <c r="H54" i="4"/>
  <c r="J56" i="4"/>
  <c r="I91" i="4"/>
  <c r="I90" i="4"/>
  <c r="I89" i="4"/>
  <c r="D92" i="4"/>
  <c r="F92" i="4"/>
  <c r="J51" i="4"/>
  <c r="J55" i="4"/>
  <c r="H58" i="4"/>
  <c r="H50" i="4"/>
  <c r="H49" i="4"/>
  <c r="J54" i="4"/>
  <c r="K54" i="4"/>
  <c r="H57" i="4"/>
  <c r="J57" i="4"/>
  <c r="J58" i="4"/>
  <c r="H52" i="4"/>
  <c r="K52" i="4"/>
  <c r="H56" i="4"/>
  <c r="K56" i="4"/>
  <c r="H51" i="4"/>
  <c r="K51" i="4"/>
  <c r="J48" i="4"/>
  <c r="H55" i="4"/>
  <c r="K55" i="4"/>
  <c r="J50" i="4"/>
  <c r="K50" i="4"/>
  <c r="K58" i="4"/>
  <c r="J49" i="4"/>
  <c r="K49" i="4"/>
  <c r="H48" i="4"/>
  <c r="K57" i="4"/>
  <c r="K48" i="4"/>
  <c r="C92" i="4"/>
  <c r="H92" i="4"/>
  <c r="E92" i="4"/>
  <c r="M47" i="4"/>
  <c r="E59" i="4"/>
  <c r="M53" i="4"/>
  <c r="D59" i="4"/>
  <c r="C59" i="4"/>
  <c r="H53" i="4"/>
  <c r="J53" i="4"/>
  <c r="J47" i="4"/>
  <c r="J59" i="4"/>
  <c r="H47" i="4"/>
  <c r="H59" i="4"/>
  <c r="K53" i="4"/>
  <c r="K47" i="4"/>
  <c r="K59" i="4"/>
  <c r="D80" i="4"/>
  <c r="D81" i="4"/>
  <c r="D82" i="4"/>
  <c r="E82" i="4"/>
  <c r="F25" i="4"/>
  <c r="F26" i="4"/>
  <c r="F24" i="4"/>
  <c r="F23" i="4"/>
</calcChain>
</file>

<file path=xl/sharedStrings.xml><?xml version="1.0" encoding="utf-8"?>
<sst xmlns="http://schemas.openxmlformats.org/spreadsheetml/2006/main" count="264" uniqueCount="196">
  <si>
    <t>version 1.4</t>
  </si>
  <si>
    <t>Instructions on Account 1589 RSVA - Global Adjustment (GA) Analysis Workform</t>
  </si>
  <si>
    <t xml:space="preserve">Purpose: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</si>
  <si>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</si>
  <si>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Notes to GA Analysis:</t>
  </si>
  <si>
    <t>Refer to the GA Analysis Tab to complete the below steps.</t>
  </si>
  <si>
    <t>Note that this is a generic analysis template, utilities may need to alter the analysis as needed for their specific circumstances. Any alternations to the analysis must be clearly disclosed and explained.</t>
  </si>
  <si>
    <t>Indicate which years the balance requested for disposition pertains to (e.g. 2016, or 2016 and 2015)</t>
  </si>
  <si>
    <t>Complete the Consumption Data Table for consumption (unadjusted for the loss factor) for each year that is being requested for disposition. The data should agree to the RRR data reported, where applicable (i.e. Total Metered excluding WMP, RPP and non-RPP).</t>
  </si>
  <si>
    <t xml:space="preserve">GA Billing Rate </t>
  </si>
  <si>
    <t xml:space="preserve"> • Indicate the GA rate that is used to bill customers (also used for unbilled revenue) in the drop down box. Note that the “Other” rate is to represent a combination of the first estimate, second estimate and/or actual rate.</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</si>
  <si>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</si>
  <si>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 Where a distributor does not apply the same GA rate to all non-RPP Class B customers, the distributor must adapt the GA Analysis for this and breakdown the monthly non-RPP Class B volumes for each GA rate that was applied.</t>
  </si>
  <si>
    <t>*O.Reg 429/04, section 16(3)</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</si>
  <si>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</si>
  <si>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</si>
  <si>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</si>
  <si>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</si>
  <si>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</si>
  <si>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</si>
  <si>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Column F :</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</si>
  <si>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</si>
  <si>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Column G, H :</t>
  </si>
  <si>
    <t>Prior month unbilled consumption is to be deducted and current month unbilled consumption is to be added. Note that monthly non-RPP Class B unbilled consumption may not be readily available and may require estimates or allocations to be done.</t>
  </si>
  <si>
    <t>Column J :</t>
  </si>
  <si>
    <t xml:space="preserve">Fill in the GA rate billed by linking the cells to the applicable cells in the GA Rates Per IESO Website Table. </t>
  </si>
  <si>
    <t xml:space="preserve">Column L: </t>
  </si>
  <si>
    <t>Fill in the actual GA rate paid by linking the cells to the applicable cells in the GA Rates Per IESO Website Table.</t>
  </si>
  <si>
    <t>Reconciling Items</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</si>
  <si>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</si>
  <si>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The purpose of this section is to ensure that reconciling items have been appropriately factored into the GA Analysis. Reconciling items must be considered for each year requested for disposition. </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</si>
  <si>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</si>
  <si>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</si>
  <si>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</si>
  <si>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</si>
  <si>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</si>
  <si>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 xml:space="preserve">a.    Prior year impacts should be removed, </t>
  </si>
  <si>
    <t>b.    Current year impacts should be added.</t>
  </si>
  <si>
    <t>2)</t>
  </si>
  <si>
    <t xml:space="preserve">Unbilled revenue differences between the unbilled and actual billed amounts, which could relate to rate used or consumption volumes </t>
  </si>
  <si>
    <t xml:space="preserve">Analyses may have to be performed to identify the portion of the billed amounts that corresponded to the amount that was unbilled and recorded in the general ledger.  </t>
  </si>
  <si>
    <t xml:space="preserve">a.    Prior year end unbilled revenue differences should be removed, </t>
  </si>
  <si>
    <t>b.    Current year end unbilled revenue differences should be added.</t>
  </si>
  <si>
    <t xml:space="preserve">3) </t>
  </si>
  <si>
    <t xml:space="preserve">Accrual to actual differences in long term load transfers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</si>
  <si>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</si>
  <si>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</si>
  <si>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b.    Current year end differences should be added.</t>
  </si>
  <si>
    <t>4)</t>
  </si>
  <si>
    <t xml:space="preserve">GA balances pertaining to Class A customers must be excluded from the GA balance as the GA balance should only relate to Class B.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</si>
  <si>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</si>
  <si>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</si>
  <si>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5)</t>
  </si>
  <si>
    <t>Significant prior period billing adjustments</t>
  </si>
  <si>
    <t>Cancel and rebills for billing adjustments may be recorded in the current year revenue GL balance but would not be included in the current year consumption charged by the IESO.</t>
  </si>
  <si>
    <t>6)</t>
  </si>
  <si>
    <t>Differences in GA IESO posted rate and rate charged on IESO invoice</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</si>
  <si>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</si>
  <si>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7-10)</t>
  </si>
  <si>
    <t>Any other items that cause differences between the expected GA amount and the GA recorded in the general ledger.</t>
  </si>
  <si>
    <t>Any remaining unreconciled balance that is greater than +/- 1% of the GA payments to the IESO annually must be analyzed and investigated to identify any additional reconciling items or to identify corrections to the balance requested for disposition.</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</si>
  <si>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</si>
  <si>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</si>
  <si>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</si>
  <si>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Please provide any additional details in the Additional Notes and Comments textbox.</t>
  </si>
  <si>
    <t>Account 1589 Global Adjustment (GA) Analysis Workform</t>
  </si>
  <si>
    <t>Input cells</t>
  </si>
  <si>
    <t>Drop down cells</t>
  </si>
  <si>
    <t>Note 1</t>
  </si>
  <si>
    <t>Year(s) Requested for Disposition</t>
  </si>
  <si>
    <t>Note 2</t>
  </si>
  <si>
    <t>Consumption Data Excluding for Loss Factor (Data to agree with RRR as applicable)</t>
  </si>
  <si>
    <t>Year</t>
  </si>
  <si>
    <t>Total Metered excluding WMP</t>
  </si>
  <si>
    <t>C = A+B</t>
  </si>
  <si>
    <t>kWh</t>
  </si>
  <si>
    <t xml:space="preserve">RPP </t>
  </si>
  <si>
    <t>A</t>
  </si>
  <si>
    <t>Non RPP</t>
  </si>
  <si>
    <t>B = D+E</t>
  </si>
  <si>
    <t>Non-RPP Class A</t>
  </si>
  <si>
    <t>D</t>
  </si>
  <si>
    <r>
      <t>Non-RPP Class B</t>
    </r>
    <r>
      <rPr>
        <sz val="11"/>
        <color rgb="FFFF0000"/>
        <rFont val="Arial"/>
        <family val="2"/>
      </rPr>
      <t>*</t>
    </r>
  </si>
  <si>
    <t>E</t>
  </si>
  <si>
    <t>*Non-RPP Class B consumption reported in this table is not expected to directly agree with the Non-RPP Class B Including Loss Adjusted Billed Consumption in the GA Analysis of Expected Balance table below.  The difference should be equal to the loss factor.</t>
  </si>
  <si>
    <t>Note 3</t>
  </si>
  <si>
    <t>GA Billing Rate</t>
  </si>
  <si>
    <t xml:space="preserve">GA is billed on the </t>
  </si>
  <si>
    <t>1st Estimate</t>
  </si>
  <si>
    <t>GA Billing Rate Description</t>
  </si>
  <si>
    <t>Note 4</t>
  </si>
  <si>
    <t>GA Rates per IESO website</t>
  </si>
  <si>
    <t>Calendar Month</t>
  </si>
  <si>
    <t>Non-RPP Class B Including Loss Factor Billed Consumption (kWh)</t>
  </si>
  <si>
    <t>Deduct Previous Month Unbilled Loss Adjusted Consumption (kWh)</t>
  </si>
  <si>
    <t>Add Current Month Unbilled Loss Adjusted Consumption (kWh)</t>
  </si>
  <si>
    <t>Non-RPP Class B Including Loss Adjusted Consumption, Adjusted for Unbilled (kWh)</t>
  </si>
  <si>
    <t>GA Rate Billed  ($/kWh)</t>
  </si>
  <si>
    <t>$ Consumption at GA Rate Billed</t>
  </si>
  <si>
    <t>GA Actual Rate Paid ($/kWh)</t>
  </si>
  <si>
    <t>$ Consumption at Actual Rate Paid</t>
  </si>
  <si>
    <t>Expected GA Variance ($)</t>
  </si>
  <si>
    <t>F</t>
  </si>
  <si>
    <t>G</t>
  </si>
  <si>
    <t>H</t>
  </si>
  <si>
    <t>I = F-G+H</t>
  </si>
  <si>
    <t>J</t>
  </si>
  <si>
    <t>K = I*J</t>
  </si>
  <si>
    <t>L</t>
  </si>
  <si>
    <t>M = I*L</t>
  </si>
  <si>
    <t>=M-K</t>
  </si>
  <si>
    <t>($/kWh)</t>
  </si>
  <si>
    <t>First Estimate</t>
  </si>
  <si>
    <t>Second Estimate</t>
  </si>
  <si>
    <t>Actual</t>
  </si>
  <si>
    <t>January</t>
  </si>
  <si>
    <t>February</t>
  </si>
  <si>
    <t>March</t>
  </si>
  <si>
    <t>April</t>
  </si>
  <si>
    <t>May</t>
  </si>
  <si>
    <t>June</t>
  </si>
  <si>
    <t>July</t>
  </si>
  <si>
    <t>August</t>
  </si>
  <si>
    <t>September</t>
  </si>
  <si>
    <t>October</t>
  </si>
  <si>
    <t xml:space="preserve">November </t>
  </si>
  <si>
    <t>December</t>
  </si>
  <si>
    <t>Net Change in Expected GA Balance in the Year (i.e. Transactions in the Year)</t>
  </si>
  <si>
    <t xml:space="preserve">Note 5 </t>
  </si>
  <si>
    <t xml:space="preserve">Reconciling Items </t>
  </si>
  <si>
    <t xml:space="preserve"> Item</t>
  </si>
  <si>
    <t>Applicability of Reconciling Item (Y/N)</t>
  </si>
  <si>
    <t>Amount (Quantify if it is a significant reconciling item)</t>
  </si>
  <si>
    <t>Explanation</t>
  </si>
  <si>
    <t xml:space="preserve"> Net Change in Principal Balance in the GL (i.e. Transactions in the Year)</t>
  </si>
  <si>
    <t>1a</t>
  </si>
  <si>
    <t>Remove impacts to GA from prior year RPP Settlement true up process that are booked in current year</t>
  </si>
  <si>
    <t>1b</t>
  </si>
  <si>
    <t>Add impacts to GA from current year RPP Settlement true up process that are booked in subsequent year</t>
  </si>
  <si>
    <t>DR $593k relates to current year but recorded in the GL in the following year, therefore, should record the DR in current year</t>
  </si>
  <si>
    <t>2a</t>
  </si>
  <si>
    <t>Remove prior year end unbilled to actual revenue differences</t>
  </si>
  <si>
    <t>No prior year end unbilled to actual revenue differences booked in current year</t>
  </si>
  <si>
    <t>2b</t>
  </si>
  <si>
    <t>Add current year end unbilled to actual revenue differences</t>
  </si>
  <si>
    <t>No current year end unbilled to actual revenue differences booked in the following year</t>
  </si>
  <si>
    <t>3a</t>
  </si>
  <si>
    <t>Remove difference between prior year accrual to forecast from long term load transfers</t>
  </si>
  <si>
    <t>No difference between prior year accrual to forecast from long term load transfers</t>
  </si>
  <si>
    <t>3b</t>
  </si>
  <si>
    <t>Add difference between current year accrual to forecast from long term load transfers</t>
  </si>
  <si>
    <t>No difference between current year accrual to forecast from long term load transfers</t>
  </si>
  <si>
    <t>Remove GA balances pertaining to Class A customers</t>
  </si>
  <si>
    <t xml:space="preserve">Insignificant amount relating to Class A customers </t>
  </si>
  <si>
    <t>Significant prior period billing adjustments included in current year GL balance but would not be included in the billing consumption used in the GA Analysis</t>
  </si>
  <si>
    <t>No significant prior period billing adjustments</t>
  </si>
  <si>
    <t>Not a reconciling item</t>
  </si>
  <si>
    <t>Note 6</t>
  </si>
  <si>
    <t>Adjusted Net Change in Principal Balance in the GL</t>
  </si>
  <si>
    <t>Net Change in Expected GA Balance in the Year Per Analysis</t>
  </si>
  <si>
    <t>Unresolved Difference</t>
  </si>
  <si>
    <t>Unresolved Difference as % of Expected GA Payments to IESO</t>
  </si>
  <si>
    <t xml:space="preserve">Note 7 </t>
  </si>
  <si>
    <t>Summary of GA  (if multiple years requested for disposition)</t>
  </si>
  <si>
    <t>Annual Net Change in Expected GA Balance from GA Analysis (cell K59)</t>
  </si>
  <si>
    <t xml:space="preserve"> Net Change in Principal Balance in the  GL (cell D65)</t>
  </si>
  <si>
    <t>Reconciling Items (sum of cells D66 to D78)</t>
  </si>
  <si>
    <t>Payments to IESO (cell J59)</t>
  </si>
  <si>
    <t xml:space="preserve">Cumulative Balance </t>
  </si>
  <si>
    <t>N/A</t>
  </si>
  <si>
    <t>Additional Notes and Comments</t>
  </si>
  <si>
    <t>Transition Customers - Non-loss Adjusted Billing Determinants by Customer</t>
  </si>
  <si>
    <t>From 2018 IRM</t>
  </si>
  <si>
    <t>Customer</t>
  </si>
  <si>
    <t>Rate Class</t>
  </si>
  <si>
    <t>January to June</t>
  </si>
  <si>
    <t>July to December</t>
  </si>
  <si>
    <t>Customer 1</t>
  </si>
  <si>
    <t>GENERAL SERVICE 700 TO 4,999 KW SERVICE CLASSIFICATION</t>
  </si>
  <si>
    <t>kW</t>
  </si>
  <si>
    <t>Class A/B</t>
  </si>
  <si>
    <t>B</t>
  </si>
  <si>
    <t>Customer 2</t>
  </si>
  <si>
    <t>Customer 3</t>
  </si>
  <si>
    <t>Customer 4</t>
  </si>
  <si>
    <t>Total kWh</t>
  </si>
  <si>
    <t>Total 2016</t>
  </si>
  <si>
    <t>Trasition to</t>
  </si>
  <si>
    <t>Class A</t>
  </si>
  <si>
    <t>Calss B</t>
  </si>
  <si>
    <t>Class B</t>
  </si>
  <si>
    <t>Total Non RPP</t>
  </si>
  <si>
    <t>Per IRM</t>
  </si>
  <si>
    <t>CC</t>
  </si>
  <si>
    <t>Total</t>
  </si>
  <si>
    <t>Total Non-RPP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</si>
</sst>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 numFmtId="170" formatCode="_-* #,##0.00000_-;\-* #,##0.00000_-;_-* &quot;-&quot;??_-;_-@_-"/>
    <numFmt numFmtId="171" formatCode="_-* #,##0.0000_-;\-* #,##0.0000_-;_-* &quot;-&quot;??_-;_-@_-"/>
  </numFmts>
  <fonts count="2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
      <sz val="11"/>
      <color rgb="FFFF0000"/>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color rgb="FF333333"/>
      <name val="Whitney SSm A"/>
    </font>
  </fonts>
  <fills count="9">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FF"/>
        <bgColor indexed="64"/>
      </patternFill>
    </fill>
    <fill>
      <patternFill patternType="solid">
        <fgColor rgb="FFF4F4F4"/>
        <bgColor indexed="64"/>
      </patternFill>
    </fill>
  </fills>
  <borders count="2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rgb="FFD7D7D7"/>
      </bottom>
      <diagonal/>
    </border>
  </borders>
  <cellStyleXfs count="7">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cellStyleXfs>
  <cellXfs count="178">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Alignment="1">
      <alignment horizontal="left" vertical="center"/>
    </xf>
    <xf numFmtId="167" fontId="2" fillId="0" borderId="2" xfId="1" applyNumberFormat="1" applyFont="1" applyBorder="1"/>
    <xf numFmtId="167" fontId="2" fillId="0" borderId="8"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Alignment="1">
      <alignment vertical="center"/>
    </xf>
    <xf numFmtId="0" fontId="8" fillId="0" borderId="0" xfId="0" applyFont="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2" xfId="0" applyFont="1" applyBorder="1" applyAlignment="1">
      <alignment horizontal="center" wrapText="1"/>
    </xf>
    <xf numFmtId="0" fontId="2" fillId="0" borderId="3" xfId="0" applyFont="1" applyBorder="1"/>
    <xf numFmtId="168" fontId="2" fillId="0" borderId="3" xfId="0" applyNumberFormat="1" applyFont="1" applyBorder="1"/>
    <xf numFmtId="168" fontId="2" fillId="0" borderId="0" xfId="0" applyNumberFormat="1" applyFont="1"/>
    <xf numFmtId="0" fontId="2" fillId="0" borderId="10" xfId="0" applyFont="1" applyBorder="1"/>
    <xf numFmtId="168" fontId="2" fillId="0" borderId="10" xfId="0" applyNumberFormat="1" applyFont="1" applyBorder="1"/>
    <xf numFmtId="0" fontId="3" fillId="0" borderId="15" xfId="0" applyFont="1" applyBorder="1"/>
    <xf numFmtId="167" fontId="3" fillId="0" borderId="15" xfId="1" applyNumberFormat="1" applyFont="1" applyBorder="1"/>
    <xf numFmtId="167"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Border="1" applyAlignment="1">
      <alignment wrapText="1"/>
    </xf>
    <xf numFmtId="0" fontId="3" fillId="0" borderId="17" xfId="0" applyFont="1" applyBorder="1" applyAlignment="1">
      <alignment wrapText="1"/>
    </xf>
    <xf numFmtId="169" fontId="2" fillId="0" borderId="2" xfId="5" applyNumberFormat="1" applyFont="1" applyBorder="1"/>
    <xf numFmtId="0" fontId="2" fillId="3" borderId="2" xfId="0" applyFont="1" applyFill="1" applyBorder="1"/>
    <xf numFmtId="0" fontId="2" fillId="0" borderId="0" xfId="0" applyFont="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0" fontId="13" fillId="0" borderId="0" xfId="0" applyFont="1"/>
    <xf numFmtId="164" fontId="12" fillId="0" borderId="0" xfId="1" applyFont="1"/>
    <xf numFmtId="9" fontId="12" fillId="0" borderId="0" xfId="4" applyFont="1"/>
    <xf numFmtId="166"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Border="1" applyAlignment="1">
      <alignment horizontal="right"/>
    </xf>
    <xf numFmtId="0" fontId="6" fillId="0" borderId="0" xfId="0" applyFont="1"/>
    <xf numFmtId="0" fontId="6" fillId="0" borderId="0" xfId="0" applyFont="1" applyAlignment="1">
      <alignment wrapText="1"/>
    </xf>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2" xfId="1" applyFont="1" applyBorder="1"/>
    <xf numFmtId="164" fontId="6" fillId="0" borderId="12" xfId="1" applyFont="1" applyBorder="1" applyAlignment="1">
      <alignment horizontal="center"/>
    </xf>
    <xf numFmtId="0" fontId="7" fillId="0" borderId="21" xfId="0" applyFont="1" applyBorder="1"/>
    <xf numFmtId="0" fontId="6" fillId="0" borderId="19" xfId="0" applyFont="1" applyBorder="1" applyAlignment="1">
      <alignment horizontal="center" wrapText="1"/>
    </xf>
    <xf numFmtId="0" fontId="6" fillId="0" borderId="18" xfId="0" applyFont="1" applyBorder="1" applyAlignment="1">
      <alignment horizontal="center" wrapText="1"/>
    </xf>
    <xf numFmtId="0" fontId="10" fillId="0" borderId="0" xfId="0" applyFont="1" applyAlignment="1">
      <alignment horizontal="center"/>
    </xf>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0" fontId="3" fillId="2" borderId="3" xfId="0" applyFont="1" applyFill="1" applyBorder="1" applyAlignment="1">
      <alignment horizontal="center"/>
    </xf>
    <xf numFmtId="169" fontId="3" fillId="0" borderId="15"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Border="1"/>
    <xf numFmtId="166" fontId="7" fillId="0" borderId="15" xfId="4" applyNumberFormat="1" applyFont="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Border="1"/>
    <xf numFmtId="167" fontId="7" fillId="2" borderId="15"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5" xfId="5" applyNumberFormat="1" applyFont="1" applyBorder="1" applyAlignment="1">
      <alignment vertical="center"/>
    </xf>
    <xf numFmtId="169" fontId="7" fillId="2" borderId="24" xfId="5" applyNumberFormat="1" applyFont="1" applyFill="1" applyBorder="1" applyAlignment="1">
      <alignment vertical="center"/>
    </xf>
    <xf numFmtId="169" fontId="2" fillId="0" borderId="0" xfId="0" applyNumberFormat="1" applyFont="1"/>
    <xf numFmtId="167" fontId="2" fillId="0" borderId="0" xfId="0" applyNumberFormat="1" applyFont="1"/>
    <xf numFmtId="167" fontId="7" fillId="0" borderId="0" xfId="0" applyNumberFormat="1" applyFont="1"/>
    <xf numFmtId="164" fontId="2" fillId="0" borderId="0" xfId="0" applyNumberFormat="1" applyFont="1"/>
    <xf numFmtId="167"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167" fontId="6" fillId="0" borderId="12" xfId="1" applyNumberFormat="1" applyFont="1" applyBorder="1"/>
    <xf numFmtId="167" fontId="7" fillId="4" borderId="2" xfId="1" applyNumberFormat="1" applyFont="1" applyFill="1" applyBorder="1"/>
    <xf numFmtId="167"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0" fontId="2" fillId="0" borderId="0" xfId="4" applyNumberFormat="1" applyFont="1"/>
    <xf numFmtId="164" fontId="2" fillId="2" borderId="2" xfId="1" applyFont="1" applyFill="1" applyBorder="1"/>
    <xf numFmtId="0" fontId="19" fillId="0" borderId="0" xfId="0" applyFont="1"/>
    <xf numFmtId="0" fontId="17" fillId="0" borderId="3" xfId="0" applyFont="1" applyBorder="1" applyAlignment="1">
      <alignment horizontal="center"/>
    </xf>
    <xf numFmtId="0" fontId="17" fillId="0" borderId="24" xfId="0" applyFont="1" applyBorder="1" applyAlignment="1">
      <alignment horizontal="center"/>
    </xf>
    <xf numFmtId="0" fontId="17" fillId="0" borderId="2" xfId="0" applyFont="1" applyBorder="1" applyAlignment="1">
      <alignment horizontal="center"/>
    </xf>
    <xf numFmtId="0" fontId="0" fillId="0" borderId="3" xfId="0" applyBorder="1" applyAlignment="1">
      <alignment horizontal="left" vertical="top"/>
    </xf>
    <xf numFmtId="0" fontId="0" fillId="3" borderId="2" xfId="0" applyFill="1" applyBorder="1" applyProtection="1">
      <protection locked="0"/>
    </xf>
    <xf numFmtId="0" fontId="0" fillId="0" borderId="3" xfId="0" applyBorder="1" applyAlignment="1">
      <alignment horizontal="right"/>
    </xf>
    <xf numFmtId="169" fontId="0" fillId="2" borderId="2" xfId="6" applyNumberFormat="1" applyFont="1" applyFill="1" applyBorder="1" applyProtection="1">
      <protection locked="0"/>
    </xf>
    <xf numFmtId="0" fontId="0" fillId="0" borderId="25" xfId="0" applyBorder="1" applyAlignment="1">
      <alignment horizontal="left" vertical="top"/>
    </xf>
    <xf numFmtId="0" fontId="18" fillId="0" borderId="3" xfId="0" applyFont="1" applyBorder="1"/>
    <xf numFmtId="0" fontId="0" fillId="0" borderId="25" xfId="0" applyBorder="1" applyAlignment="1">
      <alignment horizontal="right"/>
    </xf>
    <xf numFmtId="0" fontId="0" fillId="0" borderId="24" xfId="0" applyBorder="1" applyAlignment="1">
      <alignment vertical="top"/>
    </xf>
    <xf numFmtId="0" fontId="0" fillId="0" borderId="2" xfId="0" applyBorder="1"/>
    <xf numFmtId="0" fontId="0" fillId="0" borderId="24" xfId="0" applyBorder="1" applyAlignment="1">
      <alignment horizontal="right"/>
    </xf>
    <xf numFmtId="0" fontId="0" fillId="3" borderId="2" xfId="0" applyFill="1" applyBorder="1" applyAlignment="1" applyProtection="1">
      <alignment horizontal="center"/>
      <protection locked="0"/>
    </xf>
    <xf numFmtId="169" fontId="0" fillId="0" borderId="0" xfId="0" applyNumberFormat="1"/>
    <xf numFmtId="165" fontId="0" fillId="0" borderId="0" xfId="0" applyNumberFormat="1"/>
    <xf numFmtId="0" fontId="16" fillId="0" borderId="0" xfId="0" applyFont="1"/>
    <xf numFmtId="0" fontId="0" fillId="5" borderId="0" xfId="0" applyFill="1"/>
    <xf numFmtId="169" fontId="0" fillId="5" borderId="0" xfId="0" applyNumberFormat="1" applyFill="1"/>
    <xf numFmtId="0" fontId="0" fillId="5" borderId="0" xfId="0" applyFill="1" applyAlignment="1">
      <alignment horizontal="right"/>
    </xf>
    <xf numFmtId="165" fontId="0" fillId="5" borderId="0" xfId="5" applyFont="1" applyFill="1"/>
    <xf numFmtId="165" fontId="0" fillId="5" borderId="0" xfId="0" applyNumberFormat="1" applyFill="1"/>
    <xf numFmtId="0" fontId="0" fillId="6" borderId="0" xfId="0" applyFill="1"/>
    <xf numFmtId="165" fontId="17" fillId="6" borderId="0" xfId="0" applyNumberFormat="1" applyFont="1" applyFill="1"/>
    <xf numFmtId="165" fontId="0" fillId="6" borderId="0" xfId="0" applyNumberFormat="1" applyFill="1"/>
    <xf numFmtId="0" fontId="20" fillId="8" borderId="26" xfId="0" applyFont="1" applyFill="1" applyBorder="1" applyAlignment="1">
      <alignment vertical="top" wrapText="1" indent="1"/>
    </xf>
    <xf numFmtId="0" fontId="20" fillId="7" borderId="26" xfId="0" applyFont="1" applyFill="1" applyBorder="1" applyAlignment="1">
      <alignment vertical="top" wrapText="1" indent="1"/>
    </xf>
    <xf numFmtId="167" fontId="2" fillId="0" borderId="0" xfId="4" applyNumberFormat="1" applyFont="1"/>
    <xf numFmtId="170" fontId="2" fillId="0" borderId="0" xfId="0" applyNumberFormat="1" applyFont="1"/>
    <xf numFmtId="169" fontId="2" fillId="0" borderId="0" xfId="5" applyNumberFormat="1" applyFont="1"/>
    <xf numFmtId="171" fontId="2" fillId="0" borderId="0" xfId="0" applyNumberFormat="1" applyFont="1"/>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xf numFmtId="0" fontId="17" fillId="0" borderId="9" xfId="0" applyFont="1" applyBorder="1" applyAlignment="1">
      <alignment horizontal="center"/>
    </xf>
    <xf numFmtId="0" fontId="0" fillId="0" borderId="1" xfId="0" applyBorder="1" applyAlignment="1">
      <alignment horizontal="center"/>
    </xf>
    <xf numFmtId="0" fontId="17" fillId="0" borderId="3" xfId="0" applyFont="1" applyBorder="1" applyAlignment="1">
      <alignment horizontal="center"/>
    </xf>
    <xf numFmtId="0" fontId="17" fillId="0" borderId="24" xfId="0" applyFont="1" applyBorder="1" applyAlignment="1">
      <alignment horizontal="center"/>
    </xf>
    <xf numFmtId="169" fontId="7" fillId="0" borderId="24" xfId="5" applyNumberFormat="1" applyFont="1" applyFill="1" applyBorder="1" applyAlignment="1">
      <alignment vertical="center"/>
    </xf>
    <xf numFmtId="0" fontId="2" fillId="0" borderId="0" xfId="0" applyFont="1" applyFill="1"/>
  </cellXfs>
  <cellStyles count="7">
    <cellStyle name="Comma" xfId="5" builtinId="3"/>
    <cellStyle name="Comma 2 2" xfId="6" xr:uid="{00000000-0005-0000-0000-000001000000}"/>
    <cellStyle name="Currency" xfId="1" builtinId="4"/>
    <cellStyle name="Normal" xfId="0" builtinId="0"/>
    <cellStyle name="Normal 2" xfId="2" xr:uid="{00000000-0005-0000-0000-000004000000}"/>
    <cellStyle name="Percent" xfId="4" builtinId="5"/>
    <cellStyle name="Percent 2"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All</a:t>
          </a:r>
          <a:r>
            <a:rPr lang="en-CA" sz="1100" baseline="0">
              <a:solidFill>
                <a:schemeClr val="dk1"/>
              </a:solidFill>
              <a:effectLst/>
              <a:latin typeface="+mn-lt"/>
              <a:ea typeface="+mn-ea"/>
              <a:cs typeface="+mn-cs"/>
            </a:rPr>
            <a:t> non-RPP Class B customers are billed on the first GA estimate.  </a:t>
          </a:r>
          <a:r>
            <a:rPr lang="en-CA" sz="1100" b="0" i="0" baseline="0">
              <a:solidFill>
                <a:schemeClr val="dk1"/>
              </a:solidFill>
              <a:effectLst/>
              <a:latin typeface="+mn-lt"/>
              <a:ea typeface="+mn-ea"/>
              <a:cs typeface="+mn-cs"/>
            </a:rPr>
            <a:t>The billing cycle is not on a calendar month basis for all customers, so Brampton RZ weights on days from one month to the next approciately.</a:t>
          </a:r>
          <a:endParaRPr lang="en-CA">
            <a:effectLst/>
          </a:endParaRPr>
        </a:p>
        <a:p>
          <a:r>
            <a:rPr lang="en-CA" sz="1100" baseline="0">
              <a:solidFill>
                <a:schemeClr val="dk1"/>
              </a:solidFill>
              <a:effectLst/>
              <a:latin typeface="+mn-lt"/>
              <a:ea typeface="+mn-ea"/>
              <a:cs typeface="+mn-cs"/>
            </a:rPr>
            <a:t>Brampton RZ confirms that the GA rate used is applied consistently for all billing and unbilled revenue transactions for non-RPP Class B customers in each customer class.</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EB%20Filings\2018\2018%20IRM\2018%20IRM%20Rate%20Generator%20Model%20-%20V1.0%20-%20HOBNI%20Jul%2024,%202017.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oselivanov.HOBDOMAIN\Desktop\2019%20IRM%20OLGA\GA%20Revenue%20Analysis%202017%20updat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egulatory%20and%20Communications\Monthly%20Financial%20Analysis\2017\Working\01%20Jan\Estimate%20&amp;%20IESO%20Jan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egulatory%20and%20Communications\Monthly%20Financial%20Analysis\2018\1.%20Jan\Estimate%20&amp;%20IESO%20Jan%20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EB%20Filings\2018\2018%20IRM\GA%20Analysis%20Workform\Attachment%2017%20-%20IRM%20Model_Brampton%20RZ_2017070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Class A Consumption Data"/>
      <sheetName val="6.1 GA"/>
      <sheetName val="6.1a GA Allocation"/>
      <sheetName val="6.2 CBR B"/>
      <sheetName val="6.2a CBR B_Allocation"/>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Form Summary"/>
      <sheetName val="Summary updated"/>
      <sheetName val="Summary original"/>
    </sheetNames>
    <sheetDataSet>
      <sheetData sheetId="0">
        <row r="1">
          <cell r="B1" t="str">
            <v>Billing</v>
          </cell>
          <cell r="C1" t="str">
            <v>Prior Month Unbilled Read</v>
          </cell>
          <cell r="D1" t="str">
            <v>Prior Month Unbilled UnRead</v>
          </cell>
          <cell r="E1" t="str">
            <v>Total PM Unbilled</v>
          </cell>
          <cell r="F1" t="str">
            <v>Current Month Unbilled Read</v>
          </cell>
          <cell r="G1" t="str">
            <v>Current Month Unbilled UnRead</v>
          </cell>
          <cell r="H1" t="str">
            <v>Total CM Unbilled</v>
          </cell>
        </row>
        <row r="2">
          <cell r="B2" t="str">
            <v>kWh</v>
          </cell>
          <cell r="C2" t="str">
            <v>kWh</v>
          </cell>
          <cell r="D2" t="str">
            <v>kWh</v>
          </cell>
          <cell r="E2" t="str">
            <v>kWh</v>
          </cell>
          <cell r="F2" t="str">
            <v>kWh</v>
          </cell>
          <cell r="G2" t="str">
            <v>kWh</v>
          </cell>
          <cell r="H2" t="str">
            <v>kWh</v>
          </cell>
        </row>
        <row r="3">
          <cell r="A3" t="str">
            <v>January</v>
          </cell>
          <cell r="B3">
            <v>156990156</v>
          </cell>
          <cell r="C3">
            <v>141927776.14046502</v>
          </cell>
          <cell r="D3">
            <v>10395455</v>
          </cell>
          <cell r="E3">
            <v>152323231.14046502</v>
          </cell>
          <cell r="F3">
            <v>184518982</v>
          </cell>
          <cell r="G3">
            <v>9305138</v>
          </cell>
          <cell r="H3">
            <v>193824120</v>
          </cell>
        </row>
        <row r="4">
          <cell r="A4" t="str">
            <v>February</v>
          </cell>
          <cell r="B4">
            <v>149889615</v>
          </cell>
          <cell r="C4">
            <v>143348284.00162601</v>
          </cell>
          <cell r="D4">
            <v>9305138</v>
          </cell>
          <cell r="E4">
            <v>152653422.00162601</v>
          </cell>
          <cell r="F4">
            <v>173269430</v>
          </cell>
          <cell r="G4">
            <v>8083025</v>
          </cell>
          <cell r="H4">
            <v>181352455</v>
          </cell>
        </row>
        <row r="5">
          <cell r="A5" t="str">
            <v>March</v>
          </cell>
          <cell r="B5">
            <v>148061428</v>
          </cell>
          <cell r="C5">
            <v>135292362.75165001</v>
          </cell>
          <cell r="D5">
            <v>8083025</v>
          </cell>
          <cell r="E5">
            <v>143375387.75165001</v>
          </cell>
          <cell r="F5">
            <v>189635099</v>
          </cell>
          <cell r="G5">
            <v>9875393</v>
          </cell>
          <cell r="H5">
            <v>199510492</v>
          </cell>
        </row>
        <row r="6">
          <cell r="A6" t="str">
            <v>April</v>
          </cell>
          <cell r="B6">
            <v>155436920</v>
          </cell>
          <cell r="C6">
            <v>146693768.21382999</v>
          </cell>
          <cell r="D6">
            <v>9875393</v>
          </cell>
          <cell r="E6">
            <v>156569161.21382999</v>
          </cell>
          <cell r="F6">
            <v>172402026</v>
          </cell>
          <cell r="G6">
            <v>7563546</v>
          </cell>
          <cell r="H6">
            <v>179965572</v>
          </cell>
        </row>
        <row r="7">
          <cell r="A7" t="str">
            <v>May</v>
          </cell>
          <cell r="B7">
            <v>144542986</v>
          </cell>
          <cell r="C7">
            <v>134222351.65011001</v>
          </cell>
          <cell r="D7">
            <v>7563546</v>
          </cell>
          <cell r="E7">
            <v>141785897.65011001</v>
          </cell>
          <cell r="F7">
            <v>179919124</v>
          </cell>
          <cell r="G7">
            <v>18111376</v>
          </cell>
          <cell r="H7">
            <v>198030500</v>
          </cell>
        </row>
        <row r="8">
          <cell r="A8" t="str">
            <v>June</v>
          </cell>
          <cell r="B8">
            <v>150620379</v>
          </cell>
          <cell r="C8">
            <v>136312035.73932999</v>
          </cell>
          <cell r="D8">
            <v>18111376</v>
          </cell>
          <cell r="E8">
            <v>154423411.73932999</v>
          </cell>
          <cell r="F8">
            <v>186594687</v>
          </cell>
          <cell r="G8">
            <v>9082965</v>
          </cell>
          <cell r="H8">
            <v>195677652</v>
          </cell>
        </row>
        <row r="9">
          <cell r="A9" t="str">
            <v>July</v>
          </cell>
          <cell r="B9">
            <v>155655339</v>
          </cell>
          <cell r="C9">
            <v>142904309.44617</v>
          </cell>
          <cell r="D9">
            <v>9082965</v>
          </cell>
          <cell r="E9">
            <v>151987274.44617</v>
          </cell>
          <cell r="F9">
            <v>187259286</v>
          </cell>
          <cell r="G9">
            <v>8730551</v>
          </cell>
          <cell r="H9">
            <v>195989837</v>
          </cell>
        </row>
        <row r="10">
          <cell r="A10" t="str">
            <v>August</v>
          </cell>
          <cell r="B10">
            <v>115117636</v>
          </cell>
          <cell r="C10">
            <v>102468064.372306</v>
          </cell>
          <cell r="D10">
            <v>8730551</v>
          </cell>
          <cell r="E10">
            <v>111198615.372306</v>
          </cell>
          <cell r="F10">
            <v>197936378</v>
          </cell>
          <cell r="G10">
            <v>8808775</v>
          </cell>
          <cell r="H10">
            <v>206745153</v>
          </cell>
        </row>
        <row r="11">
          <cell r="A11" t="str">
            <v>September</v>
          </cell>
          <cell r="B11">
            <v>117487821</v>
          </cell>
          <cell r="C11">
            <v>106749681.45038399</v>
          </cell>
          <cell r="D11">
            <v>8808775</v>
          </cell>
          <cell r="E11">
            <v>115558456.45038399</v>
          </cell>
          <cell r="F11">
            <v>187958086</v>
          </cell>
          <cell r="G11">
            <v>8410322</v>
          </cell>
          <cell r="H11">
            <v>196368408</v>
          </cell>
        </row>
        <row r="12">
          <cell r="A12" t="str">
            <v>October</v>
          </cell>
          <cell r="B12">
            <v>113342231</v>
          </cell>
          <cell r="C12">
            <v>102462042.95667499</v>
          </cell>
          <cell r="D12">
            <v>8410322</v>
          </cell>
          <cell r="E12">
            <v>110872364.95667499</v>
          </cell>
          <cell r="F12">
            <v>182057181</v>
          </cell>
          <cell r="G12">
            <v>7573202</v>
          </cell>
          <cell r="H12">
            <v>189630383</v>
          </cell>
        </row>
        <row r="13">
          <cell r="A13" t="str">
            <v xml:space="preserve">November </v>
          </cell>
          <cell r="B13">
            <v>107319222</v>
          </cell>
          <cell r="C13">
            <v>95817137.91426</v>
          </cell>
          <cell r="D13">
            <v>7573202</v>
          </cell>
          <cell r="E13">
            <v>103390339.91426</v>
          </cell>
          <cell r="F13">
            <v>182695235</v>
          </cell>
          <cell r="G13">
            <v>9489809</v>
          </cell>
          <cell r="H13">
            <v>192185044</v>
          </cell>
        </row>
        <row r="14">
          <cell r="A14" t="str">
            <v>December</v>
          </cell>
          <cell r="B14">
            <v>103545613</v>
          </cell>
          <cell r="C14">
            <v>98062591.037851989</v>
          </cell>
          <cell r="D14">
            <v>9489809</v>
          </cell>
          <cell r="E14">
            <v>107552400.03785199</v>
          </cell>
          <cell r="F14">
            <v>181722336</v>
          </cell>
          <cell r="G14">
            <v>11159825</v>
          </cell>
          <cell r="H14">
            <v>192882161</v>
          </cell>
        </row>
        <row r="15">
          <cell r="B15">
            <v>1618009346</v>
          </cell>
          <cell r="E15">
            <v>1601689962.6746578</v>
          </cell>
          <cell r="H15">
            <v>2322161777</v>
          </cell>
        </row>
        <row r="16">
          <cell r="A16" t="str">
            <v>Total Check Workform</v>
          </cell>
          <cell r="B16">
            <v>0</v>
          </cell>
          <cell r="E16">
            <v>720716562.32534218</v>
          </cell>
          <cell r="H16">
            <v>0</v>
          </cell>
        </row>
      </sheetData>
      <sheetData sheetId="1">
        <row r="1">
          <cell r="B1" t="str">
            <v>Billing</v>
          </cell>
          <cell r="E1" t="str">
            <v>Current Month Unbilled Read</v>
          </cell>
          <cell r="H1" t="str">
            <v>Current Month Unbilled UnRead</v>
          </cell>
          <cell r="K1" t="str">
            <v>Prior Month Unbilled Read</v>
          </cell>
          <cell r="N1" t="str">
            <v>Prior Month Unbilled UnRead</v>
          </cell>
          <cell r="Q1" t="str">
            <v>Total Revenue</v>
          </cell>
        </row>
        <row r="2">
          <cell r="B2" t="str">
            <v>$</v>
          </cell>
          <cell r="C2" t="str">
            <v>kWh</v>
          </cell>
          <cell r="E2" t="str">
            <v>$</v>
          </cell>
          <cell r="F2" t="str">
            <v>kWh</v>
          </cell>
          <cell r="H2" t="str">
            <v>$</v>
          </cell>
          <cell r="I2" t="str">
            <v>kWh</v>
          </cell>
          <cell r="K2" t="str">
            <v>$</v>
          </cell>
          <cell r="L2" t="str">
            <v>kWh</v>
          </cell>
          <cell r="N2" t="str">
            <v>$</v>
          </cell>
          <cell r="O2" t="str">
            <v>kWh</v>
          </cell>
        </row>
        <row r="3">
          <cell r="A3" t="str">
            <v>January</v>
          </cell>
          <cell r="B3">
            <v>16506872</v>
          </cell>
          <cell r="C3">
            <v>156990156</v>
          </cell>
          <cell r="D3">
            <v>0.10514590481711478</v>
          </cell>
          <cell r="E3">
            <v>12570048</v>
          </cell>
          <cell r="F3">
            <v>143348284.00162601</v>
          </cell>
          <cell r="G3">
            <v>6.8123332698638017E-2</v>
          </cell>
          <cell r="H3">
            <v>621581</v>
          </cell>
          <cell r="I3">
            <v>9305138</v>
          </cell>
          <cell r="J3">
            <v>6.6799761594078452E-2</v>
          </cell>
          <cell r="K3">
            <v>18094603</v>
          </cell>
          <cell r="L3">
            <v>141927776.14046502</v>
          </cell>
          <cell r="M3">
            <v>0.12749162631909264</v>
          </cell>
          <cell r="N3">
            <v>1100877</v>
          </cell>
          <cell r="O3">
            <v>10395455</v>
          </cell>
          <cell r="P3">
            <v>0.10589983795803069</v>
          </cell>
          <cell r="Q3">
            <v>10503021</v>
          </cell>
        </row>
        <row r="4">
          <cell r="A4" t="str">
            <v>February</v>
          </cell>
          <cell r="B4">
            <v>10117149</v>
          </cell>
          <cell r="C4">
            <v>149889615</v>
          </cell>
          <cell r="D4">
            <v>6.7497331286093434E-2</v>
          </cell>
          <cell r="E4">
            <v>16950174</v>
          </cell>
          <cell r="F4">
            <v>135292362.75165001</v>
          </cell>
          <cell r="G4">
            <v>9.7825531024139684E-2</v>
          </cell>
          <cell r="H4">
            <v>852760</v>
          </cell>
          <cell r="I4">
            <v>8083025</v>
          </cell>
          <cell r="J4">
            <v>0.10550010670510113</v>
          </cell>
          <cell r="K4">
            <v>12570048</v>
          </cell>
          <cell r="L4">
            <v>143348284.00162601</v>
          </cell>
          <cell r="M4">
            <v>8.768886274116415E-2</v>
          </cell>
          <cell r="N4">
            <v>621581</v>
          </cell>
          <cell r="O4">
            <v>9305138</v>
          </cell>
          <cell r="P4">
            <v>6.6799761594078452E-2</v>
          </cell>
          <cell r="Q4">
            <v>14728454</v>
          </cell>
        </row>
        <row r="5">
          <cell r="A5" t="str">
            <v>March</v>
          </cell>
          <cell r="B5">
            <v>15333824</v>
          </cell>
          <cell r="C5">
            <v>148061428</v>
          </cell>
          <cell r="D5">
            <v>0.10356393428813884</v>
          </cell>
          <cell r="E5">
            <v>14734541</v>
          </cell>
          <cell r="F5">
            <v>146693768.21382999</v>
          </cell>
          <cell r="G5">
            <v>7.7699440017694188E-2</v>
          </cell>
          <cell r="H5">
            <v>829531</v>
          </cell>
          <cell r="I5">
            <v>9875393</v>
          </cell>
          <cell r="J5">
            <v>8.3999796261272838E-2</v>
          </cell>
          <cell r="K5">
            <v>16950174</v>
          </cell>
          <cell r="L5">
            <v>135292362.75165001</v>
          </cell>
          <cell r="M5">
            <v>0.12528551985683523</v>
          </cell>
          <cell r="N5">
            <v>852760</v>
          </cell>
          <cell r="O5">
            <v>8083025</v>
          </cell>
          <cell r="P5">
            <v>0.10550010670510113</v>
          </cell>
          <cell r="Q5">
            <v>13094962</v>
          </cell>
        </row>
        <row r="6">
          <cell r="A6" t="str">
            <v>April</v>
          </cell>
          <cell r="B6">
            <v>13042095</v>
          </cell>
          <cell r="C6">
            <v>155436920</v>
          </cell>
          <cell r="D6">
            <v>8.390603081944753E-2</v>
          </cell>
          <cell r="E6">
            <v>12030431</v>
          </cell>
          <cell r="F6">
            <v>134222351.65011001</v>
          </cell>
          <cell r="G6">
            <v>6.978126231532801E-2</v>
          </cell>
          <cell r="H6">
            <v>519613</v>
          </cell>
          <cell r="I6">
            <v>7563546</v>
          </cell>
          <cell r="J6">
            <v>6.8699654897319329E-2</v>
          </cell>
          <cell r="K6">
            <v>14734541</v>
          </cell>
          <cell r="L6">
            <v>146693768.21382999</v>
          </cell>
          <cell r="M6">
            <v>0.10044421913357637</v>
          </cell>
          <cell r="N6">
            <v>829531</v>
          </cell>
          <cell r="O6">
            <v>9875393</v>
          </cell>
          <cell r="P6">
            <v>8.3999796261272838E-2</v>
          </cell>
          <cell r="Q6">
            <v>10028067</v>
          </cell>
        </row>
        <row r="7">
          <cell r="A7" t="str">
            <v>May</v>
          </cell>
          <cell r="B7">
            <v>10119731</v>
          </cell>
          <cell r="C7">
            <v>144542986</v>
          </cell>
          <cell r="D7">
            <v>7.0011913272637116E-2</v>
          </cell>
          <cell r="E7">
            <v>18063669</v>
          </cell>
          <cell r="F7">
            <v>136312035.73932999</v>
          </cell>
          <cell r="G7">
            <v>0.10039882697516914</v>
          </cell>
          <cell r="H7">
            <v>1923428</v>
          </cell>
          <cell r="I7">
            <v>18111376</v>
          </cell>
          <cell r="J7">
            <v>0.10619999275593417</v>
          </cell>
          <cell r="K7">
            <v>12030431</v>
          </cell>
          <cell r="L7">
            <v>134222351.65011001</v>
          </cell>
          <cell r="M7">
            <v>8.9630608107365409E-2</v>
          </cell>
          <cell r="N7">
            <v>519613</v>
          </cell>
          <cell r="O7">
            <v>7563546</v>
          </cell>
          <cell r="P7">
            <v>6.8699654897319329E-2</v>
          </cell>
          <cell r="Q7">
            <v>17556784</v>
          </cell>
        </row>
        <row r="8">
          <cell r="A8" t="str">
            <v>June</v>
          </cell>
          <cell r="B8">
            <v>16019263</v>
          </cell>
          <cell r="C8">
            <v>150620379</v>
          </cell>
          <cell r="D8">
            <v>0.10635521638144331</v>
          </cell>
          <cell r="E8">
            <v>20913581</v>
          </cell>
          <cell r="F8">
            <v>142904309.44617</v>
          </cell>
          <cell r="G8">
            <v>0.11208025982004514</v>
          </cell>
          <cell r="H8">
            <v>1085415</v>
          </cell>
          <cell r="I8">
            <v>9082965</v>
          </cell>
          <cell r="J8">
            <v>0.11950007514066167</v>
          </cell>
          <cell r="K8">
            <v>18063669</v>
          </cell>
          <cell r="L8">
            <v>136312035.73932999</v>
          </cell>
          <cell r="M8">
            <v>0.13251705105881642</v>
          </cell>
          <cell r="N8">
            <v>1923428</v>
          </cell>
          <cell r="O8">
            <v>18111376</v>
          </cell>
          <cell r="P8">
            <v>0.10619999275593417</v>
          </cell>
          <cell r="Q8">
            <v>18031162</v>
          </cell>
        </row>
        <row r="9">
          <cell r="A9" t="str">
            <v>July</v>
          </cell>
          <cell r="B9">
            <v>18521212</v>
          </cell>
          <cell r="C9">
            <v>155655339</v>
          </cell>
          <cell r="D9">
            <v>0.11898860725875905</v>
          </cell>
          <cell r="E9">
            <v>17918361</v>
          </cell>
          <cell r="F9">
            <v>102468064.372306</v>
          </cell>
          <cell r="G9">
            <v>9.568743629621658E-2</v>
          </cell>
          <cell r="H9">
            <v>929891</v>
          </cell>
          <cell r="I9">
            <v>8730551</v>
          </cell>
          <cell r="J9">
            <v>0.10651000148787861</v>
          </cell>
          <cell r="K9">
            <v>20913581</v>
          </cell>
          <cell r="L9">
            <v>142904309.44617</v>
          </cell>
          <cell r="M9">
            <v>0.14634674826148503</v>
          </cell>
          <cell r="N9">
            <v>1085415</v>
          </cell>
          <cell r="O9">
            <v>9082965</v>
          </cell>
          <cell r="P9">
            <v>0.11950007514066167</v>
          </cell>
          <cell r="Q9">
            <v>15370468</v>
          </cell>
        </row>
        <row r="10">
          <cell r="A10" t="str">
            <v>August</v>
          </cell>
          <cell r="B10">
            <v>12319538</v>
          </cell>
          <cell r="C10">
            <v>115117636</v>
          </cell>
          <cell r="D10">
            <v>0.10701694742932351</v>
          </cell>
          <cell r="E10">
            <v>18810737</v>
          </cell>
          <cell r="F10">
            <v>106749681.45038399</v>
          </cell>
          <cell r="G10">
            <v>9.5034258937485461E-2</v>
          </cell>
          <cell r="H10">
            <v>1013028</v>
          </cell>
          <cell r="I10">
            <v>8808775</v>
          </cell>
          <cell r="J10">
            <v>0.11500214274970129</v>
          </cell>
          <cell r="K10">
            <v>17918361</v>
          </cell>
          <cell r="L10">
            <v>102468064.372306</v>
          </cell>
          <cell r="M10">
            <v>0.17486776108989122</v>
          </cell>
          <cell r="N10">
            <v>929891</v>
          </cell>
          <cell r="O10">
            <v>8730551</v>
          </cell>
          <cell r="P10">
            <v>0.10651000148787861</v>
          </cell>
          <cell r="Q10">
            <v>13295051</v>
          </cell>
        </row>
        <row r="11">
          <cell r="A11" t="str">
            <v>September</v>
          </cell>
          <cell r="B11">
            <v>13553380</v>
          </cell>
          <cell r="C11">
            <v>117487821</v>
          </cell>
          <cell r="D11">
            <v>0.11535987206708004</v>
          </cell>
          <cell r="E11">
            <v>18383406</v>
          </cell>
          <cell r="F11">
            <v>102462042.95667499</v>
          </cell>
          <cell r="G11">
            <v>9.780587997687952E-2</v>
          </cell>
          <cell r="H11">
            <v>1070544</v>
          </cell>
          <cell r="I11">
            <v>8410322</v>
          </cell>
          <cell r="J11">
            <v>0.12728929998161784</v>
          </cell>
          <cell r="K11">
            <v>18810737</v>
          </cell>
          <cell r="L11">
            <v>106749681.45038399</v>
          </cell>
          <cell r="M11">
            <v>0.17621351880795083</v>
          </cell>
          <cell r="N11">
            <v>1013028</v>
          </cell>
          <cell r="O11">
            <v>8808775</v>
          </cell>
          <cell r="P11">
            <v>0.11500214274970129</v>
          </cell>
          <cell r="Q11">
            <v>13183565</v>
          </cell>
        </row>
        <row r="12">
          <cell r="A12" t="str">
            <v>October</v>
          </cell>
          <cell r="B12">
            <v>14306815</v>
          </cell>
          <cell r="C12">
            <v>113342231</v>
          </cell>
          <cell r="D12">
            <v>0.12622669303200851</v>
          </cell>
          <cell r="E12">
            <v>16918235</v>
          </cell>
          <cell r="F12">
            <v>95817137.91426</v>
          </cell>
          <cell r="G12">
            <v>9.2928138879619371E-2</v>
          </cell>
          <cell r="H12">
            <v>773221</v>
          </cell>
          <cell r="I12">
            <v>7573202</v>
          </cell>
          <cell r="J12">
            <v>0.10209961387534626</v>
          </cell>
          <cell r="K12">
            <v>18383406</v>
          </cell>
          <cell r="L12">
            <v>102462042.95667499</v>
          </cell>
          <cell r="M12">
            <v>0.17941674272270006</v>
          </cell>
          <cell r="N12">
            <v>1070544</v>
          </cell>
          <cell r="O12">
            <v>8410322</v>
          </cell>
          <cell r="P12">
            <v>0.12728929998161784</v>
          </cell>
          <cell r="Q12">
            <v>12544321</v>
          </cell>
        </row>
        <row r="13">
          <cell r="A13" t="str">
            <v xml:space="preserve">November </v>
          </cell>
          <cell r="B13">
            <v>11013491</v>
          </cell>
          <cell r="C13">
            <v>107319222</v>
          </cell>
          <cell r="D13">
            <v>0.10262365673877136</v>
          </cell>
          <cell r="E13">
            <v>16815131</v>
          </cell>
          <cell r="F13">
            <v>98062591.037851989</v>
          </cell>
          <cell r="G13">
            <v>9.2039242293319806E-2</v>
          </cell>
          <cell r="H13">
            <v>1059062</v>
          </cell>
          <cell r="I13">
            <v>9489809</v>
          </cell>
          <cell r="J13">
            <v>0.11159992788052953</v>
          </cell>
          <cell r="K13">
            <v>16918235</v>
          </cell>
          <cell r="L13">
            <v>95817137.91426</v>
          </cell>
          <cell r="M13">
            <v>0.17656794356703637</v>
          </cell>
          <cell r="N13">
            <v>773221</v>
          </cell>
          <cell r="O13">
            <v>7573202</v>
          </cell>
          <cell r="P13">
            <v>0.10209961387534626</v>
          </cell>
          <cell r="Q13">
            <v>11196228</v>
          </cell>
        </row>
        <row r="14">
          <cell r="A14" t="str">
            <v>December</v>
          </cell>
          <cell r="B14">
            <v>11515758</v>
          </cell>
          <cell r="C14">
            <v>103545613</v>
          </cell>
          <cell r="D14">
            <v>0.11121434956399361</v>
          </cell>
          <cell r="E14">
            <v>15423514</v>
          </cell>
          <cell r="F14">
            <v>103341145.53692099</v>
          </cell>
          <cell r="G14">
            <v>8.4874068534976352E-2</v>
          </cell>
          <cell r="H14">
            <v>936309</v>
          </cell>
          <cell r="I14">
            <v>11159825</v>
          </cell>
          <cell r="J14">
            <v>8.3899971549733082E-2</v>
          </cell>
          <cell r="K14">
            <v>16815131</v>
          </cell>
          <cell r="L14">
            <v>98062591.037851989</v>
          </cell>
          <cell r="M14">
            <v>0.17147345202728112</v>
          </cell>
          <cell r="N14">
            <v>1059062</v>
          </cell>
          <cell r="O14">
            <v>9489809</v>
          </cell>
          <cell r="P14">
            <v>0.11159992788052953</v>
          </cell>
          <cell r="Q14">
            <v>10001388</v>
          </cell>
        </row>
        <row r="18">
          <cell r="A18" t="str">
            <v>reason for update:</v>
          </cell>
        </row>
        <row r="19">
          <cell r="A19" t="str">
            <v>the unbilled  kwhs for GS&gt;50, GS&gt;700 and LU were included in this calculations (all kWhs are under one WO on NRBL668)</v>
          </cell>
        </row>
        <row r="20">
          <cell r="A20" t="str">
            <v>the kwhs accrued for Class A monthly are deducted from the Colums  F and L</v>
          </cell>
        </row>
        <row r="21">
          <cell r="F21" t="str">
            <v>total kWhs  (GA)</v>
          </cell>
        </row>
        <row r="22">
          <cell r="C22" t="str">
            <v>kWhs uplifted accrued for Class A</v>
          </cell>
          <cell r="F22" t="str">
            <v>per Revenue Validation</v>
          </cell>
        </row>
        <row r="23">
          <cell r="A23">
            <v>42705</v>
          </cell>
          <cell r="C23">
            <v>40803677.859534994</v>
          </cell>
          <cell r="F23" t="str">
            <v>CM ubilled</v>
          </cell>
          <cell r="G23" t="str">
            <v>PM unbilled</v>
          </cell>
        </row>
        <row r="24">
          <cell r="A24">
            <v>42736</v>
          </cell>
          <cell r="C24">
            <v>41170697.998374</v>
          </cell>
          <cell r="F24">
            <v>184518982</v>
          </cell>
          <cell r="G24">
            <v>182731454</v>
          </cell>
        </row>
        <row r="25">
          <cell r="A25">
            <v>42767</v>
          </cell>
          <cell r="C25">
            <v>37977067.248349994</v>
          </cell>
          <cell r="F25">
            <v>173269430</v>
          </cell>
          <cell r="G25">
            <v>184518982</v>
          </cell>
        </row>
        <row r="26">
          <cell r="A26">
            <v>42795</v>
          </cell>
          <cell r="C26">
            <v>42941330.786170006</v>
          </cell>
          <cell r="F26">
            <v>189635099</v>
          </cell>
          <cell r="G26">
            <v>173269430</v>
          </cell>
        </row>
        <row r="27">
          <cell r="A27">
            <v>42826</v>
          </cell>
          <cell r="C27">
            <v>38179674.349889994</v>
          </cell>
          <cell r="F27">
            <v>172402026</v>
          </cell>
          <cell r="G27">
            <v>189635099</v>
          </cell>
        </row>
        <row r="28">
          <cell r="A28">
            <v>42856</v>
          </cell>
          <cell r="C28">
            <v>43607088.260669999</v>
          </cell>
          <cell r="F28">
            <v>179919124</v>
          </cell>
          <cell r="G28">
            <v>172402026</v>
          </cell>
        </row>
        <row r="29">
          <cell r="A29">
            <v>42887</v>
          </cell>
          <cell r="C29">
            <v>43690377.553830005</v>
          </cell>
          <cell r="F29">
            <v>186594687</v>
          </cell>
          <cell r="G29">
            <v>179919124</v>
          </cell>
        </row>
        <row r="30">
          <cell r="A30">
            <v>42917</v>
          </cell>
          <cell r="C30">
            <v>84791221.627693996</v>
          </cell>
          <cell r="F30">
            <v>187259286</v>
          </cell>
          <cell r="G30">
            <v>186594687</v>
          </cell>
        </row>
        <row r="31">
          <cell r="A31">
            <v>42948</v>
          </cell>
          <cell r="C31">
            <v>91186696.549616009</v>
          </cell>
          <cell r="F31">
            <v>197936378</v>
          </cell>
          <cell r="G31">
            <v>187259286</v>
          </cell>
        </row>
        <row r="32">
          <cell r="A32">
            <v>42979</v>
          </cell>
          <cell r="C32">
            <v>85496043.043325007</v>
          </cell>
          <cell r="F32">
            <v>187958086</v>
          </cell>
          <cell r="G32">
            <v>197936378</v>
          </cell>
        </row>
        <row r="33">
          <cell r="A33">
            <v>43009</v>
          </cell>
          <cell r="C33">
            <v>86240043.08574</v>
          </cell>
          <cell r="F33">
            <v>182057181</v>
          </cell>
          <cell r="G33">
            <v>187958086</v>
          </cell>
        </row>
        <row r="34">
          <cell r="A34">
            <v>43040</v>
          </cell>
          <cell r="C34">
            <v>84632643.962148011</v>
          </cell>
          <cell r="F34">
            <v>182695235</v>
          </cell>
          <cell r="G34">
            <v>182057181</v>
          </cell>
        </row>
        <row r="35">
          <cell r="A35">
            <v>43070</v>
          </cell>
          <cell r="C35">
            <v>78381190.463079005</v>
          </cell>
          <cell r="F35">
            <v>181722336</v>
          </cell>
          <cell r="G35">
            <v>182695235</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OP_Estimate"/>
      <sheetName val="1598H1B"/>
      <sheetName val="1598Att"/>
      <sheetName val="1598H1B Prior Month"/>
      <sheetName val="Class A GA"/>
      <sheetName val="Calculation of Bill"/>
      <sheetName val="Doug Clare Info (RSTR Demand)"/>
      <sheetName val="Actual COP"/>
      <sheetName val="RESOP"/>
    </sheetNames>
    <sheetDataSet>
      <sheetData sheetId="0" refreshError="1"/>
      <sheetData sheetId="1" refreshError="1"/>
      <sheetData sheetId="2">
        <row r="160">
          <cell r="F160">
            <v>-1619355.4700000009</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OP_Estimate"/>
      <sheetName val="1598H1B"/>
      <sheetName val="1598Att"/>
      <sheetName val="1598H1B Prior Month"/>
      <sheetName val="Class A GA"/>
      <sheetName val="Calculation of Bill"/>
      <sheetName val="Doug Clare Info (RSTR Demand)"/>
      <sheetName val="Actual COP"/>
      <sheetName val="RESOP"/>
    </sheetNames>
    <sheetDataSet>
      <sheetData sheetId="0"/>
      <sheetData sheetId="1"/>
      <sheetData sheetId="2">
        <row r="160">
          <cell r="F160">
            <v>593355.95000000007</v>
          </cell>
        </row>
      </sheetData>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Model Specs"/>
      <sheetName val="1. Information Sheet"/>
      <sheetName val="2. Current Tariff Schedule"/>
      <sheetName val="3. Continuity Schedule"/>
      <sheetName val="4. Billing Det. for Def-Var"/>
      <sheetName val="5. Allocating Def-Var Balances"/>
      <sheetName val="6. GA Calculation"/>
      <sheetName val="6A. GA Allocation_Class A"/>
      <sheetName val="6B. GA Allocation_new Class B "/>
      <sheetName val="7. CBR Calculation"/>
      <sheetName val="7A. CBR  Allocation_Class A"/>
      <sheetName val="7B. CBR Allocation_new Class B"/>
      <sheetName val="8. Calculation of Def-Var RR"/>
      <sheetName val="9. STS-Tax Change"/>
      <sheetName val="10. Shared Tax - RR"/>
      <sheetName val="11. RTSR - Current Rates"/>
      <sheetName val="12. RTSR-UTRs &amp; Sub-Tx"/>
      <sheetName val="13. RTSR-Historic Wholesale"/>
      <sheetName val="14. RTSR-Current Wholesale"/>
      <sheetName val="15. RTSR-Forecast Wholesale"/>
      <sheetName val="16. RTSR-Rates to Forecast"/>
      <sheetName val="17. Rev2Cost-GDPIPI"/>
      <sheetName val="18. Regulatory Charges"/>
      <sheetName val="19. Additional Rates"/>
      <sheetName val="20. Final Tariff Schedule"/>
      <sheetName val="21. Bill Impacts"/>
      <sheetName val="RATES"/>
      <sheetName val="BoD Reporting"/>
      <sheetName val="10th percentile"/>
    </sheetNames>
    <sheetDataSet>
      <sheetData sheetId="0"/>
      <sheetData sheetId="1"/>
      <sheetData sheetId="2"/>
      <sheetData sheetId="3"/>
      <sheetData sheetId="4"/>
      <sheetData sheetId="5"/>
      <sheetData sheetId="6"/>
      <sheetData sheetId="7">
        <row r="29">
          <cell r="C29">
            <v>2299548483.9499998</v>
          </cell>
          <cell r="E29">
            <v>484926013.02999997</v>
          </cell>
          <cell r="G29">
            <v>26385933.199999999</v>
          </cell>
          <cell r="H29">
            <v>8376177</v>
          </cell>
          <cell r="I29">
            <v>1779860360.7199998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0:Z83"/>
  <sheetViews>
    <sheetView topLeftCell="A13" zoomScaleNormal="100" zoomScaleSheetLayoutView="85" workbookViewId="0" xr3:uid="{AEA406A1-0E4B-5B11-9CD5-51D6E497D94C}">
      <selection activeCell="A14" sqref="A14:C14"/>
    </sheetView>
  </sheetViews>
  <sheetFormatPr defaultColWidth="9.140625" defaultRowHeight="15"/>
  <cols>
    <col min="1" max="1" width="5.5703125" style="35" customWidth="1"/>
    <col min="2" max="2" width="16.140625" style="71" customWidth="1"/>
    <col min="3" max="3" width="164.5703125" style="33" customWidth="1"/>
    <col min="4" max="16384" width="9.140625" style="33"/>
  </cols>
  <sheetData>
    <row r="10" spans="1:3" ht="15.6">
      <c r="C10" s="118" t="s">
        <v>0</v>
      </c>
    </row>
    <row r="11" spans="1:3" ht="15.6">
      <c r="A11" s="36" t="s">
        <v>1</v>
      </c>
    </row>
    <row r="13" spans="1:3" ht="15.6">
      <c r="A13" s="37" t="s">
        <v>2</v>
      </c>
    </row>
    <row r="14" spans="1:3" ht="34.5" customHeight="1">
      <c r="A14" s="154" t="s">
        <v>3</v>
      </c>
      <c r="B14" s="154"/>
      <c r="C14" s="154"/>
    </row>
    <row r="16" spans="1:3" ht="15.6">
      <c r="A16" s="37" t="s">
        <v>4</v>
      </c>
    </row>
    <row r="17" spans="1:26">
      <c r="A17" s="35" t="s">
        <v>5</v>
      </c>
    </row>
    <row r="18" spans="1:26" ht="33" customHeight="1">
      <c r="A18" s="156" t="s">
        <v>6</v>
      </c>
      <c r="B18" s="156"/>
      <c r="C18" s="156"/>
    </row>
    <row r="20" spans="1:26">
      <c r="A20" s="35">
        <v>1</v>
      </c>
      <c r="B20" s="153" t="s">
        <v>7</v>
      </c>
      <c r="C20" s="153"/>
    </row>
    <row r="21" spans="1:26">
      <c r="B21" s="115"/>
      <c r="C21" s="115"/>
    </row>
    <row r="23" spans="1:26" ht="31.5" customHeight="1">
      <c r="A23" s="35">
        <v>2</v>
      </c>
      <c r="B23" s="154" t="s">
        <v>8</v>
      </c>
      <c r="C23" s="154"/>
    </row>
    <row r="24" spans="1:26">
      <c r="B24" s="114"/>
      <c r="C24" s="114"/>
    </row>
    <row r="26" spans="1:26">
      <c r="A26" s="35">
        <v>3</v>
      </c>
      <c r="B26" s="155" t="s">
        <v>9</v>
      </c>
      <c r="C26" s="155"/>
    </row>
    <row r="27" spans="1:26" ht="32.25" customHeight="1">
      <c r="B27" s="154" t="s">
        <v>10</v>
      </c>
      <c r="C27" s="154"/>
    </row>
    <row r="28" spans="1:26" ht="63" customHeight="1">
      <c r="B28" s="154" t="s">
        <v>11</v>
      </c>
      <c r="C28" s="154"/>
      <c r="E28" s="34"/>
      <c r="F28" s="34"/>
      <c r="G28" s="34"/>
      <c r="H28" s="34"/>
      <c r="I28" s="34"/>
      <c r="J28" s="34"/>
      <c r="K28" s="34"/>
      <c r="L28" s="34"/>
      <c r="M28" s="34"/>
      <c r="N28" s="34"/>
      <c r="O28" s="34"/>
      <c r="P28" s="34"/>
      <c r="Q28" s="34"/>
      <c r="R28" s="34"/>
      <c r="S28" s="34"/>
      <c r="T28" s="34"/>
      <c r="U28" s="34"/>
      <c r="V28" s="34"/>
      <c r="W28" s="34"/>
      <c r="X28" s="34"/>
      <c r="Y28" s="34"/>
      <c r="Z28" s="34"/>
    </row>
    <row r="29" spans="1:26" ht="30" customHeight="1">
      <c r="B29" s="154" t="s">
        <v>12</v>
      </c>
      <c r="C29" s="154"/>
      <c r="E29" s="34"/>
      <c r="F29" s="34"/>
      <c r="G29" s="34"/>
      <c r="H29" s="34"/>
      <c r="I29" s="34"/>
      <c r="J29" s="34"/>
      <c r="K29" s="34"/>
      <c r="L29" s="34"/>
      <c r="M29" s="34"/>
      <c r="N29" s="34"/>
      <c r="O29" s="34"/>
      <c r="P29" s="34"/>
      <c r="Q29" s="34"/>
      <c r="R29" s="34"/>
      <c r="S29" s="34"/>
      <c r="T29" s="34"/>
      <c r="U29" s="34"/>
      <c r="V29" s="34"/>
      <c r="W29" s="34"/>
      <c r="X29" s="34"/>
      <c r="Y29" s="34"/>
      <c r="Z29" s="34"/>
    </row>
    <row r="30" spans="1:26">
      <c r="B30" s="73" t="s">
        <v>13</v>
      </c>
    </row>
    <row r="31" spans="1:26">
      <c r="B31" s="73"/>
    </row>
    <row r="32" spans="1:26">
      <c r="B32" s="73"/>
    </row>
    <row r="33" spans="1:3" ht="35.25" customHeight="1">
      <c r="A33" s="154" t="s">
        <v>14</v>
      </c>
      <c r="B33" s="154"/>
      <c r="C33" s="154"/>
    </row>
    <row r="34" spans="1:3">
      <c r="B34" s="114"/>
      <c r="C34" s="114"/>
    </row>
    <row r="35" spans="1:3">
      <c r="B35" s="72"/>
    </row>
    <row r="36" spans="1:3">
      <c r="A36" s="35">
        <v>4</v>
      </c>
      <c r="B36" s="155" t="s">
        <v>15</v>
      </c>
      <c r="C36" s="155"/>
    </row>
    <row r="37" spans="1:3" ht="78.75" customHeight="1">
      <c r="B37" s="154" t="s">
        <v>16</v>
      </c>
      <c r="C37" s="154"/>
    </row>
    <row r="38" spans="1:3" ht="65.25" customHeight="1">
      <c r="B38" s="154" t="s">
        <v>17</v>
      </c>
      <c r="C38" s="154"/>
    </row>
    <row r="39" spans="1:3" ht="31.5" customHeight="1">
      <c r="B39" s="154" t="s">
        <v>18</v>
      </c>
      <c r="C39" s="154"/>
    </row>
    <row r="40" spans="1:3" ht="30" customHeight="1">
      <c r="B40" s="154" t="s">
        <v>19</v>
      </c>
      <c r="C40" s="154"/>
    </row>
    <row r="41" spans="1:3">
      <c r="B41" s="114"/>
      <c r="C41" s="114"/>
    </row>
    <row r="42" spans="1:3" ht="47.25" customHeight="1">
      <c r="B42" s="77" t="s">
        <v>20</v>
      </c>
      <c r="C42" s="34" t="s">
        <v>21</v>
      </c>
    </row>
    <row r="43" spans="1:3" ht="33.75" customHeight="1">
      <c r="B43" s="77" t="s">
        <v>22</v>
      </c>
      <c r="C43" s="34" t="s">
        <v>23</v>
      </c>
    </row>
    <row r="44" spans="1:3" ht="15.6">
      <c r="B44" s="77" t="s">
        <v>24</v>
      </c>
      <c r="C44" s="34" t="s">
        <v>25</v>
      </c>
    </row>
    <row r="45" spans="1:3" ht="15.6">
      <c r="B45" s="78" t="s">
        <v>26</v>
      </c>
      <c r="C45" s="33" t="s">
        <v>27</v>
      </c>
    </row>
    <row r="46" spans="1:3" ht="15.6">
      <c r="B46" s="75"/>
    </row>
    <row r="48" spans="1:3">
      <c r="A48" s="35">
        <v>5</v>
      </c>
      <c r="B48" s="76" t="s">
        <v>28</v>
      </c>
    </row>
    <row r="49" spans="2:3" ht="29.25" customHeight="1">
      <c r="B49" s="154" t="s">
        <v>29</v>
      </c>
      <c r="C49" s="154"/>
    </row>
    <row r="51" spans="2:3" ht="30" customHeight="1">
      <c r="B51" s="154" t="s">
        <v>30</v>
      </c>
      <c r="C51" s="154"/>
    </row>
    <row r="52" spans="2:3" ht="30" customHeight="1">
      <c r="B52" s="154" t="s">
        <v>31</v>
      </c>
      <c r="C52" s="154"/>
    </row>
    <row r="53" spans="2:3">
      <c r="B53" s="114"/>
      <c r="C53" s="114"/>
    </row>
    <row r="54" spans="2:3">
      <c r="B54" s="116" t="s">
        <v>32</v>
      </c>
    </row>
    <row r="55" spans="2:3">
      <c r="B55" s="79" t="s">
        <v>33</v>
      </c>
      <c r="C55" s="34" t="s">
        <v>34</v>
      </c>
    </row>
    <row r="56" spans="2:3" ht="45.6">
      <c r="B56" s="79"/>
      <c r="C56" s="34" t="s">
        <v>35</v>
      </c>
    </row>
    <row r="57" spans="2:3">
      <c r="B57" s="79"/>
      <c r="C57" s="33" t="s">
        <v>36</v>
      </c>
    </row>
    <row r="58" spans="2:3">
      <c r="B58" s="79"/>
      <c r="C58" s="33" t="s">
        <v>37</v>
      </c>
    </row>
    <row r="59" spans="2:3" ht="21" customHeight="1">
      <c r="B59" s="80" t="s">
        <v>38</v>
      </c>
      <c r="C59" s="33" t="s">
        <v>39</v>
      </c>
    </row>
    <row r="60" spans="2:3" ht="18.75" customHeight="1">
      <c r="B60" s="80"/>
      <c r="C60" s="34" t="s">
        <v>40</v>
      </c>
    </row>
    <row r="61" spans="2:3">
      <c r="B61" s="80"/>
      <c r="C61" s="33" t="s">
        <v>41</v>
      </c>
    </row>
    <row r="62" spans="2:3">
      <c r="B62" s="80"/>
      <c r="C62" s="33" t="s">
        <v>42</v>
      </c>
    </row>
    <row r="63" spans="2:3">
      <c r="B63" s="80" t="s">
        <v>43</v>
      </c>
      <c r="C63" s="33" t="s">
        <v>44</v>
      </c>
    </row>
    <row r="64" spans="2:3" ht="45">
      <c r="B64" s="80"/>
      <c r="C64" s="114" t="s">
        <v>45</v>
      </c>
    </row>
    <row r="65" spans="1:3">
      <c r="B65" s="80"/>
      <c r="C65" s="33" t="s">
        <v>46</v>
      </c>
    </row>
    <row r="66" spans="1:3">
      <c r="B66" s="80"/>
      <c r="C66" s="33" t="s">
        <v>47</v>
      </c>
    </row>
    <row r="67" spans="1:3">
      <c r="B67" s="80" t="s">
        <v>48</v>
      </c>
      <c r="C67" s="33" t="s">
        <v>49</v>
      </c>
    </row>
    <row r="68" spans="1:3" ht="45">
      <c r="B68" s="80"/>
      <c r="C68" s="114" t="s">
        <v>50</v>
      </c>
    </row>
    <row r="69" spans="1:3" ht="30">
      <c r="B69" s="80"/>
      <c r="C69" s="114" t="s">
        <v>51</v>
      </c>
    </row>
    <row r="70" spans="1:3">
      <c r="B70" s="80" t="s">
        <v>52</v>
      </c>
      <c r="C70" s="33" t="s">
        <v>53</v>
      </c>
    </row>
    <row r="71" spans="1:3" ht="30">
      <c r="B71" s="80"/>
      <c r="C71" s="114" t="s">
        <v>54</v>
      </c>
    </row>
    <row r="72" spans="1:3">
      <c r="B72" s="80" t="s">
        <v>55</v>
      </c>
      <c r="C72" s="114" t="s">
        <v>56</v>
      </c>
    </row>
    <row r="73" spans="1:3" ht="45">
      <c r="B73" s="80"/>
      <c r="C73" s="114" t="s">
        <v>57</v>
      </c>
    </row>
    <row r="74" spans="1:3">
      <c r="B74" s="80" t="s">
        <v>58</v>
      </c>
      <c r="C74" s="114" t="s">
        <v>59</v>
      </c>
    </row>
    <row r="75" spans="1:3" ht="30">
      <c r="B75" s="80"/>
      <c r="C75" s="114" t="s">
        <v>60</v>
      </c>
    </row>
    <row r="76" spans="1:3">
      <c r="B76" s="80"/>
      <c r="C76" s="114"/>
    </row>
    <row r="77" spans="1:3">
      <c r="A77" s="35">
        <v>6</v>
      </c>
      <c r="B77" s="117" t="s">
        <v>61</v>
      </c>
      <c r="C77" s="114"/>
    </row>
    <row r="78" spans="1:3" ht="59.25" customHeight="1">
      <c r="B78" s="156" t="s">
        <v>62</v>
      </c>
      <c r="C78" s="156"/>
    </row>
    <row r="79" spans="1:3">
      <c r="B79" s="74"/>
      <c r="C79" s="114"/>
    </row>
    <row r="81" spans="1:3" ht="30.75" customHeight="1">
      <c r="A81" s="35">
        <v>7</v>
      </c>
      <c r="B81" s="154" t="s">
        <v>63</v>
      </c>
      <c r="C81" s="154"/>
    </row>
    <row r="82" spans="1:3">
      <c r="B82" s="114"/>
      <c r="C82" s="114"/>
    </row>
    <row r="83" spans="1:3" ht="15.75" customHeight="1">
      <c r="B83" s="153" t="s">
        <v>64</v>
      </c>
      <c r="C83" s="153"/>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2:AA103"/>
  <sheetViews>
    <sheetView tabSelected="1" topLeftCell="A54" zoomScale="85" zoomScaleNormal="85" zoomScaleSheetLayoutView="100" workbookViewId="0" xr3:uid="{958C4451-9541-5A59-BF78-D2F731DF1C81}">
      <selection activeCell="F60" sqref="F60"/>
    </sheetView>
  </sheetViews>
  <sheetFormatPr defaultColWidth="9.140625" defaultRowHeight="13.9"/>
  <cols>
    <col min="1" max="1" width="10.28515625" style="1" customWidth="1"/>
    <col min="2" max="2" width="31.5703125" style="1" customWidth="1"/>
    <col min="3" max="3" width="19" style="1" customWidth="1"/>
    <col min="4" max="4" width="18.5703125" style="1" customWidth="1"/>
    <col min="5" max="5" width="19.140625" style="1" customWidth="1"/>
    <col min="6" max="6" width="17.28515625" style="1" customWidth="1"/>
    <col min="7" max="7" width="9.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c r="A12" s="39" t="s">
        <v>65</v>
      </c>
      <c r="B12" s="4"/>
      <c r="C12" s="39"/>
    </row>
    <row r="13" spans="1:24">
      <c r="A13" s="4"/>
      <c r="B13" s="4"/>
      <c r="C13" s="4"/>
      <c r="E13" s="177"/>
    </row>
    <row r="14" spans="1:24">
      <c r="A14" s="4"/>
      <c r="B14" s="4" t="s">
        <v>66</v>
      </c>
      <c r="C14" s="21"/>
      <c r="D14" s="4"/>
      <c r="E14" s="4"/>
      <c r="F14" s="4"/>
      <c r="X14" s="1">
        <v>2014</v>
      </c>
    </row>
    <row r="15" spans="1:24">
      <c r="A15" s="4"/>
      <c r="B15" s="4" t="s">
        <v>67</v>
      </c>
      <c r="C15" s="47"/>
      <c r="D15" s="4"/>
      <c r="E15" s="4"/>
      <c r="F15" s="4"/>
    </row>
    <row r="16" spans="1:24">
      <c r="A16" s="4"/>
      <c r="B16" s="13"/>
      <c r="C16" s="13"/>
      <c r="D16" s="4"/>
      <c r="E16" s="4"/>
      <c r="F16" s="4"/>
      <c r="X16" s="1">
        <v>2015</v>
      </c>
    </row>
    <row r="17" spans="1:24">
      <c r="A17" s="4" t="s">
        <v>68</v>
      </c>
      <c r="B17" s="13" t="s">
        <v>69</v>
      </c>
      <c r="C17" s="22">
        <v>2017</v>
      </c>
      <c r="D17" s="4"/>
      <c r="E17" s="4"/>
      <c r="F17" s="4"/>
      <c r="X17" s="1">
        <v>2016</v>
      </c>
    </row>
    <row r="18" spans="1:24">
      <c r="A18" s="4"/>
      <c r="B18" s="13"/>
      <c r="C18" s="13"/>
      <c r="D18" s="4"/>
      <c r="E18" s="4"/>
      <c r="F18" s="4"/>
    </row>
    <row r="19" spans="1:24">
      <c r="A19" s="4"/>
      <c r="B19" s="13"/>
      <c r="C19" s="13"/>
      <c r="D19" s="4"/>
      <c r="E19" s="4"/>
      <c r="F19" s="4"/>
    </row>
    <row r="20" spans="1:24">
      <c r="A20" s="4" t="s">
        <v>70</v>
      </c>
      <c r="B20" s="20" t="s">
        <v>71</v>
      </c>
      <c r="C20" s="19"/>
      <c r="D20" s="19"/>
      <c r="E20" s="19"/>
      <c r="F20" s="19"/>
      <c r="I20" s="4"/>
      <c r="J20" s="4"/>
      <c r="K20" s="4"/>
      <c r="L20" s="4"/>
      <c r="M20" s="4"/>
      <c r="N20" s="4"/>
      <c r="O20" s="4"/>
      <c r="P20" s="4"/>
      <c r="Q20" s="4"/>
      <c r="R20" s="4"/>
      <c r="S20" s="4"/>
    </row>
    <row r="21" spans="1:24" ht="15">
      <c r="A21" s="4"/>
      <c r="B21" s="158" t="s">
        <v>72</v>
      </c>
      <c r="C21" s="158"/>
      <c r="D21" s="22">
        <f>+C17</f>
        <v>2017</v>
      </c>
      <c r="E21" s="159"/>
      <c r="F21" s="160"/>
      <c r="G21" s="4"/>
      <c r="H21" s="4"/>
      <c r="I21" s="4"/>
      <c r="J21" s="4"/>
      <c r="K21" s="4"/>
      <c r="L21" s="4"/>
      <c r="M21" s="4"/>
      <c r="N21" s="4"/>
      <c r="O21" s="4"/>
      <c r="P21" s="4"/>
      <c r="Q21" s="4"/>
    </row>
    <row r="22" spans="1:24" ht="14.25">
      <c r="A22" s="4"/>
      <c r="B22" s="5" t="s">
        <v>73</v>
      </c>
      <c r="C22" s="5" t="s">
        <v>74</v>
      </c>
      <c r="D22" s="176">
        <f>D23+D24</f>
        <v>3871215897.6514478</v>
      </c>
      <c r="E22" s="6" t="s">
        <v>75</v>
      </c>
      <c r="F22" s="7">
        <v>1</v>
      </c>
      <c r="G22" s="4"/>
      <c r="H22" s="4"/>
      <c r="I22" s="4"/>
      <c r="J22" s="4"/>
      <c r="K22" s="4"/>
      <c r="L22" s="4"/>
      <c r="M22" s="4"/>
      <c r="N22" s="4"/>
      <c r="O22" s="4"/>
      <c r="P22" s="4"/>
      <c r="Q22" s="4"/>
    </row>
    <row r="23" spans="1:24" ht="14.25">
      <c r="B23" s="5" t="s">
        <v>76</v>
      </c>
      <c r="C23" s="5" t="s">
        <v>77</v>
      </c>
      <c r="D23" s="103">
        <v>1604098789.6514478</v>
      </c>
      <c r="E23" s="6" t="s">
        <v>75</v>
      </c>
      <c r="F23" s="7">
        <f>IFERROR(D23/$D$22,0)</f>
        <v>0.41436562363380641</v>
      </c>
    </row>
    <row r="24" spans="1:24" ht="14.45" thickBot="1">
      <c r="B24" s="5" t="s">
        <v>78</v>
      </c>
      <c r="C24" s="5" t="s">
        <v>79</v>
      </c>
      <c r="D24" s="102">
        <f>D25+D26</f>
        <v>2267117108</v>
      </c>
      <c r="E24" s="6" t="s">
        <v>75</v>
      </c>
      <c r="F24" s="7">
        <f>IFERROR(D24/$D$22,0)</f>
        <v>0.58563437636619364</v>
      </c>
      <c r="H24" s="151"/>
    </row>
    <row r="25" spans="1:24">
      <c r="B25" s="5" t="s">
        <v>80</v>
      </c>
      <c r="C25" s="5" t="s">
        <v>81</v>
      </c>
      <c r="D25" s="103">
        <v>736046422</v>
      </c>
      <c r="E25" s="6" t="s">
        <v>75</v>
      </c>
      <c r="F25" s="7">
        <f>IFERROR(D25/$D$22,0)</f>
        <v>0.19013313683861899</v>
      </c>
      <c r="H25" s="151"/>
    </row>
    <row r="26" spans="1:24">
      <c r="B26" s="5" t="s">
        <v>82</v>
      </c>
      <c r="C26" s="5" t="s">
        <v>83</v>
      </c>
      <c r="D26" s="103">
        <v>1531070686</v>
      </c>
      <c r="E26" s="6" t="s">
        <v>75</v>
      </c>
      <c r="F26" s="7">
        <f>IFERROR(D26/$D$22,0)</f>
        <v>0.3955012395275746</v>
      </c>
    </row>
    <row r="27" spans="1:24" ht="34.5" customHeight="1">
      <c r="B27" s="161" t="s">
        <v>84</v>
      </c>
      <c r="C27" s="161"/>
      <c r="D27" s="161"/>
      <c r="E27" s="161"/>
      <c r="F27" s="161"/>
      <c r="G27" s="162"/>
      <c r="H27" s="162"/>
    </row>
    <row r="28" spans="1:24">
      <c r="D28" s="104"/>
      <c r="H28" s="104"/>
    </row>
    <row r="29" spans="1:24">
      <c r="A29" s="1" t="s">
        <v>85</v>
      </c>
      <c r="B29" s="3" t="s">
        <v>86</v>
      </c>
      <c r="D29" s="104"/>
      <c r="E29" s="104"/>
      <c r="F29" s="104"/>
    </row>
    <row r="30" spans="1:24">
      <c r="B30" s="3"/>
      <c r="E30" s="104"/>
    </row>
    <row r="31" spans="1:24">
      <c r="B31" s="2" t="s">
        <v>87</v>
      </c>
      <c r="C31" s="44" t="s">
        <v>88</v>
      </c>
      <c r="E31" s="4"/>
    </row>
    <row r="32" spans="1:24">
      <c r="E32" s="4"/>
    </row>
    <row r="33" spans="1:26">
      <c r="B33" s="2" t="s">
        <v>89</v>
      </c>
    </row>
    <row r="34" spans="1:26" ht="15" customHeight="1">
      <c r="B34" s="8"/>
      <c r="C34" s="8"/>
      <c r="D34" s="8"/>
      <c r="E34" s="8"/>
      <c r="F34" s="8"/>
      <c r="G34" s="8"/>
      <c r="H34" s="8"/>
    </row>
    <row r="35" spans="1:26" ht="15" customHeight="1">
      <c r="B35" s="8"/>
      <c r="C35" s="8"/>
      <c r="D35" s="8"/>
      <c r="E35" s="8"/>
      <c r="F35" s="8"/>
      <c r="G35" s="8"/>
      <c r="H35" s="8"/>
    </row>
    <row r="36" spans="1:26" ht="15" customHeight="1">
      <c r="B36" s="8"/>
      <c r="C36" s="8"/>
      <c r="D36" s="8"/>
      <c r="E36" s="8"/>
      <c r="F36" s="8"/>
      <c r="G36" s="8"/>
      <c r="H36" s="8"/>
    </row>
    <row r="37" spans="1:26" ht="15" customHeight="1">
      <c r="B37" s="8"/>
      <c r="C37" s="8"/>
      <c r="D37" s="8"/>
      <c r="E37" s="8"/>
      <c r="F37" s="8"/>
      <c r="G37" s="8"/>
      <c r="H37" s="8"/>
    </row>
    <row r="38" spans="1:26" ht="14.25" customHeight="1">
      <c r="B38" s="8"/>
      <c r="C38" s="8"/>
      <c r="D38" s="8"/>
      <c r="E38" s="8"/>
      <c r="F38" s="8"/>
      <c r="G38" s="8"/>
      <c r="H38" s="8"/>
    </row>
    <row r="39" spans="1:26" ht="14.25" customHeight="1">
      <c r="B39" s="8"/>
      <c r="C39" s="8"/>
      <c r="D39" s="8"/>
      <c r="E39" s="8"/>
      <c r="F39" s="8"/>
      <c r="G39" s="8"/>
      <c r="H39" s="8"/>
    </row>
    <row r="40" spans="1:26" ht="14.25" customHeight="1">
      <c r="B40" s="8"/>
      <c r="C40" s="8"/>
      <c r="D40" s="8"/>
      <c r="E40" s="8"/>
      <c r="F40" s="8"/>
      <c r="G40" s="8"/>
      <c r="H40" s="8"/>
    </row>
    <row r="41" spans="1:26" ht="14.25" customHeight="1">
      <c r="B41" s="8"/>
      <c r="C41" s="8"/>
      <c r="D41" s="8"/>
      <c r="E41" s="8"/>
      <c r="F41" s="8"/>
      <c r="G41" s="8"/>
      <c r="H41" s="8"/>
    </row>
    <row r="43" spans="1:26">
      <c r="A43" s="1" t="s">
        <v>90</v>
      </c>
      <c r="B43" s="39" t="s">
        <v>15</v>
      </c>
      <c r="C43" s="3"/>
    </row>
    <row r="44" spans="1:26" ht="14.45" thickBot="1">
      <c r="B44" s="2" t="s">
        <v>72</v>
      </c>
      <c r="C44" s="82">
        <f>+C17</f>
        <v>2017</v>
      </c>
      <c r="D44" s="4"/>
      <c r="E44" s="4"/>
      <c r="F44" s="68"/>
      <c r="G44" s="2"/>
      <c r="H44" s="2"/>
      <c r="I44" s="2"/>
      <c r="J44" s="2"/>
      <c r="K44" s="2"/>
      <c r="N44" s="3" t="s">
        <v>91</v>
      </c>
    </row>
    <row r="45" spans="1:26" s="8" customFormat="1" ht="82.9" customHeight="1" thickBot="1">
      <c r="B45" s="42" t="s">
        <v>92</v>
      </c>
      <c r="C45" s="52" t="s">
        <v>93</v>
      </c>
      <c r="D45" s="69" t="s">
        <v>94</v>
      </c>
      <c r="E45" s="70" t="s">
        <v>95</v>
      </c>
      <c r="F45" s="57" t="s">
        <v>96</v>
      </c>
      <c r="G45" s="24" t="s">
        <v>97</v>
      </c>
      <c r="H45" s="24" t="s">
        <v>98</v>
      </c>
      <c r="I45" s="24" t="s">
        <v>99</v>
      </c>
      <c r="J45" s="24" t="s">
        <v>100</v>
      </c>
      <c r="K45" s="58" t="s">
        <v>101</v>
      </c>
      <c r="N45" s="10"/>
      <c r="O45" s="157">
        <f>+R45+1</f>
        <v>2017</v>
      </c>
      <c r="P45" s="157"/>
      <c r="Q45" s="157"/>
      <c r="R45" s="157">
        <v>2016</v>
      </c>
      <c r="S45" s="157"/>
      <c r="T45" s="157"/>
      <c r="U45" s="157">
        <v>2015</v>
      </c>
      <c r="V45" s="157"/>
      <c r="W45" s="157"/>
      <c r="X45" s="157">
        <v>2014</v>
      </c>
      <c r="Y45" s="157"/>
      <c r="Z45" s="157"/>
    </row>
    <row r="46" spans="1:26" s="8" customFormat="1" ht="17.45" customHeight="1">
      <c r="B46" s="11"/>
      <c r="C46" s="53" t="s">
        <v>102</v>
      </c>
      <c r="D46" s="53" t="s">
        <v>103</v>
      </c>
      <c r="E46" s="54" t="s">
        <v>104</v>
      </c>
      <c r="F46" s="54" t="s">
        <v>105</v>
      </c>
      <c r="G46" s="54" t="s">
        <v>106</v>
      </c>
      <c r="H46" s="55" t="s">
        <v>107</v>
      </c>
      <c r="I46" s="54" t="s">
        <v>108</v>
      </c>
      <c r="J46" s="55" t="s">
        <v>109</v>
      </c>
      <c r="K46" s="56" t="s">
        <v>110</v>
      </c>
      <c r="N46" s="16" t="s">
        <v>111</v>
      </c>
      <c r="O46" s="65" t="s">
        <v>112</v>
      </c>
      <c r="P46" s="65" t="s">
        <v>113</v>
      </c>
      <c r="Q46" s="65" t="s">
        <v>114</v>
      </c>
      <c r="R46" s="65" t="s">
        <v>112</v>
      </c>
      <c r="S46" s="65" t="s">
        <v>113</v>
      </c>
      <c r="T46" s="65" t="s">
        <v>114</v>
      </c>
      <c r="U46" s="65" t="s">
        <v>112</v>
      </c>
      <c r="V46" s="65" t="s">
        <v>113</v>
      </c>
      <c r="W46" s="65" t="s">
        <v>114</v>
      </c>
      <c r="X46" s="65" t="s">
        <v>112</v>
      </c>
      <c r="Y46" s="65" t="s">
        <v>113</v>
      </c>
      <c r="Z46" s="65" t="s">
        <v>114</v>
      </c>
    </row>
    <row r="47" spans="1:26">
      <c r="B47" s="12" t="s">
        <v>115</v>
      </c>
      <c r="C47" s="81">
        <f>VLOOKUP($B47,'[2]WorkForm Summary'!$A:$H,2,FALSE)</f>
        <v>156990156</v>
      </c>
      <c r="D47" s="81">
        <f>+'[2]Summary updated'!L3+'[2]Summary updated'!O3</f>
        <v>152323231.14046502</v>
      </c>
      <c r="E47" s="81">
        <f>+'[2]Summary updated'!F3+'[2]Summary updated'!I3</f>
        <v>152653422.00162601</v>
      </c>
      <c r="F47" s="43">
        <f>C47-D47+E47</f>
        <v>157320346.86116099</v>
      </c>
      <c r="G47" s="96">
        <f>VLOOKUP(B47,'[2]Summary updated'!$A:$Q,4,FALSE)</f>
        <v>0.10514590481711478</v>
      </c>
      <c r="H47" s="14">
        <f>F47*G47</f>
        <v>16541590.216859115</v>
      </c>
      <c r="I47" s="96">
        <f>+W58</f>
        <v>9.4709999999999989E-2</v>
      </c>
      <c r="J47" s="14">
        <f>F47*I47</f>
        <v>14899810.051220557</v>
      </c>
      <c r="K47" s="15">
        <f>J47-H47</f>
        <v>-1641780.1656385586</v>
      </c>
      <c r="L47" s="27">
        <f>+U58-G47</f>
        <v>9.4740951828852227E-3</v>
      </c>
      <c r="M47" s="119">
        <f>+L47/O47</f>
        <v>0.14167930586040411</v>
      </c>
      <c r="N47" s="10" t="s">
        <v>115</v>
      </c>
      <c r="O47" s="17">
        <v>6.6869999999999999E-2</v>
      </c>
      <c r="P47" s="17">
        <v>8.677E-2</v>
      </c>
      <c r="Q47" s="17">
        <v>8.2269999999999996E-2</v>
      </c>
      <c r="R47" s="17">
        <v>8.4229999999999999E-2</v>
      </c>
      <c r="S47" s="17">
        <v>9.214E-2</v>
      </c>
      <c r="T47" s="17">
        <v>9.1789999999999997E-2</v>
      </c>
      <c r="U47" s="17">
        <v>5.5490000000000005E-2</v>
      </c>
      <c r="V47" s="17">
        <v>6.1609999999999998E-2</v>
      </c>
      <c r="W47" s="17">
        <v>5.0680000000000003E-2</v>
      </c>
      <c r="X47" s="17">
        <v>3.6260000000000001E-2</v>
      </c>
      <c r="Y47" s="17">
        <v>1.806E-2</v>
      </c>
      <c r="Z47" s="17">
        <v>1.261E-2</v>
      </c>
    </row>
    <row r="48" spans="1:26">
      <c r="B48" s="12" t="s">
        <v>116</v>
      </c>
      <c r="C48" s="81">
        <f>VLOOKUP($B48,'[2]WorkForm Summary'!$A:$H,2,FALSE)</f>
        <v>149889615</v>
      </c>
      <c r="D48" s="81">
        <f>+'[2]Summary updated'!L4+'[2]Summary updated'!O4</f>
        <v>152653422.00162601</v>
      </c>
      <c r="E48" s="81">
        <f>+'[2]Summary updated'!F4+'[2]Summary updated'!I4</f>
        <v>143375387.75165001</v>
      </c>
      <c r="F48" s="43">
        <f t="shared" ref="F48:F58" si="0">C48-D48+E48</f>
        <v>140611580.75002399</v>
      </c>
      <c r="G48" s="96">
        <f>VLOOKUP(B48,'[2]Summary updated'!$A:$Q,4,FALSE)</f>
        <v>6.7497331286093434E-2</v>
      </c>
      <c r="H48" s="14">
        <f t="shared" ref="H48:H58" si="1">F48*G48</f>
        <v>9490906.4485456478</v>
      </c>
      <c r="I48" s="96">
        <f>+Q47</f>
        <v>8.2269999999999996E-2</v>
      </c>
      <c r="J48" s="14">
        <f t="shared" ref="J48:J58" si="2">F48*I48</f>
        <v>11568114.748304473</v>
      </c>
      <c r="K48" s="15">
        <f t="shared" ref="K48:K58" si="3">J48-H48</f>
        <v>2077208.2997588255</v>
      </c>
      <c r="L48" s="27">
        <f>+O47-G48</f>
        <v>-6.2733128609343547E-4</v>
      </c>
      <c r="M48" s="119">
        <f t="shared" ref="M48:M58" si="4">+L48/O48</f>
        <v>-5.9411997925318252E-3</v>
      </c>
      <c r="N48" s="10" t="s">
        <v>116</v>
      </c>
      <c r="O48" s="18">
        <v>0.10559</v>
      </c>
      <c r="P48" s="18">
        <v>8.43E-2</v>
      </c>
      <c r="Q48" s="18">
        <v>8.6389999999999995E-2</v>
      </c>
      <c r="R48" s="18">
        <v>0.10384</v>
      </c>
      <c r="S48" s="18">
        <v>9.6780000000000005E-2</v>
      </c>
      <c r="T48" s="18">
        <v>9.851E-2</v>
      </c>
      <c r="U48" s="18">
        <v>6.9809999999999997E-2</v>
      </c>
      <c r="V48" s="18">
        <v>4.095E-2</v>
      </c>
      <c r="W48" s="18">
        <v>3.9609999999999999E-2</v>
      </c>
      <c r="X48" s="18">
        <v>2.231E-2</v>
      </c>
      <c r="Y48" s="18">
        <v>1.1180000000000001E-2</v>
      </c>
      <c r="Z48" s="18">
        <v>1.3300000000000001E-2</v>
      </c>
    </row>
    <row r="49" spans="1:27">
      <c r="B49" s="12" t="s">
        <v>117</v>
      </c>
      <c r="C49" s="81">
        <f>VLOOKUP($B49,'[2]WorkForm Summary'!$A:$H,2,FALSE)</f>
        <v>148061428</v>
      </c>
      <c r="D49" s="81">
        <f>+'[2]Summary updated'!L5+'[2]Summary updated'!O5</f>
        <v>143375387.75165001</v>
      </c>
      <c r="E49" s="81">
        <f>+'[2]Summary updated'!F5+'[2]Summary updated'!I5</f>
        <v>156569161.21382999</v>
      </c>
      <c r="F49" s="43">
        <f t="shared" si="0"/>
        <v>161255201.46217999</v>
      </c>
      <c r="G49" s="96">
        <f>VLOOKUP(B49,'[2]Summary updated'!$A:$Q,4,FALSE)</f>
        <v>0.10356393428813884</v>
      </c>
      <c r="H49" s="14">
        <f t="shared" si="1"/>
        <v>16700223.0878498</v>
      </c>
      <c r="I49" s="96">
        <f t="shared" ref="I49:I58" si="5">+Q48</f>
        <v>8.6389999999999995E-2</v>
      </c>
      <c r="J49" s="14">
        <f t="shared" si="2"/>
        <v>13930836.854317728</v>
      </c>
      <c r="K49" s="15">
        <f t="shared" si="3"/>
        <v>-2769386.2335320711</v>
      </c>
      <c r="L49" s="27">
        <f t="shared" ref="L49:L58" si="6">+O48-G49</f>
        <v>2.0260657118611608E-3</v>
      </c>
      <c r="M49" s="119">
        <f t="shared" si="4"/>
        <v>2.4094014887158531E-2</v>
      </c>
      <c r="N49" s="10" t="s">
        <v>117</v>
      </c>
      <c r="O49" s="18">
        <v>8.4089999999999998E-2</v>
      </c>
      <c r="P49" s="18">
        <v>6.8860000000000005E-2</v>
      </c>
      <c r="Q49" s="18">
        <v>7.1349999999999997E-2</v>
      </c>
      <c r="R49" s="18">
        <v>9.0219999999999995E-2</v>
      </c>
      <c r="S49" s="18">
        <v>0.10299</v>
      </c>
      <c r="T49" s="18">
        <v>0.1061</v>
      </c>
      <c r="U49" s="18">
        <v>3.6040000000000003E-2</v>
      </c>
      <c r="V49" s="18">
        <v>5.74E-2</v>
      </c>
      <c r="W49" s="18">
        <v>6.2899999999999998E-2</v>
      </c>
      <c r="X49" s="18">
        <v>1.103E-2</v>
      </c>
      <c r="Y49" s="18">
        <v>-8.0000000000000002E-3</v>
      </c>
      <c r="Z49" s="18">
        <v>-2.7E-4</v>
      </c>
    </row>
    <row r="50" spans="1:27">
      <c r="B50" s="12" t="s">
        <v>118</v>
      </c>
      <c r="C50" s="81">
        <f>VLOOKUP($B50,'[2]WorkForm Summary'!$A:$H,2,FALSE)</f>
        <v>155436920</v>
      </c>
      <c r="D50" s="81">
        <f>+'[2]Summary updated'!L6+'[2]Summary updated'!O6</f>
        <v>156569161.21382999</v>
      </c>
      <c r="E50" s="81">
        <f>+'[2]Summary updated'!F6+'[2]Summary updated'!I6</f>
        <v>141785897.65011001</v>
      </c>
      <c r="F50" s="43">
        <f t="shared" si="0"/>
        <v>140653656.43628001</v>
      </c>
      <c r="G50" s="96">
        <f>VLOOKUP(B50,'[2]Summary updated'!$A:$Q,4,FALSE)</f>
        <v>8.390603081944753E-2</v>
      </c>
      <c r="H50" s="14">
        <f t="shared" si="1"/>
        <v>11801690.031810496</v>
      </c>
      <c r="I50" s="96">
        <f t="shared" si="5"/>
        <v>7.1349999999999997E-2</v>
      </c>
      <c r="J50" s="14">
        <f t="shared" si="2"/>
        <v>10035638.386728579</v>
      </c>
      <c r="K50" s="15">
        <f t="shared" si="3"/>
        <v>-1766051.6450819168</v>
      </c>
      <c r="L50" s="27">
        <f t="shared" si="6"/>
        <v>1.8396918055246791E-4</v>
      </c>
      <c r="M50" s="119">
        <f t="shared" si="4"/>
        <v>2.676304634164503E-3</v>
      </c>
      <c r="N50" s="10" t="s">
        <v>118</v>
      </c>
      <c r="O50" s="18">
        <v>6.8739999999999996E-2</v>
      </c>
      <c r="P50" s="18">
        <v>0.10218000000000001</v>
      </c>
      <c r="Q50" s="18">
        <v>0.10778</v>
      </c>
      <c r="R50" s="18">
        <v>0.12114999999999999</v>
      </c>
      <c r="S50" s="18">
        <v>0.11176999999999999</v>
      </c>
      <c r="T50" s="18">
        <v>0.11132</v>
      </c>
      <c r="U50" s="18">
        <v>6.7049999999999998E-2</v>
      </c>
      <c r="V50" s="18">
        <v>9.2679999999999998E-2</v>
      </c>
      <c r="W50" s="18">
        <v>9.5590000000000008E-2</v>
      </c>
      <c r="X50" s="18">
        <v>-9.6500000000000006E-3</v>
      </c>
      <c r="Y50" s="18">
        <v>5.4530000000000002E-2</v>
      </c>
      <c r="Z50" s="18">
        <v>5.1979999999999998E-2</v>
      </c>
    </row>
    <row r="51" spans="1:27">
      <c r="B51" s="12" t="s">
        <v>119</v>
      </c>
      <c r="C51" s="81">
        <f>VLOOKUP($B51,'[2]WorkForm Summary'!$A:$H,2,FALSE)</f>
        <v>144542986</v>
      </c>
      <c r="D51" s="81">
        <f>+'[2]Summary updated'!L7+'[2]Summary updated'!O7</f>
        <v>141785897.65011001</v>
      </c>
      <c r="E51" s="81">
        <f>+'[2]Summary updated'!F7+'[2]Summary updated'!I7</f>
        <v>154423411.73932999</v>
      </c>
      <c r="F51" s="43">
        <f t="shared" si="0"/>
        <v>157180500.08921999</v>
      </c>
      <c r="G51" s="96">
        <f>VLOOKUP(B51,'[2]Summary updated'!$A:$Q,4,FALSE)</f>
        <v>7.0011913272637116E-2</v>
      </c>
      <c r="H51" s="14">
        <f t="shared" si="1"/>
        <v>11004507.5403962</v>
      </c>
      <c r="I51" s="96">
        <f t="shared" si="5"/>
        <v>0.10778</v>
      </c>
      <c r="J51" s="14">
        <f t="shared" si="2"/>
        <v>16940914.299616132</v>
      </c>
      <c r="K51" s="15">
        <f t="shared" si="3"/>
        <v>5936406.7592199314</v>
      </c>
      <c r="L51" s="27">
        <f t="shared" si="6"/>
        <v>-1.2719132726371207E-3</v>
      </c>
      <c r="M51" s="119">
        <f t="shared" si="4"/>
        <v>-1.1973202227592211E-2</v>
      </c>
      <c r="N51" s="10" t="s">
        <v>119</v>
      </c>
      <c r="O51" s="18">
        <v>0.10623</v>
      </c>
      <c r="P51" s="18">
        <v>0.12776000000000001</v>
      </c>
      <c r="Q51" s="18">
        <v>0.12307</v>
      </c>
      <c r="R51" s="18">
        <v>0.10405</v>
      </c>
      <c r="S51" s="18">
        <v>0.11493</v>
      </c>
      <c r="T51" s="18">
        <v>0.10749</v>
      </c>
      <c r="U51" s="18">
        <v>9.4159999999999994E-2</v>
      </c>
      <c r="V51" s="18">
        <v>9.7299999999999998E-2</v>
      </c>
      <c r="W51" s="18">
        <v>9.6680000000000002E-2</v>
      </c>
      <c r="X51" s="18">
        <v>5.3560000000000003E-2</v>
      </c>
      <c r="Y51" s="18">
        <v>7.3520000000000002E-2</v>
      </c>
      <c r="Z51" s="18">
        <v>7.1959999999999996E-2</v>
      </c>
    </row>
    <row r="52" spans="1:27">
      <c r="B52" s="12" t="s">
        <v>120</v>
      </c>
      <c r="C52" s="81">
        <f>VLOOKUP($B52,'[2]WorkForm Summary'!$A:$H,2,FALSE)</f>
        <v>150620379</v>
      </c>
      <c r="D52" s="81">
        <f>+'[2]Summary updated'!L8+'[2]Summary updated'!O8</f>
        <v>154423411.73932999</v>
      </c>
      <c r="E52" s="81">
        <f>+'[2]Summary updated'!F8+'[2]Summary updated'!I8</f>
        <v>151987274.44617</v>
      </c>
      <c r="F52" s="43">
        <f t="shared" si="0"/>
        <v>148184241.70684001</v>
      </c>
      <c r="G52" s="96">
        <f>VLOOKUP(B52,'[2]Summary updated'!$A:$Q,4,FALSE)</f>
        <v>0.10635521638144331</v>
      </c>
      <c r="H52" s="14">
        <f t="shared" si="1"/>
        <v>15760167.091051066</v>
      </c>
      <c r="I52" s="96">
        <f t="shared" si="5"/>
        <v>0.12307</v>
      </c>
      <c r="J52" s="14">
        <f t="shared" si="2"/>
        <v>18237034.626860801</v>
      </c>
      <c r="K52" s="15">
        <f t="shared" si="3"/>
        <v>2476867.5358097348</v>
      </c>
      <c r="L52" s="27">
        <f t="shared" si="6"/>
        <v>-1.2521638144330494E-4</v>
      </c>
      <c r="M52" s="119">
        <f t="shared" si="4"/>
        <v>-1.0474852053145804E-3</v>
      </c>
      <c r="N52" s="10" t="s">
        <v>120</v>
      </c>
      <c r="O52" s="18">
        <v>0.11954000000000001</v>
      </c>
      <c r="P52" s="18">
        <v>0.12562999999999999</v>
      </c>
      <c r="Q52" s="18">
        <v>0.11848</v>
      </c>
      <c r="R52" s="18">
        <v>0.11650000000000001</v>
      </c>
      <c r="S52" s="18">
        <v>9.3600000000000003E-2</v>
      </c>
      <c r="T52" s="18">
        <v>9.5449999999999993E-2</v>
      </c>
      <c r="U52" s="18">
        <v>9.2280000000000001E-2</v>
      </c>
      <c r="V52" s="18">
        <v>9.7680000000000003E-2</v>
      </c>
      <c r="W52" s="18">
        <v>9.5400000000000013E-2</v>
      </c>
      <c r="X52" s="18">
        <v>7.1900000000000006E-2</v>
      </c>
      <c r="Y52" s="18">
        <v>6.6640000000000005E-2</v>
      </c>
      <c r="Z52" s="18">
        <v>6.0249999999999998E-2</v>
      </c>
    </row>
    <row r="53" spans="1:27">
      <c r="B53" s="12" t="s">
        <v>121</v>
      </c>
      <c r="C53" s="81">
        <f>VLOOKUP($B53,'[2]WorkForm Summary'!$A:$H,2,FALSE)</f>
        <v>155655339</v>
      </c>
      <c r="D53" s="81">
        <f>+'[2]Summary updated'!L9+'[2]Summary updated'!O9</f>
        <v>151987274.44617</v>
      </c>
      <c r="E53" s="81">
        <f>+'[2]Summary updated'!F9+'[2]Summary updated'!I9</f>
        <v>111198615.372306</v>
      </c>
      <c r="F53" s="43">
        <f t="shared" si="0"/>
        <v>114866679.926136</v>
      </c>
      <c r="G53" s="96">
        <f>VLOOKUP(B53,'[2]Summary updated'!$A:$Q,4,FALSE)</f>
        <v>0.11898860725875905</v>
      </c>
      <c r="H53" s="14">
        <f t="shared" si="1"/>
        <v>13667826.264848579</v>
      </c>
      <c r="I53" s="96">
        <f t="shared" si="5"/>
        <v>0.11848</v>
      </c>
      <c r="J53" s="14">
        <f t="shared" si="2"/>
        <v>13609404.237648593</v>
      </c>
      <c r="K53" s="15">
        <f t="shared" si="3"/>
        <v>-58422.027199985459</v>
      </c>
      <c r="L53" s="27">
        <f t="shared" si="6"/>
        <v>5.5139274124095528E-4</v>
      </c>
      <c r="M53" s="119">
        <f t="shared" si="4"/>
        <v>5.1764245328666482E-3</v>
      </c>
      <c r="N53" s="10" t="s">
        <v>121</v>
      </c>
      <c r="O53" s="18">
        <v>0.10651999999999999</v>
      </c>
      <c r="P53" s="18">
        <v>0.10197000000000001</v>
      </c>
      <c r="Q53" s="18">
        <v>0.1128</v>
      </c>
      <c r="R53" s="18">
        <v>7.6670000000000002E-2</v>
      </c>
      <c r="S53" s="18">
        <v>8.412E-2</v>
      </c>
      <c r="T53" s="18">
        <v>8.3059999999999995E-2</v>
      </c>
      <c r="U53" s="18">
        <v>8.8880000000000001E-2</v>
      </c>
      <c r="V53" s="18">
        <v>8.4129999999999996E-2</v>
      </c>
      <c r="W53" s="18">
        <v>7.8829999999999997E-2</v>
      </c>
      <c r="X53" s="18">
        <v>5.9760000000000001E-2</v>
      </c>
      <c r="Y53" s="18">
        <v>5.7529999999999998E-2</v>
      </c>
      <c r="Z53" s="18">
        <v>6.2560000000000004E-2</v>
      </c>
    </row>
    <row r="54" spans="1:27">
      <c r="B54" s="12" t="s">
        <v>122</v>
      </c>
      <c r="C54" s="81">
        <f>VLOOKUP($B54,'[2]WorkForm Summary'!$A:$H,2,FALSE)</f>
        <v>115117636</v>
      </c>
      <c r="D54" s="81">
        <f>+'[2]Summary updated'!L10+'[2]Summary updated'!O10</f>
        <v>111198615.372306</v>
      </c>
      <c r="E54" s="81">
        <f>+'[2]Summary updated'!F10+'[2]Summary updated'!I10</f>
        <v>115558456.45038399</v>
      </c>
      <c r="F54" s="43">
        <f t="shared" si="0"/>
        <v>119477477.07807799</v>
      </c>
      <c r="G54" s="96">
        <f>VLOOKUP(B54,'[2]Summary updated'!$A:$Q,4,FALSE)</f>
        <v>0.10701694742932351</v>
      </c>
      <c r="H54" s="14">
        <f t="shared" si="1"/>
        <v>12786114.883452876</v>
      </c>
      <c r="I54" s="96">
        <f t="shared" si="5"/>
        <v>0.1128</v>
      </c>
      <c r="J54" s="14">
        <f t="shared" si="2"/>
        <v>13477059.414407197</v>
      </c>
      <c r="K54" s="15">
        <f t="shared" si="3"/>
        <v>690944.53095432185</v>
      </c>
      <c r="L54" s="27">
        <f t="shared" si="6"/>
        <v>-4.9694742932351876E-4</v>
      </c>
      <c r="M54" s="119">
        <f t="shared" si="4"/>
        <v>-4.3212819941175545E-3</v>
      </c>
      <c r="N54" s="10" t="s">
        <v>122</v>
      </c>
      <c r="O54" s="18">
        <v>0.115</v>
      </c>
      <c r="P54" s="18">
        <v>0.10476000000000001</v>
      </c>
      <c r="Q54" s="18">
        <v>0.10109</v>
      </c>
      <c r="R54" s="18">
        <v>8.5690000000000002E-2</v>
      </c>
      <c r="S54" s="18">
        <v>7.0499999999999993E-2</v>
      </c>
      <c r="T54" s="18">
        <v>7.1029999999999996E-2</v>
      </c>
      <c r="U54" s="18">
        <v>8.8050000000000003E-2</v>
      </c>
      <c r="V54" s="18">
        <v>7.3550000000000004E-2</v>
      </c>
      <c r="W54" s="18">
        <v>8.0099999999999991E-2</v>
      </c>
      <c r="X54" s="18">
        <v>6.1079999999999995E-2</v>
      </c>
      <c r="Y54" s="18">
        <v>6.8970000000000004E-2</v>
      </c>
      <c r="Z54" s="18">
        <v>6.7610000000000003E-2</v>
      </c>
    </row>
    <row r="55" spans="1:27">
      <c r="B55" s="12" t="s">
        <v>123</v>
      </c>
      <c r="C55" s="81">
        <f>VLOOKUP($B55,'[2]WorkForm Summary'!$A:$H,2,FALSE)</f>
        <v>117487821</v>
      </c>
      <c r="D55" s="81">
        <f>+'[2]Summary updated'!L11+'[2]Summary updated'!O11</f>
        <v>115558456.45038399</v>
      </c>
      <c r="E55" s="81">
        <f>+'[2]Summary updated'!F11+'[2]Summary updated'!I11</f>
        <v>110872364.95667499</v>
      </c>
      <c r="F55" s="43">
        <f t="shared" si="0"/>
        <v>112801729.506291</v>
      </c>
      <c r="G55" s="96">
        <f>VLOOKUP(B55,'[2]Summary updated'!$A:$Q,4,FALSE)</f>
        <v>0.11535987206708004</v>
      </c>
      <c r="H55" s="14">
        <f t="shared" si="1"/>
        <v>13012793.084791098</v>
      </c>
      <c r="I55" s="96">
        <f t="shared" si="5"/>
        <v>0.10109</v>
      </c>
      <c r="J55" s="14">
        <f t="shared" si="2"/>
        <v>11403126.835790956</v>
      </c>
      <c r="K55" s="15">
        <f t="shared" si="3"/>
        <v>-1609666.2490001414</v>
      </c>
      <c r="L55" s="27">
        <f t="shared" si="6"/>
        <v>-3.5987206708003316E-4</v>
      </c>
      <c r="M55" s="119">
        <f t="shared" si="4"/>
        <v>-2.824963239501006E-3</v>
      </c>
      <c r="N55" s="10" t="s">
        <v>123</v>
      </c>
      <c r="O55" s="18">
        <v>0.12739</v>
      </c>
      <c r="P55" s="18">
        <v>9.8949999999999996E-2</v>
      </c>
      <c r="Q55" s="18">
        <v>8.8639999999999997E-2</v>
      </c>
      <c r="R55" s="18">
        <v>7.0599999999999996E-2</v>
      </c>
      <c r="S55" s="18">
        <v>9.1480000000000006E-2</v>
      </c>
      <c r="T55" s="18">
        <v>9.5310000000000006E-2</v>
      </c>
      <c r="U55" s="18">
        <v>8.270000000000001E-2</v>
      </c>
      <c r="V55" s="18">
        <v>7.1910000000000002E-2</v>
      </c>
      <c r="W55" s="18">
        <v>6.7030000000000006E-2</v>
      </c>
      <c r="X55" s="18">
        <v>8.0489999999999992E-2</v>
      </c>
      <c r="Y55" s="18">
        <v>8.072E-2</v>
      </c>
      <c r="Z55" s="18">
        <v>7.9629999999999992E-2</v>
      </c>
    </row>
    <row r="56" spans="1:27">
      <c r="B56" s="12" t="s">
        <v>124</v>
      </c>
      <c r="C56" s="81">
        <f>VLOOKUP($B56,'[2]WorkForm Summary'!$A:$H,2,FALSE)</f>
        <v>113342231</v>
      </c>
      <c r="D56" s="81">
        <f>+'[2]Summary updated'!L12+'[2]Summary updated'!O12</f>
        <v>110872364.95667499</v>
      </c>
      <c r="E56" s="81">
        <f>+'[2]Summary updated'!F12+'[2]Summary updated'!I12</f>
        <v>103390339.91426</v>
      </c>
      <c r="F56" s="43">
        <f t="shared" si="0"/>
        <v>105860205.95758501</v>
      </c>
      <c r="G56" s="96">
        <f>VLOOKUP(B56,'[2]Summary updated'!$A:$Q,4,FALSE)</f>
        <v>0.12622669303200851</v>
      </c>
      <c r="H56" s="14">
        <f t="shared" si="1"/>
        <v>13362383.72171328</v>
      </c>
      <c r="I56" s="96">
        <f t="shared" si="5"/>
        <v>8.8639999999999997E-2</v>
      </c>
      <c r="J56" s="14">
        <f t="shared" si="2"/>
        <v>9383448.6560803354</v>
      </c>
      <c r="K56" s="15">
        <f t="shared" si="3"/>
        <v>-3978935.0656329449</v>
      </c>
      <c r="L56" s="27">
        <f t="shared" si="6"/>
        <v>1.1633069679914954E-3</v>
      </c>
      <c r="M56" s="119">
        <f t="shared" si="4"/>
        <v>1.1391568429215583E-2</v>
      </c>
      <c r="N56" s="10" t="s">
        <v>124</v>
      </c>
      <c r="O56" s="18">
        <v>0.10212</v>
      </c>
      <c r="P56" s="18">
        <v>0.11973</v>
      </c>
      <c r="Q56" s="18">
        <v>0.12562999999999999</v>
      </c>
      <c r="R56" s="18">
        <v>9.7199999999999995E-2</v>
      </c>
      <c r="S56" s="18">
        <v>0.1178</v>
      </c>
      <c r="T56" s="18">
        <v>0.11226</v>
      </c>
      <c r="U56" s="18">
        <v>6.3710000000000003E-2</v>
      </c>
      <c r="V56" s="18">
        <v>7.1929999999999994E-2</v>
      </c>
      <c r="W56" s="18">
        <v>7.5439999999999993E-2</v>
      </c>
      <c r="X56" s="18">
        <v>7.492E-2</v>
      </c>
      <c r="Y56" s="18">
        <v>0.10135</v>
      </c>
      <c r="Z56" s="18">
        <v>0.10014000000000001</v>
      </c>
    </row>
    <row r="57" spans="1:27">
      <c r="B57" s="12" t="s">
        <v>125</v>
      </c>
      <c r="C57" s="81">
        <f>VLOOKUP($B57,'[2]WorkForm Summary'!$A:$H,2,FALSE)</f>
        <v>107319222</v>
      </c>
      <c r="D57" s="81">
        <f>+'[2]Summary updated'!L13+'[2]Summary updated'!O13</f>
        <v>103390339.91426</v>
      </c>
      <c r="E57" s="81">
        <f>+'[2]Summary updated'!F13+'[2]Summary updated'!I13</f>
        <v>107552400.03785199</v>
      </c>
      <c r="F57" s="43">
        <f t="shared" si="0"/>
        <v>111481282.12359199</v>
      </c>
      <c r="G57" s="96">
        <f>VLOOKUP(B57,'[2]Summary updated'!$A:$Q,4,FALSE)</f>
        <v>0.10262365673877136</v>
      </c>
      <c r="H57" s="14">
        <f t="shared" si="1"/>
        <v>11440616.829449631</v>
      </c>
      <c r="I57" s="96">
        <f t="shared" si="5"/>
        <v>0.12562999999999999</v>
      </c>
      <c r="J57" s="14">
        <f t="shared" si="2"/>
        <v>14005393.47318686</v>
      </c>
      <c r="K57" s="15">
        <f t="shared" si="3"/>
        <v>2564776.6437372286</v>
      </c>
      <c r="L57" s="27">
        <f t="shared" si="6"/>
        <v>-5.0365673877135475E-4</v>
      </c>
      <c r="M57" s="119">
        <f t="shared" si="4"/>
        <v>-4.5114362125703578E-3</v>
      </c>
      <c r="N57" s="10" t="s">
        <v>125</v>
      </c>
      <c r="O57" s="18">
        <v>0.11164</v>
      </c>
      <c r="P57" s="18">
        <v>9.6689999999999998E-2</v>
      </c>
      <c r="Q57" s="18">
        <v>9.7040000000000001E-2</v>
      </c>
      <c r="R57" s="18">
        <v>0.12271</v>
      </c>
      <c r="S57" s="18">
        <v>0.115</v>
      </c>
      <c r="T57" s="18">
        <v>0.11108999999999999</v>
      </c>
      <c r="U57" s="18">
        <v>7.6230000000000006E-2</v>
      </c>
      <c r="V57" s="18">
        <v>0.12447999999999999</v>
      </c>
      <c r="W57" s="18">
        <v>0.11320000000000001</v>
      </c>
      <c r="X57" s="18">
        <v>9.9010000000000001E-2</v>
      </c>
      <c r="Y57" s="18">
        <v>8.5040000000000004E-2</v>
      </c>
      <c r="Z57" s="18">
        <v>8.231999999999999E-2</v>
      </c>
    </row>
    <row r="58" spans="1:27">
      <c r="B58" s="12" t="s">
        <v>126</v>
      </c>
      <c r="C58" s="81">
        <f>VLOOKUP($B58,'[2]WorkForm Summary'!$A:$H,2,FALSE)</f>
        <v>103545613</v>
      </c>
      <c r="D58" s="81">
        <f>+'[2]Summary updated'!L14+'[2]Summary updated'!O14</f>
        <v>107552400.03785199</v>
      </c>
      <c r="E58" s="81">
        <f>+'[2]Summary updated'!F14+'[2]Summary updated'!I14</f>
        <v>114500970.53692099</v>
      </c>
      <c r="F58" s="43">
        <f t="shared" si="0"/>
        <v>110494183.49906901</v>
      </c>
      <c r="G58" s="96">
        <f>VLOOKUP(B58,'[2]Summary updated'!$A:$Q,4,FALSE)</f>
        <v>0.11121434956399361</v>
      </c>
      <c r="H58" s="14">
        <f t="shared" si="1"/>
        <v>12288538.748453515</v>
      </c>
      <c r="I58" s="96">
        <f t="shared" si="5"/>
        <v>9.7040000000000001E-2</v>
      </c>
      <c r="J58" s="14">
        <f t="shared" si="2"/>
        <v>10722355.566749657</v>
      </c>
      <c r="K58" s="15">
        <f t="shared" si="3"/>
        <v>-1566183.1817038581</v>
      </c>
      <c r="L58" s="27">
        <f t="shared" si="6"/>
        <v>4.2565043600639729E-4</v>
      </c>
      <c r="M58" s="119">
        <f t="shared" si="4"/>
        <v>5.072702133314233E-3</v>
      </c>
      <c r="N58" s="25" t="s">
        <v>126</v>
      </c>
      <c r="O58" s="26">
        <v>8.3909999999999998E-2</v>
      </c>
      <c r="P58" s="26">
        <v>9.6689999999999998E-2</v>
      </c>
      <c r="Q58" s="26">
        <v>9.2069999999999999E-2</v>
      </c>
      <c r="R58" s="26">
        <v>0.10594000000000001</v>
      </c>
      <c r="S58" s="26">
        <v>7.8719999999999998E-2</v>
      </c>
      <c r="T58" s="26">
        <v>8.7080000000000005E-2</v>
      </c>
      <c r="U58" s="26">
        <v>0.11462</v>
      </c>
      <c r="V58" s="26">
        <v>8.8090000000000002E-2</v>
      </c>
      <c r="W58" s="26">
        <v>9.4709999999999989E-2</v>
      </c>
      <c r="X58" s="26">
        <v>7.3180000000000009E-2</v>
      </c>
      <c r="Y58" s="26">
        <v>5.7889999999999997E-2</v>
      </c>
      <c r="Z58" s="26">
        <v>7.4439999999999992E-2</v>
      </c>
    </row>
    <row r="59" spans="1:27" ht="48" customHeight="1" thickBot="1">
      <c r="B59" s="109" t="s">
        <v>127</v>
      </c>
      <c r="C59" s="83">
        <f>SUM(C47:C58)</f>
        <v>1618009346</v>
      </c>
      <c r="D59" s="83">
        <f>SUM(D47:D58)</f>
        <v>1601689962.6746578</v>
      </c>
      <c r="E59" s="83">
        <f>SUM(E47:E58)</f>
        <v>1563867702.0711138</v>
      </c>
      <c r="F59" s="83">
        <f>SUM(F47:F58)</f>
        <v>1580187085.396456</v>
      </c>
      <c r="G59" s="30"/>
      <c r="H59" s="31">
        <f>SUM(H47:H58)</f>
        <v>157857357.94922131</v>
      </c>
      <c r="I59" s="30"/>
      <c r="J59" s="31">
        <f>SUM(J47:J58)</f>
        <v>158213137.15091187</v>
      </c>
      <c r="K59" s="32">
        <f>SUM(K47:K58)</f>
        <v>355779.20169056579</v>
      </c>
      <c r="N59" s="28"/>
      <c r="O59" s="29"/>
      <c r="P59" s="29"/>
      <c r="Q59" s="29"/>
      <c r="R59" s="29"/>
      <c r="S59" s="29"/>
      <c r="T59" s="29"/>
      <c r="U59" s="29"/>
      <c r="V59" s="29"/>
      <c r="W59" s="29"/>
    </row>
    <row r="60" spans="1:27">
      <c r="F60" s="152"/>
      <c r="G60" s="4"/>
      <c r="H60" s="4"/>
      <c r="I60" s="4"/>
      <c r="J60" s="59"/>
      <c r="K60" s="85"/>
      <c r="O60" s="27"/>
      <c r="P60" s="27"/>
      <c r="Q60" s="27"/>
      <c r="R60" s="27"/>
      <c r="S60" s="27"/>
      <c r="T60" s="27"/>
      <c r="U60" s="27"/>
      <c r="V60" s="27"/>
      <c r="W60" s="27"/>
    </row>
    <row r="61" spans="1:27" ht="14.45">
      <c r="F61" s="104"/>
      <c r="H61" s="150"/>
      <c r="N61"/>
      <c r="O61"/>
      <c r="P61"/>
      <c r="Q61"/>
      <c r="R61"/>
      <c r="S61"/>
      <c r="T61" s="27"/>
      <c r="U61" s="27"/>
      <c r="V61" s="27"/>
      <c r="W61" s="27"/>
    </row>
    <row r="62" spans="1:27" ht="14.45">
      <c r="A62" s="1" t="s">
        <v>128</v>
      </c>
      <c r="B62" s="39" t="s">
        <v>129</v>
      </c>
      <c r="C62" s="2"/>
      <c r="F62" s="150"/>
      <c r="K62" s="100"/>
      <c r="N62"/>
      <c r="O62"/>
      <c r="P62"/>
      <c r="Q62"/>
      <c r="R62"/>
      <c r="S62"/>
      <c r="T62" s="27"/>
      <c r="U62" s="27"/>
      <c r="V62" s="27"/>
      <c r="W62" s="27"/>
    </row>
    <row r="63" spans="1:27" ht="14.45">
      <c r="B63" s="3"/>
      <c r="C63" s="2"/>
      <c r="K63" s="107"/>
      <c r="N63"/>
      <c r="O63"/>
      <c r="P63"/>
      <c r="Q63"/>
      <c r="R63"/>
      <c r="S63"/>
    </row>
    <row r="64" spans="1:27" ht="56.45" thickBot="1">
      <c r="A64" s="10"/>
      <c r="B64" s="87" t="s">
        <v>130</v>
      </c>
      <c r="C64" s="40" t="s">
        <v>131</v>
      </c>
      <c r="D64" s="40" t="s">
        <v>132</v>
      </c>
      <c r="E64" s="166" t="s">
        <v>133</v>
      </c>
      <c r="F64" s="167"/>
      <c r="G64" s="167"/>
      <c r="H64" s="167"/>
      <c r="I64" s="168"/>
      <c r="K64" s="105"/>
      <c r="N64"/>
      <c r="O64"/>
      <c r="P64"/>
      <c r="Q64"/>
      <c r="R64"/>
      <c r="S64"/>
      <c r="T64" s="147">
        <v>127.76</v>
      </c>
      <c r="U64" s="148">
        <v>125.63</v>
      </c>
      <c r="V64" s="147">
        <v>101.97</v>
      </c>
      <c r="W64" s="148">
        <v>104.76</v>
      </c>
      <c r="X64" s="147">
        <v>98.95</v>
      </c>
      <c r="Y64" s="148">
        <v>119.73</v>
      </c>
      <c r="Z64" s="147">
        <v>96.69</v>
      </c>
      <c r="AA64" s="148">
        <v>96.69</v>
      </c>
    </row>
    <row r="65" spans="1:19" ht="30.75" customHeight="1">
      <c r="A65" s="169" t="s">
        <v>134</v>
      </c>
      <c r="B65" s="170"/>
      <c r="C65" s="171"/>
      <c r="D65" s="108">
        <v>-468536.08</v>
      </c>
      <c r="E65" s="166"/>
      <c r="F65" s="167"/>
      <c r="G65" s="167"/>
      <c r="H65" s="167"/>
      <c r="I65" s="168"/>
      <c r="K65" s="105"/>
      <c r="N65"/>
      <c r="O65"/>
      <c r="P65"/>
      <c r="Q65"/>
      <c r="R65"/>
      <c r="S65"/>
    </row>
    <row r="66" spans="1:19" ht="27.6" customHeight="1">
      <c r="A66" s="60" t="s">
        <v>135</v>
      </c>
      <c r="B66" s="41" t="s">
        <v>136</v>
      </c>
      <c r="C66" s="97"/>
      <c r="D66" s="120">
        <f>-'[3]1598H1B'!$F$160</f>
        <v>1619355.4700000009</v>
      </c>
      <c r="E66" s="163" t="str">
        <f>IF(D66&gt;0,"CR","DR")&amp;" $"&amp;TEXT(ROUND(D66/1000,0),"#,##")&amp;"k related to prior year but included in the GL in the current year, therefore, should record "&amp;IF(D66&gt;0,"DR","CR")&amp;" in current year"</f>
        <v>CR $1,619k related to prior year but included in the GL in the current year, therefore, should record DR in current year</v>
      </c>
      <c r="F66" s="164"/>
      <c r="G66" s="164"/>
      <c r="H66" s="164"/>
      <c r="I66" s="165"/>
      <c r="K66" s="105"/>
      <c r="N66"/>
      <c r="O66"/>
      <c r="P66"/>
      <c r="Q66"/>
      <c r="R66"/>
      <c r="S66"/>
    </row>
    <row r="67" spans="1:19" ht="27.6" customHeight="1">
      <c r="A67" s="60" t="s">
        <v>137</v>
      </c>
      <c r="B67" s="41" t="s">
        <v>138</v>
      </c>
      <c r="C67" s="98"/>
      <c r="D67" s="120">
        <f>'[4]1598H1B'!$F$160</f>
        <v>593355.95000000007</v>
      </c>
      <c r="E67" s="163" t="s">
        <v>139</v>
      </c>
      <c r="F67" s="164"/>
      <c r="G67" s="164"/>
      <c r="H67" s="164"/>
      <c r="I67" s="165"/>
      <c r="J67" s="4"/>
      <c r="K67" s="106"/>
      <c r="L67" s="4"/>
      <c r="M67" s="4"/>
      <c r="N67"/>
      <c r="O67"/>
      <c r="P67"/>
      <c r="Q67"/>
      <c r="R67"/>
      <c r="S67"/>
    </row>
    <row r="68" spans="1:19" ht="28.15" customHeight="1">
      <c r="A68" s="60" t="s">
        <v>140</v>
      </c>
      <c r="B68" s="41" t="s">
        <v>141</v>
      </c>
      <c r="C68" s="97"/>
      <c r="D68" s="99"/>
      <c r="E68" s="163" t="s">
        <v>142</v>
      </c>
      <c r="F68" s="164"/>
      <c r="G68" s="164"/>
      <c r="H68" s="164"/>
      <c r="I68" s="165"/>
      <c r="J68" s="4"/>
      <c r="K68" s="106"/>
      <c r="L68" s="4"/>
      <c r="M68" s="4"/>
      <c r="N68"/>
      <c r="O68"/>
      <c r="P68"/>
      <c r="Q68"/>
      <c r="R68"/>
      <c r="S68"/>
    </row>
    <row r="69" spans="1:19" ht="28.15" customHeight="1">
      <c r="A69" s="60" t="s">
        <v>143</v>
      </c>
      <c r="B69" s="41" t="s">
        <v>144</v>
      </c>
      <c r="C69" s="98"/>
      <c r="D69" s="99"/>
      <c r="E69" s="163" t="s">
        <v>145</v>
      </c>
      <c r="F69" s="164"/>
      <c r="G69" s="164"/>
      <c r="H69" s="164"/>
      <c r="I69" s="165"/>
      <c r="J69" s="4"/>
      <c r="K69" s="106"/>
      <c r="L69" s="4"/>
      <c r="M69" s="4"/>
      <c r="N69"/>
      <c r="O69"/>
      <c r="P69"/>
      <c r="Q69"/>
      <c r="R69"/>
      <c r="S69"/>
    </row>
    <row r="70" spans="1:19" ht="27.6" customHeight="1">
      <c r="A70" s="60" t="s">
        <v>146</v>
      </c>
      <c r="B70" s="41" t="s">
        <v>147</v>
      </c>
      <c r="C70" s="97"/>
      <c r="D70" s="84"/>
      <c r="E70" s="163" t="s">
        <v>148</v>
      </c>
      <c r="F70" s="164"/>
      <c r="G70" s="164"/>
      <c r="H70" s="164"/>
      <c r="I70" s="165"/>
      <c r="J70" s="4"/>
      <c r="K70" s="106"/>
      <c r="L70" s="4"/>
      <c r="M70" s="4"/>
      <c r="N70"/>
      <c r="O70"/>
      <c r="P70"/>
      <c r="Q70"/>
      <c r="R70"/>
      <c r="S70"/>
    </row>
    <row r="71" spans="1:19" ht="27.6" customHeight="1">
      <c r="A71" s="60" t="s">
        <v>149</v>
      </c>
      <c r="B71" s="41" t="s">
        <v>150</v>
      </c>
      <c r="C71" s="97"/>
      <c r="D71" s="84"/>
      <c r="E71" s="163" t="s">
        <v>151</v>
      </c>
      <c r="F71" s="164"/>
      <c r="G71" s="164"/>
      <c r="H71" s="164"/>
      <c r="I71" s="165"/>
      <c r="J71" s="4"/>
      <c r="K71" s="106"/>
      <c r="L71" s="4"/>
      <c r="M71" s="4"/>
      <c r="N71"/>
      <c r="O71"/>
      <c r="P71"/>
      <c r="Q71"/>
      <c r="R71"/>
      <c r="S71"/>
    </row>
    <row r="72" spans="1:19" ht="33.75" customHeight="1">
      <c r="A72" s="60">
        <v>4</v>
      </c>
      <c r="B72" s="41" t="s">
        <v>152</v>
      </c>
      <c r="C72" s="97"/>
      <c r="D72" s="84"/>
      <c r="E72" s="163" t="s">
        <v>153</v>
      </c>
      <c r="F72" s="164"/>
      <c r="G72" s="164"/>
      <c r="H72" s="164"/>
      <c r="I72" s="165"/>
      <c r="J72" s="4"/>
      <c r="K72" s="106"/>
      <c r="L72" s="4"/>
      <c r="M72" s="4"/>
      <c r="N72"/>
      <c r="O72"/>
      <c r="P72"/>
      <c r="Q72"/>
      <c r="R72"/>
      <c r="S72"/>
    </row>
    <row r="73" spans="1:19" ht="41.45" customHeight="1">
      <c r="A73" s="60">
        <v>5</v>
      </c>
      <c r="B73" s="41" t="s">
        <v>154</v>
      </c>
      <c r="C73" s="97"/>
      <c r="D73" s="84"/>
      <c r="E73" s="163" t="s">
        <v>155</v>
      </c>
      <c r="F73" s="164"/>
      <c r="G73" s="164"/>
      <c r="H73" s="164"/>
      <c r="I73" s="165"/>
      <c r="J73" s="4"/>
      <c r="K73" s="106"/>
      <c r="L73" s="4"/>
      <c r="M73" s="4"/>
      <c r="N73"/>
      <c r="O73"/>
      <c r="P73"/>
      <c r="Q73"/>
      <c r="R73"/>
      <c r="S73"/>
    </row>
    <row r="74" spans="1:19" ht="42">
      <c r="A74" s="46">
        <v>6</v>
      </c>
      <c r="B74" s="110" t="s">
        <v>56</v>
      </c>
      <c r="C74" s="97"/>
      <c r="D74" s="84"/>
      <c r="E74" s="163" t="s">
        <v>156</v>
      </c>
      <c r="F74" s="164"/>
      <c r="G74" s="164"/>
      <c r="H74" s="164"/>
      <c r="I74" s="165"/>
      <c r="N74"/>
      <c r="O74"/>
      <c r="P74"/>
      <c r="Q74"/>
      <c r="R74"/>
      <c r="S74"/>
    </row>
    <row r="75" spans="1:19" ht="14.45">
      <c r="A75" s="46">
        <v>7</v>
      </c>
      <c r="B75" s="38"/>
      <c r="C75" s="9"/>
      <c r="D75" s="84"/>
      <c r="E75" s="163"/>
      <c r="F75" s="164"/>
      <c r="G75" s="164"/>
      <c r="H75" s="164"/>
      <c r="I75" s="165"/>
      <c r="N75"/>
      <c r="O75"/>
      <c r="P75"/>
      <c r="Q75"/>
      <c r="R75"/>
      <c r="S75"/>
    </row>
    <row r="76" spans="1:19" ht="14.45">
      <c r="A76" s="46">
        <v>8</v>
      </c>
      <c r="B76" s="38"/>
      <c r="C76" s="9"/>
      <c r="D76" s="84"/>
      <c r="E76" s="163"/>
      <c r="F76" s="164"/>
      <c r="G76" s="164"/>
      <c r="H76" s="164"/>
      <c r="I76" s="165"/>
      <c r="N76"/>
      <c r="O76"/>
      <c r="P76"/>
      <c r="Q76"/>
      <c r="R76"/>
      <c r="S76"/>
    </row>
    <row r="77" spans="1:19" ht="14.45">
      <c r="A77" s="46">
        <v>9</v>
      </c>
      <c r="B77" s="38"/>
      <c r="C77" s="9"/>
      <c r="D77" s="84"/>
      <c r="E77" s="163"/>
      <c r="F77" s="164"/>
      <c r="G77" s="164"/>
      <c r="H77" s="164"/>
      <c r="I77" s="165"/>
      <c r="N77"/>
      <c r="O77"/>
      <c r="P77"/>
      <c r="Q77"/>
      <c r="R77"/>
      <c r="S77"/>
    </row>
    <row r="78" spans="1:19" ht="14.45">
      <c r="A78" s="46">
        <v>10</v>
      </c>
      <c r="B78" s="38"/>
      <c r="C78" s="9"/>
      <c r="D78" s="84"/>
      <c r="E78" s="163"/>
      <c r="F78" s="164"/>
      <c r="G78" s="164"/>
      <c r="H78" s="164"/>
      <c r="I78" s="165"/>
      <c r="N78"/>
      <c r="O78"/>
      <c r="P78"/>
      <c r="Q78"/>
      <c r="R78"/>
      <c r="S78"/>
    </row>
    <row r="79" spans="1:19" ht="14.45">
      <c r="A79" s="1" t="s">
        <v>157</v>
      </c>
      <c r="B79" s="2" t="s">
        <v>158</v>
      </c>
      <c r="C79" s="2"/>
      <c r="D79" s="85">
        <f>SUM(D65:D78)</f>
        <v>1744175.3400000008</v>
      </c>
      <c r="E79" s="23"/>
      <c r="F79" s="23"/>
      <c r="G79" s="23"/>
      <c r="H79" s="23"/>
      <c r="N79"/>
      <c r="O79"/>
      <c r="P79"/>
      <c r="Q79"/>
      <c r="R79"/>
      <c r="S79"/>
    </row>
    <row r="80" spans="1:19" ht="14.45">
      <c r="B80" s="61" t="s">
        <v>159</v>
      </c>
      <c r="C80" s="61"/>
      <c r="D80" s="85">
        <f>K59</f>
        <v>355779.20169056579</v>
      </c>
      <c r="E80" s="23"/>
      <c r="F80" s="23"/>
      <c r="G80" s="23"/>
      <c r="H80" s="23"/>
      <c r="N80"/>
      <c r="O80"/>
      <c r="P80"/>
      <c r="Q80"/>
      <c r="R80"/>
      <c r="S80"/>
    </row>
    <row r="81" spans="1:19" ht="14.45">
      <c r="B81" s="61" t="s">
        <v>160</v>
      </c>
      <c r="C81" s="61"/>
      <c r="D81" s="86">
        <f>D79-D80</f>
        <v>1388396.138309435</v>
      </c>
      <c r="N81"/>
      <c r="O81"/>
      <c r="P81"/>
      <c r="Q81"/>
      <c r="R81"/>
      <c r="S81"/>
    </row>
    <row r="82" spans="1:19" ht="15" thickBot="1">
      <c r="B82" s="61" t="s">
        <v>161</v>
      </c>
      <c r="C82" s="62"/>
      <c r="D82" s="51">
        <f>IF(ISERROR(D81/J59),0,D81/J59)</f>
        <v>8.7754794785790194E-3</v>
      </c>
      <c r="E82" s="89" t="str">
        <f>IF(AND(D82&lt;0.01,D82&gt;-0.01),"","Unresolved differences of greater than + or - 1% should be explained")</f>
        <v/>
      </c>
      <c r="G82" s="4"/>
      <c r="N82"/>
      <c r="O82"/>
      <c r="P82"/>
      <c r="Q82"/>
      <c r="R82"/>
      <c r="S82"/>
    </row>
    <row r="83" spans="1:19" ht="15" thickTop="1">
      <c r="B83" s="2"/>
      <c r="C83" s="23"/>
      <c r="D83" s="50"/>
      <c r="G83" s="4"/>
      <c r="N83"/>
      <c r="O83"/>
      <c r="P83"/>
      <c r="Q83"/>
      <c r="R83"/>
      <c r="S83"/>
    </row>
    <row r="84" spans="1:19" ht="14.45">
      <c r="B84" s="2"/>
      <c r="C84" s="23"/>
      <c r="D84" s="149"/>
      <c r="N84"/>
      <c r="O84"/>
      <c r="P84"/>
      <c r="Q84"/>
      <c r="R84"/>
      <c r="S84"/>
    </row>
    <row r="85" spans="1:19">
      <c r="A85" s="1" t="s">
        <v>162</v>
      </c>
      <c r="B85" s="39" t="s">
        <v>163</v>
      </c>
      <c r="C85" s="49"/>
      <c r="D85" s="50"/>
    </row>
    <row r="86" spans="1:19">
      <c r="B86" s="48"/>
      <c r="C86" s="49"/>
      <c r="D86" s="50"/>
    </row>
    <row r="87" spans="1:19" ht="82.9">
      <c r="B87" s="88" t="s">
        <v>72</v>
      </c>
      <c r="C87" s="40" t="s">
        <v>164</v>
      </c>
      <c r="D87" s="40" t="s">
        <v>165</v>
      </c>
      <c r="E87" s="40" t="s">
        <v>166</v>
      </c>
      <c r="F87" s="63" t="s">
        <v>158</v>
      </c>
      <c r="G87" s="40" t="s">
        <v>160</v>
      </c>
      <c r="H87" s="65" t="s">
        <v>167</v>
      </c>
      <c r="I87" s="40" t="s">
        <v>161</v>
      </c>
      <c r="J87" s="4"/>
      <c r="K87" s="4"/>
    </row>
    <row r="88" spans="1:19">
      <c r="B88" s="101"/>
      <c r="C88" s="92"/>
      <c r="D88" s="92"/>
      <c r="E88" s="93"/>
      <c r="F88" s="112">
        <f>SUM(D88:E88)</f>
        <v>0</v>
      </c>
      <c r="G88" s="94">
        <f>F88-C88</f>
        <v>0</v>
      </c>
      <c r="H88" s="93"/>
      <c r="I88" s="90">
        <f>IF(ISERROR(G88/H88),0,G88/H88)</f>
        <v>0</v>
      </c>
      <c r="J88" s="4"/>
      <c r="K88" s="4"/>
    </row>
    <row r="89" spans="1:19">
      <c r="B89" s="101"/>
      <c r="C89" s="92"/>
      <c r="D89" s="92"/>
      <c r="E89" s="93"/>
      <c r="F89" s="112">
        <f t="shared" ref="F89:F91" si="7">SUM(D89:E89)</f>
        <v>0</v>
      </c>
      <c r="G89" s="94">
        <f>F89-C89</f>
        <v>0</v>
      </c>
      <c r="H89" s="93"/>
      <c r="I89" s="90">
        <f>IF(ISERROR(G89/H89),0,G89/H89)</f>
        <v>0</v>
      </c>
      <c r="J89" s="4"/>
      <c r="K89" s="4"/>
    </row>
    <row r="90" spans="1:19">
      <c r="B90" s="101"/>
      <c r="C90" s="92"/>
      <c r="D90" s="92"/>
      <c r="E90" s="93"/>
      <c r="F90" s="112">
        <f t="shared" si="7"/>
        <v>0</v>
      </c>
      <c r="G90" s="94">
        <f>F90-C90</f>
        <v>0</v>
      </c>
      <c r="H90" s="93"/>
      <c r="I90" s="90">
        <f>IF(ISERROR(G90/H90),0,G90/H90)</f>
        <v>0</v>
      </c>
      <c r="J90" s="4"/>
      <c r="K90" s="4"/>
    </row>
    <row r="91" spans="1:19" ht="14.45" thickBot="1">
      <c r="B91" s="101"/>
      <c r="C91" s="95"/>
      <c r="D91" s="95"/>
      <c r="E91" s="95"/>
      <c r="F91" s="112">
        <f t="shared" si="7"/>
        <v>0</v>
      </c>
      <c r="G91" s="94">
        <f>F91-C91</f>
        <v>0</v>
      </c>
      <c r="H91" s="95"/>
      <c r="I91" s="91">
        <f>IF(ISERROR(G91/H91),0,G91/H91)</f>
        <v>0</v>
      </c>
      <c r="J91" s="4"/>
      <c r="K91" s="4"/>
    </row>
    <row r="92" spans="1:19" ht="14.45" thickBot="1">
      <c r="B92" s="64" t="s">
        <v>168</v>
      </c>
      <c r="C92" s="111">
        <f t="shared" ref="C92:H92" si="8">SUM(C88:C91)</f>
        <v>0</v>
      </c>
      <c r="D92" s="111">
        <f t="shared" si="8"/>
        <v>0</v>
      </c>
      <c r="E92" s="111">
        <f t="shared" si="8"/>
        <v>0</v>
      </c>
      <c r="F92" s="113">
        <f t="shared" si="8"/>
        <v>0</v>
      </c>
      <c r="G92" s="111">
        <f>SUM(G88:G91)</f>
        <v>0</v>
      </c>
      <c r="H92" s="66">
        <f t="shared" si="8"/>
        <v>0</v>
      </c>
      <c r="I92" s="67" t="s">
        <v>169</v>
      </c>
      <c r="J92" s="4"/>
      <c r="K92" s="4"/>
    </row>
    <row r="93" spans="1:19">
      <c r="B93" s="4"/>
      <c r="C93" s="4"/>
      <c r="D93" s="4"/>
      <c r="E93" s="4"/>
      <c r="F93" s="4"/>
      <c r="G93" s="4"/>
      <c r="J93" s="4"/>
      <c r="K93" s="4"/>
    </row>
    <row r="94" spans="1:19">
      <c r="J94" s="4"/>
      <c r="K94" s="4"/>
    </row>
    <row r="95" spans="1:19">
      <c r="B95" s="3" t="s">
        <v>170</v>
      </c>
      <c r="J95" s="4"/>
      <c r="K95" s="4"/>
    </row>
    <row r="96" spans="1:19">
      <c r="B96" s="45"/>
      <c r="C96" s="45"/>
      <c r="D96" s="45"/>
      <c r="E96" s="45"/>
      <c r="F96" s="45"/>
      <c r="G96" s="45"/>
      <c r="H96" s="45"/>
      <c r="J96" s="4"/>
      <c r="K96" s="4"/>
    </row>
    <row r="97" spans="2:11">
      <c r="B97" s="45"/>
      <c r="C97" s="45"/>
      <c r="D97" s="45"/>
      <c r="E97" s="45"/>
      <c r="F97" s="45"/>
      <c r="G97" s="45"/>
      <c r="H97" s="45"/>
      <c r="J97" s="4"/>
      <c r="K97" s="4"/>
    </row>
    <row r="98" spans="2:11">
      <c r="B98" s="45"/>
      <c r="C98" s="45"/>
      <c r="D98" s="45"/>
      <c r="E98" s="45"/>
      <c r="F98" s="45"/>
      <c r="G98" s="45"/>
      <c r="H98" s="45"/>
    </row>
    <row r="99" spans="2:11">
      <c r="B99" s="45"/>
      <c r="C99" s="45"/>
      <c r="D99" s="45"/>
      <c r="E99" s="45"/>
      <c r="F99" s="45"/>
      <c r="G99" s="45"/>
      <c r="H99" s="45"/>
    </row>
    <row r="100" spans="2:11">
      <c r="B100" s="45"/>
      <c r="C100" s="45"/>
      <c r="D100" s="45"/>
      <c r="E100" s="45"/>
      <c r="F100" s="45"/>
      <c r="G100" s="45"/>
      <c r="H100" s="45"/>
    </row>
    <row r="101" spans="2:11">
      <c r="B101" s="45"/>
      <c r="C101" s="45"/>
      <c r="D101" s="45"/>
      <c r="E101" s="45"/>
      <c r="F101" s="45"/>
      <c r="G101" s="45"/>
      <c r="H101" s="45"/>
    </row>
    <row r="102" spans="2:11">
      <c r="B102" s="45"/>
      <c r="C102" s="45"/>
      <c r="D102" s="45"/>
      <c r="E102" s="45"/>
      <c r="F102" s="45"/>
      <c r="G102" s="45"/>
      <c r="H102" s="45"/>
    </row>
    <row r="103" spans="2:11">
      <c r="B103" s="45"/>
      <c r="C103" s="45"/>
      <c r="D103" s="45"/>
      <c r="E103" s="45"/>
      <c r="F103" s="45"/>
      <c r="G103" s="45"/>
      <c r="H103" s="45"/>
    </row>
  </sheetData>
  <mergeCells count="23">
    <mergeCell ref="E65:I65"/>
    <mergeCell ref="A65:C65"/>
    <mergeCell ref="E64:I64"/>
    <mergeCell ref="E70:I70"/>
    <mergeCell ref="E69:I69"/>
    <mergeCell ref="E68:I68"/>
    <mergeCell ref="E67:I67"/>
    <mergeCell ref="E66:I66"/>
    <mergeCell ref="E77:I77"/>
    <mergeCell ref="E78:I78"/>
    <mergeCell ref="E71:I71"/>
    <mergeCell ref="E72:I72"/>
    <mergeCell ref="E73:I73"/>
    <mergeCell ref="E74:I74"/>
    <mergeCell ref="E75:I75"/>
    <mergeCell ref="E76:I76"/>
    <mergeCell ref="U45:W45"/>
    <mergeCell ref="X45:Z45"/>
    <mergeCell ref="B21:C21"/>
    <mergeCell ref="E21:F21"/>
    <mergeCell ref="B27:H27"/>
    <mergeCell ref="O45:Q45"/>
    <mergeCell ref="R45:T45"/>
  </mergeCells>
  <dataValidations disablePrompts="1" count="1">
    <dataValidation type="list" sqref="C31" xr:uid="{00000000-0002-0000-0100-000000000000}">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32"/>
  <sheetViews>
    <sheetView topLeftCell="A10" workbookViewId="0" xr3:uid="{842E5F09-E766-5B8D-85AF-A39847EA96FD}">
      <selection activeCell="F26" sqref="F26"/>
    </sheetView>
  </sheetViews>
  <sheetFormatPr defaultRowHeight="14.45"/>
  <cols>
    <col min="1" max="1" width="13.28515625" customWidth="1"/>
    <col min="2" max="2" width="55.140625" bestFit="1" customWidth="1"/>
    <col min="3" max="3" width="8.5703125" bestFit="1" customWidth="1"/>
    <col min="4" max="4" width="14.28515625" bestFit="1" customWidth="1"/>
    <col min="5" max="5" width="15.5703125" bestFit="1" customWidth="1"/>
    <col min="6" max="6" width="16.28515625" bestFit="1" customWidth="1"/>
    <col min="7" max="7" width="15.5703125" bestFit="1" customWidth="1"/>
    <col min="8" max="8" width="14.28515625" bestFit="1" customWidth="1"/>
    <col min="9" max="9" width="15.5703125" bestFit="1" customWidth="1"/>
    <col min="10" max="10" width="14.28515625" bestFit="1" customWidth="1"/>
    <col min="11" max="11" width="15.5703125" bestFit="1" customWidth="1"/>
    <col min="12" max="12" width="14.28515625" bestFit="1" customWidth="1"/>
    <col min="13" max="13" width="15.5703125" bestFit="1" customWidth="1"/>
  </cols>
  <sheetData>
    <row r="2" spans="1:13">
      <c r="A2" s="121" t="s">
        <v>171</v>
      </c>
      <c r="C2" s="138" t="s">
        <v>172</v>
      </c>
    </row>
    <row r="3" spans="1:13">
      <c r="A3" s="174" t="s">
        <v>173</v>
      </c>
      <c r="B3" s="174" t="s">
        <v>174</v>
      </c>
      <c r="C3" s="122"/>
      <c r="D3" s="172">
        <v>2016</v>
      </c>
      <c r="E3" s="173"/>
      <c r="F3" s="172">
        <v>2015</v>
      </c>
      <c r="G3" s="173"/>
      <c r="H3" s="172">
        <v>2014</v>
      </c>
      <c r="I3" s="173"/>
      <c r="J3" s="172">
        <v>2013</v>
      </c>
      <c r="K3" s="173"/>
      <c r="L3" s="172">
        <v>2012</v>
      </c>
      <c r="M3" s="173"/>
    </row>
    <row r="4" spans="1:13">
      <c r="A4" s="175"/>
      <c r="B4" s="175"/>
      <c r="C4" s="123"/>
      <c r="D4" s="124" t="s">
        <v>175</v>
      </c>
      <c r="E4" s="124" t="s">
        <v>176</v>
      </c>
      <c r="F4" s="124" t="s">
        <v>175</v>
      </c>
      <c r="G4" s="124" t="s">
        <v>176</v>
      </c>
      <c r="H4" s="124" t="s">
        <v>175</v>
      </c>
      <c r="I4" s="124" t="s">
        <v>176</v>
      </c>
      <c r="J4" s="124" t="s">
        <v>175</v>
      </c>
      <c r="K4" s="124" t="s">
        <v>176</v>
      </c>
      <c r="L4" s="124" t="s">
        <v>175</v>
      </c>
      <c r="M4" s="124" t="s">
        <v>176</v>
      </c>
    </row>
    <row r="5" spans="1:13">
      <c r="A5" s="125" t="s">
        <v>177</v>
      </c>
      <c r="B5" s="126" t="s">
        <v>178</v>
      </c>
      <c r="C5" s="127" t="s">
        <v>75</v>
      </c>
      <c r="D5" s="128">
        <v>10101928.970000001</v>
      </c>
      <c r="E5" s="128">
        <v>11318234.700000001</v>
      </c>
      <c r="F5" s="128"/>
      <c r="G5" s="128"/>
      <c r="H5" s="128"/>
      <c r="I5" s="128"/>
      <c r="J5" s="128"/>
      <c r="K5" s="128"/>
      <c r="L5" s="128"/>
      <c r="M5" s="128"/>
    </row>
    <row r="6" spans="1:13">
      <c r="A6" s="129"/>
      <c r="B6" s="130" t="str">
        <f>B5 &amp; "kW"</f>
        <v>GENERAL SERVICE 700 TO 4,999 KW SERVICE CLASSIFICATIONkW</v>
      </c>
      <c r="C6" s="131" t="s">
        <v>179</v>
      </c>
      <c r="D6" s="128">
        <v>23788.799999999999</v>
      </c>
      <c r="E6" s="128">
        <v>25119.360000000001</v>
      </c>
      <c r="F6" s="128"/>
      <c r="G6" s="128"/>
      <c r="H6" s="128"/>
      <c r="I6" s="128"/>
      <c r="J6" s="128"/>
      <c r="K6" s="128"/>
      <c r="L6" s="128"/>
      <c r="M6" s="128"/>
    </row>
    <row r="7" spans="1:13">
      <c r="A7" s="132"/>
      <c r="B7" s="133"/>
      <c r="C7" s="134" t="s">
        <v>180</v>
      </c>
      <c r="D7" s="135" t="s">
        <v>181</v>
      </c>
      <c r="E7" s="135" t="s">
        <v>77</v>
      </c>
      <c r="F7" s="135"/>
      <c r="G7" s="135"/>
      <c r="H7" s="135"/>
      <c r="I7" s="135"/>
      <c r="J7" s="135"/>
      <c r="K7" s="135"/>
      <c r="L7" s="135"/>
      <c r="M7" s="135"/>
    </row>
    <row r="8" spans="1:13">
      <c r="A8" s="125" t="s">
        <v>182</v>
      </c>
      <c r="B8" s="126" t="s">
        <v>178</v>
      </c>
      <c r="C8" s="127" t="s">
        <v>75</v>
      </c>
      <c r="D8" s="128">
        <v>8219287.5099999998</v>
      </c>
      <c r="E8" s="128">
        <v>8258910.8999999994</v>
      </c>
      <c r="F8" s="128"/>
      <c r="G8" s="128"/>
      <c r="H8" s="128"/>
      <c r="I8" s="128"/>
      <c r="J8" s="128"/>
      <c r="K8" s="128"/>
      <c r="L8" s="128"/>
      <c r="M8" s="128"/>
    </row>
    <row r="9" spans="1:13">
      <c r="A9" s="129"/>
      <c r="B9" s="130" t="str">
        <f>B8 &amp; "kW"</f>
        <v>GENERAL SERVICE 700 TO 4,999 KW SERVICE CLASSIFICATIONkW</v>
      </c>
      <c r="C9" s="131" t="s">
        <v>179</v>
      </c>
      <c r="D9" s="128">
        <v>16302</v>
      </c>
      <c r="E9" s="128">
        <v>16770</v>
      </c>
      <c r="F9" s="128"/>
      <c r="G9" s="128"/>
      <c r="H9" s="128"/>
      <c r="I9" s="128"/>
      <c r="J9" s="128"/>
      <c r="K9" s="128"/>
      <c r="L9" s="128"/>
      <c r="M9" s="128"/>
    </row>
    <row r="10" spans="1:13">
      <c r="A10" s="132"/>
      <c r="B10" s="133"/>
      <c r="C10" s="134" t="s">
        <v>180</v>
      </c>
      <c r="D10" s="135" t="s">
        <v>181</v>
      </c>
      <c r="E10" s="135" t="s">
        <v>77</v>
      </c>
      <c r="F10" s="135"/>
      <c r="G10" s="135"/>
      <c r="H10" s="135"/>
      <c r="I10" s="135"/>
      <c r="J10" s="135"/>
      <c r="K10" s="135"/>
      <c r="L10" s="135"/>
      <c r="M10" s="135"/>
    </row>
    <row r="11" spans="1:13">
      <c r="A11" s="125" t="s">
        <v>183</v>
      </c>
      <c r="B11" s="126" t="s">
        <v>178</v>
      </c>
      <c r="C11" s="127" t="s">
        <v>75</v>
      </c>
      <c r="D11" s="128">
        <v>8064716.7199999997</v>
      </c>
      <c r="E11" s="128">
        <v>10616378.84</v>
      </c>
      <c r="F11" s="128"/>
      <c r="G11" s="128"/>
      <c r="H11" s="128"/>
      <c r="I11" s="128"/>
      <c r="J11" s="128"/>
      <c r="K11" s="128"/>
      <c r="L11" s="128"/>
      <c r="M11" s="128"/>
    </row>
    <row r="12" spans="1:13">
      <c r="A12" s="129"/>
      <c r="B12" s="130" t="str">
        <f>B11 &amp; "kW"</f>
        <v>GENERAL SERVICE 700 TO 4,999 KW SERVICE CLASSIFICATIONkW</v>
      </c>
      <c r="C12" s="131" t="s">
        <v>179</v>
      </c>
      <c r="D12" s="128">
        <v>16989.120000000003</v>
      </c>
      <c r="E12" s="128">
        <v>19946.88</v>
      </c>
      <c r="F12" s="128"/>
      <c r="G12" s="128"/>
      <c r="H12" s="128"/>
      <c r="I12" s="128"/>
      <c r="J12" s="128"/>
      <c r="K12" s="128"/>
      <c r="L12" s="128"/>
      <c r="M12" s="128"/>
    </row>
    <row r="13" spans="1:13">
      <c r="A13" s="132"/>
      <c r="B13" s="133"/>
      <c r="C13" s="134" t="s">
        <v>180</v>
      </c>
      <c r="D13" s="135" t="s">
        <v>181</v>
      </c>
      <c r="E13" s="135" t="s">
        <v>77</v>
      </c>
      <c r="F13" s="135"/>
      <c r="G13" s="135"/>
      <c r="H13" s="135"/>
      <c r="I13" s="135"/>
      <c r="J13" s="135"/>
      <c r="K13" s="135"/>
      <c r="L13" s="135"/>
      <c r="M13" s="135"/>
    </row>
    <row r="14" spans="1:13">
      <c r="A14" s="125" t="s">
        <v>184</v>
      </c>
      <c r="B14" s="126" t="s">
        <v>178</v>
      </c>
      <c r="C14" s="127" t="s">
        <v>75</v>
      </c>
      <c r="D14" s="128">
        <v>7571473.5</v>
      </c>
      <c r="E14" s="128">
        <v>8376177</v>
      </c>
      <c r="F14" s="128"/>
      <c r="G14" s="128"/>
      <c r="H14" s="128"/>
      <c r="I14" s="128"/>
      <c r="J14" s="128"/>
      <c r="K14" s="128"/>
      <c r="L14" s="128"/>
      <c r="M14" s="128"/>
    </row>
    <row r="15" spans="1:13">
      <c r="A15" s="129"/>
      <c r="B15" s="130" t="str">
        <f>B14 &amp; "kW"</f>
        <v>GENERAL SERVICE 700 TO 4,999 KW SERVICE CLASSIFICATIONkW</v>
      </c>
      <c r="C15" s="131" t="s">
        <v>179</v>
      </c>
      <c r="D15" s="128">
        <v>15272.64</v>
      </c>
      <c r="E15" s="128">
        <v>18169.919999999998</v>
      </c>
      <c r="F15" s="128"/>
      <c r="G15" s="128"/>
      <c r="H15" s="128"/>
      <c r="I15" s="128"/>
      <c r="J15" s="128"/>
      <c r="K15" s="128"/>
      <c r="L15" s="128"/>
      <c r="M15" s="128"/>
    </row>
    <row r="16" spans="1:13">
      <c r="A16" s="132"/>
      <c r="B16" s="133"/>
      <c r="C16" s="134" t="s">
        <v>180</v>
      </c>
      <c r="D16" s="135" t="s">
        <v>77</v>
      </c>
      <c r="E16" s="135" t="s">
        <v>181</v>
      </c>
      <c r="F16" s="135"/>
      <c r="G16" s="135"/>
      <c r="H16" s="135"/>
      <c r="I16" s="135"/>
      <c r="J16" s="135"/>
      <c r="K16" s="135"/>
      <c r="L16" s="135"/>
      <c r="M16" s="135"/>
    </row>
    <row r="17" spans="2:6">
      <c r="B17" t="s">
        <v>185</v>
      </c>
      <c r="D17" s="136">
        <f>+D14+D11+D8+D5</f>
        <v>33957406.699999996</v>
      </c>
      <c r="E17" s="136">
        <f>+E14+E11+E8+E5</f>
        <v>38569701.439999998</v>
      </c>
    </row>
    <row r="18" spans="2:6">
      <c r="D18" s="136"/>
      <c r="E18" s="136"/>
    </row>
    <row r="19" spans="2:6">
      <c r="B19" s="139"/>
      <c r="C19" s="139"/>
      <c r="D19" s="140" t="s">
        <v>175</v>
      </c>
      <c r="E19" s="140" t="s">
        <v>176</v>
      </c>
      <c r="F19" s="139" t="s">
        <v>186</v>
      </c>
    </row>
    <row r="20" spans="2:6">
      <c r="B20" s="139" t="s">
        <v>187</v>
      </c>
      <c r="C20" s="141" t="s">
        <v>188</v>
      </c>
      <c r="D20" s="142">
        <f>+D14</f>
        <v>7571473.5</v>
      </c>
      <c r="E20" s="142">
        <f>SUMIF($C$5:$C$13,"kwh",E5:E13)</f>
        <v>30193524.440000001</v>
      </c>
      <c r="F20" s="143">
        <f>SUM(D20:E20)</f>
        <v>37764997.939999998</v>
      </c>
    </row>
    <row r="21" spans="2:6">
      <c r="B21" s="139" t="s">
        <v>187</v>
      </c>
      <c r="C21" s="141" t="s">
        <v>189</v>
      </c>
      <c r="D21" s="142">
        <f>SUMIF($C$5:$C$13,"kwh",D5:D13)</f>
        <v>26385933.199999999</v>
      </c>
      <c r="E21" s="142">
        <f>+E14</f>
        <v>8376177</v>
      </c>
      <c r="F21" s="143">
        <f t="shared" ref="F21:F22" si="0">SUM(D21:E21)</f>
        <v>34762110.200000003</v>
      </c>
    </row>
    <row r="22" spans="2:6">
      <c r="B22" s="139"/>
      <c r="C22" s="139"/>
      <c r="D22" s="142">
        <f>SUM(D20:D21)</f>
        <v>33957406.700000003</v>
      </c>
      <c r="E22" s="142">
        <f>SUM(E20:E21)</f>
        <v>38569701.439999998</v>
      </c>
      <c r="F22" s="143">
        <f t="shared" si="0"/>
        <v>72527108.140000001</v>
      </c>
    </row>
    <row r="23" spans="2:6">
      <c r="B23" s="139"/>
      <c r="C23" s="139" t="s">
        <v>188</v>
      </c>
      <c r="D23" s="139"/>
      <c r="E23" s="139"/>
      <c r="F23" s="143">
        <f>+'[5]6. GA Calculation'!$E$29+'[5]6. GA Calculation'!$G$29+'[5]6. GA Calculation'!$H$29</f>
        <v>519688123.22999996</v>
      </c>
    </row>
    <row r="24" spans="2:6">
      <c r="B24" s="139"/>
      <c r="C24" s="139" t="s">
        <v>190</v>
      </c>
      <c r="D24" s="139"/>
      <c r="E24" s="139"/>
      <c r="F24" s="139">
        <f>+'[5]6. GA Calculation'!$I$29</f>
        <v>1779860360.7199998</v>
      </c>
    </row>
    <row r="25" spans="2:6">
      <c r="B25" s="139"/>
      <c r="C25" s="139" t="s">
        <v>191</v>
      </c>
      <c r="D25" s="139"/>
      <c r="E25" s="139"/>
      <c r="F25" s="143">
        <f>SUM(F22:F24)</f>
        <v>2372075592.0899997</v>
      </c>
    </row>
    <row r="26" spans="2:6">
      <c r="B26" s="139"/>
      <c r="C26" s="139" t="s">
        <v>192</v>
      </c>
      <c r="D26" s="139"/>
      <c r="E26" s="139"/>
      <c r="F26" s="142">
        <f>+'[5]6. GA Calculation'!$C$29</f>
        <v>2299548483.9499998</v>
      </c>
    </row>
    <row r="27" spans="2:6">
      <c r="B27" s="139"/>
      <c r="C27" s="139" t="s">
        <v>193</v>
      </c>
      <c r="D27" s="139"/>
      <c r="E27" s="139"/>
      <c r="F27" s="143">
        <f>+F25-F26</f>
        <v>72527108.139999866</v>
      </c>
    </row>
    <row r="28" spans="2:6">
      <c r="F28" s="137"/>
    </row>
    <row r="29" spans="2:6">
      <c r="B29" s="144" t="s">
        <v>194</v>
      </c>
      <c r="C29" s="144" t="s">
        <v>188</v>
      </c>
      <c r="D29" s="144"/>
      <c r="E29" s="144"/>
      <c r="F29" s="145">
        <f>+F20+F23</f>
        <v>557453121.16999996</v>
      </c>
    </row>
    <row r="30" spans="2:6">
      <c r="B30" s="144" t="s">
        <v>194</v>
      </c>
      <c r="C30" s="144" t="s">
        <v>190</v>
      </c>
      <c r="D30" s="144"/>
      <c r="E30" s="144"/>
      <c r="F30" s="145">
        <f>+F21+F24</f>
        <v>1814622470.9199998</v>
      </c>
    </row>
    <row r="31" spans="2:6">
      <c r="B31" s="144"/>
      <c r="C31" s="144" t="s">
        <v>195</v>
      </c>
      <c r="D31" s="144"/>
      <c r="E31" s="144"/>
      <c r="F31" s="145">
        <f>SUM(F29:F30)</f>
        <v>2372075592.0899997</v>
      </c>
    </row>
    <row r="32" spans="2:6">
      <c r="B32" s="144"/>
      <c r="C32" s="144" t="s">
        <v>193</v>
      </c>
      <c r="D32" s="144"/>
      <c r="E32" s="144"/>
      <c r="F32" s="146">
        <f>+F31-F26</f>
        <v>72527108.139999866</v>
      </c>
    </row>
  </sheetData>
  <mergeCells count="7">
    <mergeCell ref="L3:M3"/>
    <mergeCell ref="A3:A4"/>
    <mergeCell ref="B3:B4"/>
    <mergeCell ref="D3:E3"/>
    <mergeCell ref="F3:G3"/>
    <mergeCell ref="H3:I3"/>
    <mergeCell ref="J3:K3"/>
  </mergeCells>
  <dataValidations disablePrompts="1" count="2">
    <dataValidation type="list" allowBlank="1" showInputMessage="1" showErrorMessage="1" sqref="B14 B11 B8 B5" xr:uid="{00000000-0002-0000-0200-000000000000}">
      <formula1>listdata</formula1>
    </dataValidation>
    <dataValidation type="list" allowBlank="1" showInputMessage="1" showErrorMessage="1" sqref="D13:M13 D7:M7 D16:M16 D10:M10" xr:uid="{00000000-0002-0000-0200-000001000000}">
      <formula1>"A,B"</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99FA68A33C724FA894CDAF43EEA7C7" ma:contentTypeVersion="6" ma:contentTypeDescription="Create a new document." ma:contentTypeScope="" ma:versionID="a51e3a97222f7547f2bcd846346b24b4">
  <xsd:schema xmlns:xsd="http://www.w3.org/2001/XMLSchema" xmlns:xs="http://www.w3.org/2001/XMLSchema" xmlns:p="http://schemas.microsoft.com/office/2006/metadata/properties" xmlns:ns2="c7144278-a604-49a7-8187-9642ca59cb21" xmlns:ns3="01f4ed2e-8ed5-4f01-addc-53cbf92106b5" targetNamespace="http://schemas.microsoft.com/office/2006/metadata/properties" ma:root="true" ma:fieldsID="d62e64f0ef921e6ff26ceba308a2171a" ns2:_="" ns3:_="">
    <xsd:import namespace="c7144278-a604-49a7-8187-9642ca59cb21"/>
    <xsd:import namespace="01f4ed2e-8ed5-4f01-addc-53cbf92106b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144278-a604-49a7-8187-9642ca59cb2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f4ed2e-8ed5-4f01-addc-53cbf92106b5"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C24ADAD-6AAA-4AF7-A123-29424A6C0554}"/>
</file>

<file path=customXml/itemProps2.xml><?xml version="1.0" encoding="utf-8"?>
<ds:datastoreItem xmlns:ds="http://schemas.openxmlformats.org/officeDocument/2006/customXml" ds:itemID="{87E24692-7249-430C-A818-8E2B2DA0AAFD}"/>
</file>

<file path=customXml/itemProps3.xml><?xml version="1.0" encoding="utf-8"?>
<ds:datastoreItem xmlns:ds="http://schemas.openxmlformats.org/officeDocument/2006/customXml" ds:itemID="{B5CFE34A-A4F2-46FA-93D6-A65649DC86FF}"/>
</file>

<file path=docProps/app.xml><?xml version="1.0" encoding="utf-8"?>
<Properties xmlns="http://schemas.openxmlformats.org/officeDocument/2006/extended-properties" xmlns:vt="http://schemas.openxmlformats.org/officeDocument/2006/docPropsVTypes">
  <Application>Microsoft Excel Online</Application>
  <Manager/>
  <Company>OEB</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Donna Kwan</dc:creator>
  <cp:keywords/>
  <dc:description/>
  <cp:lastModifiedBy>Belinda Dhaliwal</cp:lastModifiedBy>
  <cp:revision/>
  <dcterms:created xsi:type="dcterms:W3CDTF">2017-05-01T19:29:01Z</dcterms:created>
  <dcterms:modified xsi:type="dcterms:W3CDTF">2018-09-06T15:09:24Z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0x0101004E99FA68A33C724FA894CDAF43EEA7C7</vt:lpwstr>
  </property>
</Properties>
</file>