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0" windowWidth="19080" windowHeight="9255" tabRatio="768"/>
  </bookViews>
  <sheets>
    <sheet name="1. Information Sheet" sheetId="13" r:id="rId1"/>
    <sheet name="3. Rate Class Selection" sheetId="3" r:id="rId2"/>
    <sheet name="4. Growth Factor - NUM_CALC1" sheetId="4" r:id="rId3"/>
    <sheet name="5. Growth Factor - NUM_CALC2" sheetId="6" r:id="rId4"/>
    <sheet name="6. Rev_Requ_Check" sheetId="7" r:id="rId5"/>
    <sheet name="7. Growth Factor - DEN_CALC1" sheetId="8" r:id="rId6"/>
    <sheet name="8. Revenue Proportions" sheetId="9" r:id="rId7"/>
    <sheet name="9. Threshold Test" sheetId="1" r:id="rId8"/>
    <sheet name="10b. Proposed ACM ICM Projects" sheetId="10" r:id="rId9"/>
    <sheet name="11. Incremental Capital Adj." sheetId="11" r:id="rId10"/>
    <sheet name="12. Opt 1-Rate Rider Calc F &amp; V" sheetId="12" r:id="rId11"/>
  </sheets>
  <externalReferences>
    <externalReference r:id="rId12"/>
    <externalReference r:id="rId13"/>
    <externalReference r:id="rId14"/>
    <externalReference r:id="rId15"/>
    <externalReference r:id="rId16"/>
    <externalReference r:id="rId17"/>
    <externalReference r:id="rId18"/>
  </externalReferences>
  <definedNames>
    <definedName name="d">'9. Threshold Test'!$E$51</definedName>
    <definedName name="g">'9. Threshold Test'!$E$20</definedName>
    <definedName name="LDCNAMES">'[1]1. Information Sheet'!$AL$1:$AL$78</definedName>
    <definedName name="PCI">'9. Threshold Test'!$E$16</definedName>
    <definedName name="_xlnm.Print_Area" localSheetId="0">'1. Information Sheet'!$A$1:$Q$65</definedName>
    <definedName name="_xlnm.Print_Area" localSheetId="8">'10b. Proposed ACM ICM Projects'!$A$11:$O$79</definedName>
    <definedName name="_xlnm.Print_Area" localSheetId="10">'12. Opt 1-Rate Rider Calc F &amp; V'!$A$7:$Q$25</definedName>
    <definedName name="_xlnm.Print_Area" localSheetId="7">'9. Threshold Test'!$A$1:$F$69</definedName>
    <definedName name="Rate_Class">'[1]1. Information Sheet'!$A$1:$A$104</definedName>
    <definedName name="RB">'9. Threshold Test'!$E$49</definedName>
    <definedName name="Units1">'[1]1. Information Sheet'!$O$2:$O$4</definedName>
  </definedNames>
  <calcPr calcId="145621"/>
</workbook>
</file>

<file path=xl/calcChain.xml><?xml version="1.0" encoding="utf-8"?>
<calcChain xmlns="http://schemas.openxmlformats.org/spreadsheetml/2006/main">
  <c r="M60" i="10" l="1"/>
  <c r="M63" i="10"/>
  <c r="M79" i="10"/>
  <c r="N60" i="10"/>
  <c r="O60" i="10"/>
  <c r="J22" i="11"/>
  <c r="G22" i="11"/>
  <c r="G23" i="11"/>
  <c r="G24" i="11"/>
  <c r="G35" i="11"/>
  <c r="G37" i="11"/>
  <c r="G50" i="11"/>
  <c r="G45" i="11"/>
  <c r="G52" i="11"/>
  <c r="G54" i="11"/>
  <c r="G56" i="11"/>
  <c r="G60" i="11"/>
  <c r="G62" i="11"/>
  <c r="G80" i="11"/>
  <c r="G79" i="11"/>
  <c r="G26" i="11"/>
  <c r="G29" i="11"/>
  <c r="G27" i="11"/>
  <c r="G30" i="11"/>
  <c r="G32" i="11"/>
  <c r="G39" i="11"/>
  <c r="G78" i="11"/>
  <c r="M61" i="10"/>
  <c r="N61" i="10"/>
  <c r="O61" i="10"/>
  <c r="M62" i="10"/>
  <c r="N62" i="10"/>
  <c r="O62" i="10"/>
  <c r="J60" i="10"/>
  <c r="L60" i="10"/>
  <c r="H54" i="11"/>
  <c r="H23" i="11"/>
  <c r="H22" i="11"/>
  <c r="K60" i="10"/>
  <c r="L79" i="10"/>
  <c r="K79" i="10"/>
  <c r="L61" i="10"/>
  <c r="K61" i="10"/>
  <c r="M64" i="10"/>
  <c r="K54" i="11"/>
  <c r="K22" i="11"/>
  <c r="I22" i="11"/>
  <c r="I23" i="11"/>
  <c r="I24" i="11"/>
  <c r="I45" i="11"/>
  <c r="K23" i="11"/>
  <c r="K45" i="11"/>
  <c r="A63" i="10"/>
  <c r="A64" i="10"/>
  <c r="J61" i="10"/>
  <c r="I54" i="11"/>
  <c r="I52" i="11"/>
  <c r="I79" i="11"/>
  <c r="I35" i="11"/>
  <c r="I37" i="11"/>
  <c r="I50" i="11"/>
  <c r="I56" i="11"/>
  <c r="I60" i="11"/>
  <c r="I62" i="11"/>
  <c r="I80" i="11"/>
  <c r="I27" i="11"/>
  <c r="I30" i="11"/>
  <c r="I26" i="11"/>
  <c r="I29" i="11"/>
  <c r="K24" i="11"/>
  <c r="K35" i="11"/>
  <c r="K37" i="11"/>
  <c r="K50" i="11"/>
  <c r="K52" i="11"/>
  <c r="K79" i="11"/>
  <c r="K26" i="11"/>
  <c r="K29" i="11"/>
  <c r="K27" i="11"/>
  <c r="K30" i="11"/>
  <c r="I32" i="11"/>
  <c r="I39" i="11"/>
  <c r="I78" i="11"/>
  <c r="I83" i="11"/>
  <c r="K56" i="11"/>
  <c r="K60" i="11"/>
  <c r="K62" i="11"/>
  <c r="K80" i="11"/>
  <c r="K32" i="11"/>
  <c r="K39" i="11"/>
  <c r="K78" i="11"/>
  <c r="K83" i="11"/>
  <c r="E21" i="8"/>
  <c r="E19" i="8"/>
  <c r="D20" i="8"/>
  <c r="D18" i="8"/>
  <c r="D17" i="8"/>
  <c r="I19" i="4"/>
  <c r="I21" i="4"/>
  <c r="H20" i="4"/>
  <c r="H18" i="4"/>
  <c r="H17" i="4"/>
  <c r="G21" i="4"/>
  <c r="G20" i="4"/>
  <c r="G19" i="4"/>
  <c r="G18" i="4"/>
  <c r="G17" i="4"/>
  <c r="C51" i="7"/>
  <c r="C47" i="7"/>
  <c r="C46" i="7"/>
  <c r="C58" i="7"/>
  <c r="C59" i="7"/>
  <c r="C60" i="7"/>
  <c r="C57" i="7"/>
  <c r="C49" i="7"/>
  <c r="C42" i="7"/>
  <c r="C41" i="7"/>
  <c r="C40" i="7"/>
  <c r="C29" i="7"/>
  <c r="C20" i="7"/>
  <c r="C19" i="7"/>
  <c r="C13" i="7"/>
  <c r="C12" i="7"/>
  <c r="C10" i="7"/>
  <c r="E14" i="1"/>
  <c r="A18" i="12"/>
  <c r="A19" i="12"/>
  <c r="A20" i="12"/>
  <c r="A21" i="12"/>
  <c r="A17" i="12"/>
  <c r="E13" i="1"/>
  <c r="I21" i="9"/>
  <c r="I20" i="9"/>
  <c r="I18" i="9"/>
  <c r="I17" i="9"/>
  <c r="H18" i="9"/>
  <c r="H19" i="9"/>
  <c r="H20" i="9"/>
  <c r="H21" i="9"/>
  <c r="A18" i="9"/>
  <c r="A19" i="9"/>
  <c r="A20" i="9"/>
  <c r="A21" i="9"/>
  <c r="A17" i="9"/>
  <c r="G14" i="9"/>
  <c r="M23" i="8"/>
  <c r="M22" i="8"/>
  <c r="M18" i="8"/>
  <c r="L22" i="8"/>
  <c r="L23" i="8"/>
  <c r="A18" i="8"/>
  <c r="A19" i="8"/>
  <c r="A20" i="8"/>
  <c r="A21" i="8"/>
  <c r="A17" i="8"/>
  <c r="C8" i="7"/>
  <c r="M23" i="6"/>
  <c r="M22" i="6"/>
  <c r="M18" i="6"/>
  <c r="L18" i="6"/>
  <c r="L22" i="6"/>
  <c r="L23" i="6"/>
  <c r="I23" i="6"/>
  <c r="H23" i="6"/>
  <c r="I22" i="6"/>
  <c r="H22" i="6"/>
  <c r="H21" i="6"/>
  <c r="L21" i="6"/>
  <c r="I20" i="6"/>
  <c r="H20" i="6"/>
  <c r="L20" i="6"/>
  <c r="I19" i="6"/>
  <c r="H19" i="6"/>
  <c r="I18" i="6"/>
  <c r="H18" i="6"/>
  <c r="I17" i="6"/>
  <c r="M17" i="6"/>
  <c r="H17" i="6"/>
  <c r="G18" i="6"/>
  <c r="G19" i="6"/>
  <c r="G20" i="6"/>
  <c r="G21" i="6"/>
  <c r="G22" i="6"/>
  <c r="G23" i="6"/>
  <c r="G17" i="6"/>
  <c r="D17" i="6"/>
  <c r="E17" i="6"/>
  <c r="D18" i="6"/>
  <c r="E18" i="6"/>
  <c r="D19" i="6"/>
  <c r="E19" i="6"/>
  <c r="D20" i="6"/>
  <c r="E20" i="6"/>
  <c r="D21" i="6"/>
  <c r="E21" i="6"/>
  <c r="D22" i="6"/>
  <c r="E22" i="6"/>
  <c r="D23" i="6"/>
  <c r="E23" i="6"/>
  <c r="C18" i="6"/>
  <c r="C19" i="6"/>
  <c r="C20" i="6"/>
  <c r="C21" i="6"/>
  <c r="C22" i="6"/>
  <c r="C23" i="6"/>
  <c r="C17" i="6"/>
  <c r="A18" i="6"/>
  <c r="A19" i="6"/>
  <c r="A20" i="6"/>
  <c r="A21" i="6"/>
  <c r="A17" i="6"/>
  <c r="C14" i="6"/>
  <c r="I21" i="6"/>
  <c r="M21" i="6"/>
  <c r="C35" i="11"/>
  <c r="C30" i="11"/>
  <c r="C29" i="11"/>
  <c r="C27" i="11"/>
  <c r="C26" i="11"/>
  <c r="C9" i="1"/>
  <c r="M20" i="6"/>
  <c r="M19" i="6"/>
  <c r="L19" i="6"/>
  <c r="J95" i="13"/>
  <c r="I95" i="13"/>
  <c r="L95" i="13"/>
  <c r="K95" i="13"/>
  <c r="E46" i="1"/>
  <c r="E45" i="1"/>
  <c r="E36" i="1"/>
  <c r="E35" i="1"/>
  <c r="E34" i="1"/>
  <c r="E33" i="1"/>
  <c r="E28" i="1"/>
  <c r="E27" i="1"/>
  <c r="E26" i="1"/>
  <c r="E24" i="1"/>
  <c r="E23" i="1"/>
  <c r="I23" i="9"/>
  <c r="I19" i="9"/>
  <c r="H23" i="9"/>
  <c r="H22" i="9"/>
  <c r="H17" i="9"/>
  <c r="G23" i="9"/>
  <c r="G22" i="9"/>
  <c r="G21" i="9"/>
  <c r="G20" i="9"/>
  <c r="G19" i="9"/>
  <c r="G18" i="9"/>
  <c r="G17" i="9"/>
  <c r="I23" i="8"/>
  <c r="I22" i="8"/>
  <c r="I21" i="8"/>
  <c r="M21" i="8"/>
  <c r="I20" i="8"/>
  <c r="M20" i="8"/>
  <c r="I19" i="8"/>
  <c r="I18" i="8"/>
  <c r="I17" i="8"/>
  <c r="M17" i="8"/>
  <c r="H23" i="8"/>
  <c r="H22" i="8"/>
  <c r="H21" i="8"/>
  <c r="L21" i="8"/>
  <c r="H20" i="8"/>
  <c r="L20" i="8"/>
  <c r="H19" i="8"/>
  <c r="L19" i="8"/>
  <c r="H18" i="8"/>
  <c r="L18" i="8"/>
  <c r="H17" i="8"/>
  <c r="G23" i="8"/>
  <c r="G22" i="8"/>
  <c r="G21" i="8"/>
  <c r="G20" i="8"/>
  <c r="G19" i="8"/>
  <c r="G18" i="8"/>
  <c r="G17" i="8"/>
  <c r="A28" i="13"/>
  <c r="L99" i="13"/>
  <c r="K99" i="13"/>
  <c r="E113" i="13"/>
  <c r="I98" i="13"/>
  <c r="L94" i="13"/>
  <c r="K94" i="13"/>
  <c r="J94" i="13"/>
  <c r="I94" i="13"/>
  <c r="D93" i="13"/>
  <c r="D95" i="13"/>
  <c r="B93" i="13"/>
  <c r="B94" i="13"/>
  <c r="B99" i="13"/>
  <c r="B103" i="13"/>
  <c r="F44" i="13"/>
  <c r="E16" i="1"/>
  <c r="F36" i="13"/>
  <c r="A12" i="6"/>
  <c r="E30" i="13"/>
  <c r="AA1" i="13"/>
  <c r="K98" i="13"/>
  <c r="F114" i="13"/>
  <c r="B98" i="13"/>
  <c r="B102" i="13"/>
  <c r="B104" i="13"/>
  <c r="B101" i="13"/>
  <c r="J114" i="13"/>
  <c r="K103" i="13"/>
  <c r="J99" i="13"/>
  <c r="J103" i="13"/>
  <c r="E114" i="13"/>
  <c r="J115" i="13"/>
  <c r="L103" i="13"/>
  <c r="I102" i="13"/>
  <c r="F112" i="13"/>
  <c r="F46" i="13"/>
  <c r="E115" i="13"/>
  <c r="E93" i="13"/>
  <c r="J98" i="13"/>
  <c r="I99" i="13"/>
  <c r="K102" i="13"/>
  <c r="D94" i="13"/>
  <c r="D99" i="13"/>
  <c r="L98" i="13"/>
  <c r="M23" i="12"/>
  <c r="M21" i="12"/>
  <c r="M20" i="12"/>
  <c r="M19" i="12"/>
  <c r="L23" i="12"/>
  <c r="L22" i="12"/>
  <c r="L21" i="12"/>
  <c r="L20" i="12"/>
  <c r="L19" i="12"/>
  <c r="L18" i="12"/>
  <c r="L17" i="12"/>
  <c r="K23" i="12"/>
  <c r="K22" i="12"/>
  <c r="K21" i="12"/>
  <c r="K20" i="12"/>
  <c r="K19" i="12"/>
  <c r="K18" i="12"/>
  <c r="K17" i="12"/>
  <c r="K24" i="12"/>
  <c r="F93" i="13"/>
  <c r="E95" i="13"/>
  <c r="A13" i="4"/>
  <c r="C18" i="1"/>
  <c r="L24" i="12"/>
  <c r="M24" i="12"/>
  <c r="K104" i="13"/>
  <c r="J113" i="13"/>
  <c r="D98" i="13"/>
  <c r="E108" i="13"/>
  <c r="F115" i="13"/>
  <c r="L102" i="13"/>
  <c r="L104" i="13"/>
  <c r="I103" i="13"/>
  <c r="I104" i="13"/>
  <c r="J112" i="13"/>
  <c r="F47" i="13"/>
  <c r="D103" i="13"/>
  <c r="J108" i="13"/>
  <c r="J102" i="13"/>
  <c r="J104" i="13"/>
  <c r="F113" i="13"/>
  <c r="E94" i="13"/>
  <c r="E99" i="13"/>
  <c r="C19" i="1"/>
  <c r="C14" i="8"/>
  <c r="G93" i="13"/>
  <c r="F95" i="13"/>
  <c r="F94" i="13"/>
  <c r="E103" i="13"/>
  <c r="J109" i="13"/>
  <c r="E109" i="13"/>
  <c r="E98" i="13"/>
  <c r="D102" i="13"/>
  <c r="D104" i="13"/>
  <c r="F108" i="13"/>
  <c r="F98" i="13"/>
  <c r="E110" i="13"/>
  <c r="F99" i="13"/>
  <c r="H93" i="13"/>
  <c r="G95" i="13"/>
  <c r="G94" i="13"/>
  <c r="E102" i="13"/>
  <c r="E104" i="13"/>
  <c r="F109" i="13"/>
  <c r="G22" i="10"/>
  <c r="F22" i="10"/>
  <c r="E22" i="10"/>
  <c r="D22" i="10"/>
  <c r="G98" i="13"/>
  <c r="E111" i="13"/>
  <c r="G99" i="13"/>
  <c r="H95" i="13"/>
  <c r="H94" i="13"/>
  <c r="J110" i="13"/>
  <c r="F103" i="13"/>
  <c r="F102" i="13"/>
  <c r="F104" i="13"/>
  <c r="F110" i="13"/>
  <c r="I79" i="10"/>
  <c r="H79" i="10"/>
  <c r="F79" i="10"/>
  <c r="E79" i="10"/>
  <c r="M77" i="10"/>
  <c r="J77" i="10"/>
  <c r="G77" i="10"/>
  <c r="D77" i="10"/>
  <c r="B77" i="10"/>
  <c r="A77" i="10"/>
  <c r="M76" i="10"/>
  <c r="J76" i="10"/>
  <c r="G76" i="10"/>
  <c r="D76" i="10"/>
  <c r="B76" i="10"/>
  <c r="A76" i="10"/>
  <c r="M75" i="10"/>
  <c r="J75" i="10"/>
  <c r="G75" i="10"/>
  <c r="D75" i="10"/>
  <c r="B75" i="10"/>
  <c r="A75" i="10"/>
  <c r="M74" i="10"/>
  <c r="J74" i="10"/>
  <c r="G74" i="10"/>
  <c r="D74" i="10"/>
  <c r="B74" i="10"/>
  <c r="A74" i="10"/>
  <c r="M73" i="10"/>
  <c r="J73" i="10"/>
  <c r="G73" i="10"/>
  <c r="D73" i="10"/>
  <c r="B73" i="10"/>
  <c r="A73" i="10"/>
  <c r="M72" i="10"/>
  <c r="J72" i="10"/>
  <c r="G72" i="10"/>
  <c r="D72" i="10"/>
  <c r="B72" i="10"/>
  <c r="A72" i="10"/>
  <c r="M71" i="10"/>
  <c r="J71" i="10"/>
  <c r="G71" i="10"/>
  <c r="D71" i="10"/>
  <c r="B71" i="10"/>
  <c r="A71" i="10"/>
  <c r="J70" i="10"/>
  <c r="G70" i="10"/>
  <c r="D70" i="10"/>
  <c r="B70" i="10"/>
  <c r="A70" i="10"/>
  <c r="J69" i="10"/>
  <c r="G69" i="10"/>
  <c r="D69" i="10"/>
  <c r="B69" i="10"/>
  <c r="A69" i="10"/>
  <c r="J68" i="10"/>
  <c r="G68" i="10"/>
  <c r="D68" i="10"/>
  <c r="B68" i="10"/>
  <c r="A68" i="10"/>
  <c r="J67" i="10"/>
  <c r="G67" i="10"/>
  <c r="D67" i="10"/>
  <c r="B67" i="10"/>
  <c r="A67" i="10"/>
  <c r="J66" i="10"/>
  <c r="G66" i="10"/>
  <c r="D66" i="10"/>
  <c r="B66" i="10"/>
  <c r="A66" i="10"/>
  <c r="J65" i="10"/>
  <c r="G65" i="10"/>
  <c r="D65" i="10"/>
  <c r="B65" i="10"/>
  <c r="A65" i="10"/>
  <c r="J64" i="10"/>
  <c r="G64" i="10"/>
  <c r="D64" i="10"/>
  <c r="B64" i="10"/>
  <c r="J63" i="10"/>
  <c r="J79" i="10" s="1"/>
  <c r="E22" i="11" s="1"/>
  <c r="G63" i="10"/>
  <c r="D63" i="10"/>
  <c r="B63" i="10"/>
  <c r="J62" i="10"/>
  <c r="G62" i="10"/>
  <c r="D62" i="10"/>
  <c r="B62" i="10"/>
  <c r="A62" i="10"/>
  <c r="G61" i="10"/>
  <c r="D61" i="10"/>
  <c r="B61" i="10"/>
  <c r="A61" i="10"/>
  <c r="G60" i="10"/>
  <c r="D60" i="10"/>
  <c r="B60" i="10"/>
  <c r="A60" i="10"/>
  <c r="G51" i="10"/>
  <c r="D51" i="10"/>
  <c r="C51" i="10"/>
  <c r="F44" i="10"/>
  <c r="E44" i="10"/>
  <c r="D44" i="10"/>
  <c r="H42" i="10"/>
  <c r="H41" i="10"/>
  <c r="H40" i="10"/>
  <c r="H39" i="10"/>
  <c r="H38" i="10"/>
  <c r="H37" i="10"/>
  <c r="H36" i="10"/>
  <c r="H28" i="10"/>
  <c r="M23" i="9"/>
  <c r="L23" i="9"/>
  <c r="K23" i="9"/>
  <c r="N23" i="9"/>
  <c r="M22" i="9"/>
  <c r="L22" i="9"/>
  <c r="K22" i="9"/>
  <c r="M21" i="9"/>
  <c r="L21" i="9"/>
  <c r="K21" i="9"/>
  <c r="M20" i="9"/>
  <c r="L20" i="9"/>
  <c r="K20" i="9"/>
  <c r="M19" i="9"/>
  <c r="L19" i="9"/>
  <c r="K19" i="9"/>
  <c r="M18" i="9"/>
  <c r="L18" i="9"/>
  <c r="K18" i="9"/>
  <c r="N18" i="9"/>
  <c r="M17" i="9"/>
  <c r="L17" i="9"/>
  <c r="K17" i="9"/>
  <c r="E24" i="8"/>
  <c r="D24" i="8"/>
  <c r="C24" i="8"/>
  <c r="K23" i="8"/>
  <c r="N23" i="8"/>
  <c r="K22" i="8"/>
  <c r="K21" i="8"/>
  <c r="K20" i="8"/>
  <c r="M19" i="8"/>
  <c r="K19" i="8"/>
  <c r="K18" i="8"/>
  <c r="L17" i="8"/>
  <c r="K17" i="8"/>
  <c r="E60" i="7"/>
  <c r="E55" i="7"/>
  <c r="C38" i="7"/>
  <c r="E31" i="7"/>
  <c r="C23" i="7"/>
  <c r="E37" i="1"/>
  <c r="E24" i="6"/>
  <c r="D24" i="6"/>
  <c r="C24" i="6"/>
  <c r="K23" i="6"/>
  <c r="N23" i="6"/>
  <c r="K22" i="6"/>
  <c r="K21" i="6"/>
  <c r="K20" i="6"/>
  <c r="N20" i="6"/>
  <c r="K19" i="6"/>
  <c r="K18" i="6"/>
  <c r="L17" i="6"/>
  <c r="K17" i="6"/>
  <c r="P33" i="3"/>
  <c r="P32" i="3"/>
  <c r="P31" i="3"/>
  <c r="P30" i="3"/>
  <c r="P29" i="3"/>
  <c r="P28" i="3"/>
  <c r="P27" i="3"/>
  <c r="P26" i="3"/>
  <c r="P25" i="3"/>
  <c r="P24" i="3"/>
  <c r="P23" i="3"/>
  <c r="P22" i="3"/>
  <c r="P21" i="3"/>
  <c r="P20" i="3"/>
  <c r="P19" i="3"/>
  <c r="N17" i="8"/>
  <c r="N20" i="9"/>
  <c r="E24" i="7"/>
  <c r="G103" i="13"/>
  <c r="J111" i="13"/>
  <c r="I47" i="13"/>
  <c r="E112" i="13"/>
  <c r="F32" i="13"/>
  <c r="C15" i="10"/>
  <c r="H98" i="13"/>
  <c r="H102" i="13"/>
  <c r="H99" i="13"/>
  <c r="H103" i="13"/>
  <c r="G102" i="13"/>
  <c r="G104" i="13"/>
  <c r="F111" i="13"/>
  <c r="I46" i="13"/>
  <c r="N22" i="9"/>
  <c r="N19" i="6"/>
  <c r="Q19" i="6"/>
  <c r="N18" i="8"/>
  <c r="L24" i="6"/>
  <c r="R23" i="6"/>
  <c r="N17" i="9"/>
  <c r="N19" i="9"/>
  <c r="M24" i="9"/>
  <c r="N21" i="9"/>
  <c r="L24" i="9"/>
  <c r="N22" i="8"/>
  <c r="N21" i="8"/>
  <c r="N20" i="8"/>
  <c r="L24" i="8"/>
  <c r="K24" i="8"/>
  <c r="N19" i="8"/>
  <c r="Q19" i="3"/>
  <c r="G79" i="10"/>
  <c r="D79" i="10"/>
  <c r="K24" i="9"/>
  <c r="M24" i="8"/>
  <c r="Q20" i="6"/>
  <c r="P20" i="6"/>
  <c r="R20" i="6"/>
  <c r="K24" i="6"/>
  <c r="N18" i="6"/>
  <c r="P18" i="6"/>
  <c r="N22" i="6"/>
  <c r="P22" i="6"/>
  <c r="P23" i="6"/>
  <c r="N17" i="6"/>
  <c r="N21" i="6"/>
  <c r="P21" i="6"/>
  <c r="Q23" i="6"/>
  <c r="M24" i="6"/>
  <c r="C65" i="1"/>
  <c r="C64" i="1"/>
  <c r="C63" i="1"/>
  <c r="C62" i="1"/>
  <c r="C61" i="1"/>
  <c r="E51" i="1"/>
  <c r="P19" i="6"/>
  <c r="H104" i="13"/>
  <c r="D15" i="10"/>
  <c r="C58" i="10"/>
  <c r="C50" i="10"/>
  <c r="C23" i="10"/>
  <c r="R19" i="6"/>
  <c r="N24" i="9"/>
  <c r="S22" i="9"/>
  <c r="Q22" i="6"/>
  <c r="N24" i="8"/>
  <c r="E39" i="1"/>
  <c r="P20" i="9"/>
  <c r="C20" i="12"/>
  <c r="P23" i="9"/>
  <c r="C23" i="12"/>
  <c r="Q19" i="9"/>
  <c r="D19" i="12"/>
  <c r="Q20" i="9"/>
  <c r="D20" i="12"/>
  <c r="N24" i="6"/>
  <c r="R17" i="6"/>
  <c r="Q17" i="6"/>
  <c r="Q21" i="6"/>
  <c r="R21" i="6"/>
  <c r="R18" i="6"/>
  <c r="R22" i="6"/>
  <c r="Q18" i="6"/>
  <c r="P17" i="6"/>
  <c r="E47" i="1"/>
  <c r="R19" i="9"/>
  <c r="E19" i="12"/>
  <c r="S20" i="9"/>
  <c r="R21" i="9"/>
  <c r="E21" i="12"/>
  <c r="P22" i="9"/>
  <c r="C22" i="12"/>
  <c r="R23" i="9"/>
  <c r="E23" i="12"/>
  <c r="Q17" i="9"/>
  <c r="D17" i="12"/>
  <c r="D24" i="12"/>
  <c r="Q18" i="9"/>
  <c r="D18" i="12"/>
  <c r="R20" i="9"/>
  <c r="E20" i="12"/>
  <c r="S17" i="9"/>
  <c r="R18" i="9"/>
  <c r="E18" i="12"/>
  <c r="P17" i="9"/>
  <c r="C17" i="12"/>
  <c r="Q21" i="9"/>
  <c r="D21" i="12"/>
  <c r="E58" i="10"/>
  <c r="E15" i="10"/>
  <c r="D23" i="10"/>
  <c r="E50" i="10"/>
  <c r="S18" i="9"/>
  <c r="R17" i="9"/>
  <c r="E17" i="12"/>
  <c r="R22" i="9"/>
  <c r="E22" i="12"/>
  <c r="Q22" i="9"/>
  <c r="D22" i="12"/>
  <c r="Q23" i="9"/>
  <c r="D23" i="12"/>
  <c r="P21" i="9"/>
  <c r="C21" i="12"/>
  <c r="S19" i="9"/>
  <c r="P18" i="9"/>
  <c r="C18" i="12"/>
  <c r="S23" i="9"/>
  <c r="S21" i="9"/>
  <c r="P19" i="9"/>
  <c r="C19" i="12"/>
  <c r="E18" i="1"/>
  <c r="E65" i="7"/>
  <c r="S23" i="8"/>
  <c r="E19" i="1"/>
  <c r="S17" i="6"/>
  <c r="S22" i="6"/>
  <c r="S21" i="6"/>
  <c r="S18" i="6"/>
  <c r="E24" i="12"/>
  <c r="R19" i="8"/>
  <c r="P18" i="8"/>
  <c r="S22" i="8"/>
  <c r="S20" i="8"/>
  <c r="R18" i="8"/>
  <c r="Q19" i="8"/>
  <c r="S21" i="8"/>
  <c r="R17" i="8"/>
  <c r="P22" i="8"/>
  <c r="P21" i="8"/>
  <c r="Q22" i="8"/>
  <c r="S18" i="8"/>
  <c r="Q21" i="8"/>
  <c r="R21" i="8"/>
  <c r="Q20" i="8"/>
  <c r="R20" i="8"/>
  <c r="S19" i="8"/>
  <c r="Q18" i="8"/>
  <c r="S17" i="8"/>
  <c r="Q17" i="8"/>
  <c r="P17" i="8"/>
  <c r="P23" i="8"/>
  <c r="Q23" i="8"/>
  <c r="R23" i="8"/>
  <c r="P20" i="8"/>
  <c r="R22" i="8"/>
  <c r="P19" i="8"/>
  <c r="S20" i="6"/>
  <c r="S19" i="6"/>
  <c r="S23" i="6"/>
  <c r="E20" i="1"/>
  <c r="H50" i="10"/>
  <c r="H58" i="10"/>
  <c r="E23" i="10"/>
  <c r="F15" i="10"/>
  <c r="C24" i="12"/>
  <c r="S24" i="9"/>
  <c r="S24" i="6"/>
  <c r="S24" i="8"/>
  <c r="K50" i="10"/>
  <c r="K58" i="10"/>
  <c r="F23" i="10"/>
  <c r="G15" i="10"/>
  <c r="G23" i="10"/>
  <c r="N50" i="10"/>
  <c r="N58" i="10"/>
  <c r="M65" i="10"/>
  <c r="H30" i="10"/>
  <c r="H24" i="10"/>
  <c r="H31" i="10"/>
  <c r="M66" i="10"/>
  <c r="M69" i="10"/>
  <c r="H34" i="10"/>
  <c r="H26" i="10"/>
  <c r="H25" i="10"/>
  <c r="M70" i="10"/>
  <c r="H35" i="10"/>
  <c r="H27" i="10"/>
  <c r="H29" i="10"/>
  <c r="H32" i="10"/>
  <c r="M67" i="10"/>
  <c r="H33" i="10"/>
  <c r="M68" i="10"/>
  <c r="G44" i="10"/>
  <c r="H44" i="10" s="1"/>
  <c r="H45" i="11"/>
  <c r="H24" i="11"/>
  <c r="G83" i="11"/>
  <c r="H27" i="11"/>
  <c r="H30" i="11"/>
  <c r="H26" i="11"/>
  <c r="H29" i="11"/>
  <c r="H32" i="11"/>
  <c r="H35" i="11"/>
  <c r="H37" i="11"/>
  <c r="H50" i="11"/>
  <c r="H79" i="11"/>
  <c r="H52" i="11"/>
  <c r="E25" i="1"/>
  <c r="C16" i="7"/>
  <c r="H39" i="11"/>
  <c r="H78" i="11"/>
  <c r="H56" i="11"/>
  <c r="H60" i="11"/>
  <c r="H62" i="11"/>
  <c r="H80" i="11"/>
  <c r="H83" i="11"/>
  <c r="E17" i="7"/>
  <c r="E26" i="7"/>
  <c r="E33" i="7"/>
  <c r="E29" i="1"/>
  <c r="E31" i="1"/>
  <c r="E41" i="1"/>
  <c r="E49" i="1"/>
  <c r="E58" i="1"/>
  <c r="E65" i="1"/>
  <c r="G18" i="10"/>
  <c r="E54" i="1"/>
  <c r="E61" i="1"/>
  <c r="E57" i="1"/>
  <c r="E64" i="1"/>
  <c r="F18" i="10"/>
  <c r="E56" i="1"/>
  <c r="E63" i="1"/>
  <c r="E18" i="10"/>
  <c r="E55" i="1"/>
  <c r="E62" i="1"/>
  <c r="D18" i="10"/>
  <c r="E37" i="7"/>
  <c r="E41" i="7"/>
  <c r="E38" i="7"/>
  <c r="E36" i="7"/>
  <c r="E40" i="7"/>
  <c r="D20" i="10"/>
  <c r="D53" i="10"/>
  <c r="M53" i="10"/>
  <c r="J53" i="10"/>
  <c r="G53" i="10"/>
  <c r="E20" i="10"/>
  <c r="C37" i="11"/>
  <c r="G55" i="10"/>
  <c r="E46" i="10"/>
  <c r="E42" i="7"/>
  <c r="E43" i="7"/>
  <c r="E62" i="7"/>
  <c r="G62" i="7"/>
  <c r="D46" i="10"/>
  <c r="D55" i="10"/>
  <c r="E67" i="7"/>
  <c r="E69" i="7"/>
  <c r="E18" i="11"/>
  <c r="N63" i="10" l="1"/>
  <c r="O63" i="10"/>
  <c r="L22" i="11"/>
  <c r="J54" i="11" l="1"/>
  <c r="O79" i="10"/>
  <c r="E54" i="11" s="1"/>
  <c r="L54" i="11" s="1"/>
  <c r="J23" i="11"/>
  <c r="N79" i="10"/>
  <c r="E23" i="11" s="1"/>
  <c r="L23" i="11" l="1"/>
  <c r="E24" i="11"/>
  <c r="E45" i="11"/>
  <c r="J24" i="11"/>
  <c r="J45" i="11"/>
  <c r="J27" i="11" l="1"/>
  <c r="J35" i="11"/>
  <c r="J26" i="11"/>
  <c r="L24" i="11"/>
  <c r="E27" i="11"/>
  <c r="E30" i="11" s="1"/>
  <c r="E35" i="11"/>
  <c r="E37" i="11" s="1"/>
  <c r="E26" i="11"/>
  <c r="E29" i="11" s="1"/>
  <c r="E32" i="11" s="1"/>
  <c r="J52" i="11"/>
  <c r="J79" i="11"/>
  <c r="E52" i="11"/>
  <c r="E79" i="11"/>
  <c r="L79" i="11" s="1"/>
  <c r="L45" i="11"/>
  <c r="E50" i="11"/>
  <c r="J29" i="11" l="1"/>
  <c r="L26" i="11"/>
  <c r="L52" i="11"/>
  <c r="J37" i="11"/>
  <c r="L35" i="11"/>
  <c r="J30" i="11"/>
  <c r="L30" i="11" s="1"/>
  <c r="L27" i="11"/>
  <c r="E56" i="11"/>
  <c r="E39" i="11"/>
  <c r="J50" i="11" l="1"/>
  <c r="L37" i="11"/>
  <c r="J32" i="11"/>
  <c r="L29" i="11"/>
  <c r="E78" i="11"/>
  <c r="E60" i="11"/>
  <c r="J39" i="11" l="1"/>
  <c r="L32" i="11"/>
  <c r="J56" i="11"/>
  <c r="L50" i="11"/>
  <c r="E62" i="11"/>
  <c r="J60" i="11" l="1"/>
  <c r="L56" i="11"/>
  <c r="J78" i="11"/>
  <c r="L39" i="11"/>
  <c r="E80" i="11"/>
  <c r="L78" i="11" l="1"/>
  <c r="J62" i="11"/>
  <c r="L60" i="11"/>
  <c r="E83" i="11"/>
  <c r="J80" i="11" l="1"/>
  <c r="L62" i="11"/>
  <c r="I25" i="12"/>
  <c r="J83" i="11" l="1"/>
  <c r="L83" i="11" s="1"/>
  <c r="L80" i="11"/>
  <c r="H23" i="12"/>
  <c r="Q23" i="12" s="1"/>
  <c r="F21" i="12"/>
  <c r="G19" i="12"/>
  <c r="P19" i="12" s="1"/>
  <c r="F19" i="12"/>
  <c r="H17" i="12"/>
  <c r="F20" i="12"/>
  <c r="G22" i="12"/>
  <c r="P22" i="12" s="1"/>
  <c r="G17" i="12"/>
  <c r="H21" i="12"/>
  <c r="Q21" i="12" s="1"/>
  <c r="F22" i="12"/>
  <c r="G20" i="12"/>
  <c r="P20" i="12" s="1"/>
  <c r="G18" i="12"/>
  <c r="P18" i="12" s="1"/>
  <c r="F18" i="12"/>
  <c r="G21" i="12"/>
  <c r="P21" i="12" s="1"/>
  <c r="H22" i="12"/>
  <c r="Q22" i="12" s="1"/>
  <c r="G23" i="12"/>
  <c r="P23" i="12" s="1"/>
  <c r="F23" i="12"/>
  <c r="H18" i="12"/>
  <c r="Q18" i="12" s="1"/>
  <c r="H20" i="12"/>
  <c r="Q20" i="12" s="1"/>
  <c r="H19" i="12"/>
  <c r="Q19" i="12" s="1"/>
  <c r="F17" i="12"/>
  <c r="I17" i="12" l="1"/>
  <c r="F24" i="12"/>
  <c r="O19" i="12"/>
  <c r="I19" i="12"/>
  <c r="I18" i="12"/>
  <c r="O18" i="12"/>
  <c r="G24" i="12"/>
  <c r="I20" i="12"/>
  <c r="O20" i="12"/>
  <c r="Q17" i="12"/>
  <c r="H24" i="12"/>
  <c r="I22" i="12"/>
  <c r="O22" i="12" s="1"/>
  <c r="O21" i="12"/>
  <c r="I21" i="12"/>
  <c r="I23" i="12"/>
  <c r="O23" i="12" s="1"/>
  <c r="I24" i="12" l="1"/>
  <c r="O17" i="12"/>
  <c r="G16" i="10" l="1"/>
  <c r="M51" i="10" s="1"/>
  <c r="G20" i="10" l="1"/>
  <c r="F16" i="10"/>
  <c r="F20" i="10" s="1"/>
  <c r="G46" i="10"/>
  <c r="M55" i="10"/>
  <c r="J51" i="10" l="1"/>
  <c r="J55" i="10"/>
  <c r="F46" i="10"/>
  <c r="H46" i="10" s="1"/>
</calcChain>
</file>

<file path=xl/sharedStrings.xml><?xml version="1.0" encoding="utf-8"?>
<sst xmlns="http://schemas.openxmlformats.org/spreadsheetml/2006/main" count="490" uniqueCount="330">
  <si>
    <t>No Input Required.</t>
  </si>
  <si>
    <t>Year</t>
  </si>
  <si>
    <t>Year in which Applicant is applying</t>
  </si>
  <si>
    <t>Price Cap Index</t>
  </si>
  <si>
    <t>Growth Factor Calculation</t>
  </si>
  <si>
    <t>Growth Factor</t>
  </si>
  <si>
    <t>Dead Band</t>
  </si>
  <si>
    <t>Average Net Fixed Assets</t>
  </si>
  <si>
    <t>Gross Fixed Assets Opening</t>
  </si>
  <si>
    <t>Add: CWIP Opening</t>
  </si>
  <si>
    <t>Capital Additions</t>
  </si>
  <si>
    <t>Capital Disposals</t>
  </si>
  <si>
    <t>Capital Retirements</t>
  </si>
  <si>
    <t>Deduct: CWIP Closing</t>
  </si>
  <si>
    <t>Gross Fixed Assets - Closing</t>
  </si>
  <si>
    <t>Average Gross Fixed Assets</t>
  </si>
  <si>
    <t>Accumulated Depreciation - Opening</t>
  </si>
  <si>
    <t>Depreciation Expense</t>
  </si>
  <si>
    <t>Disposals</t>
  </si>
  <si>
    <t>Retirements</t>
  </si>
  <si>
    <t>Accumulated Depreciation - Closing</t>
  </si>
  <si>
    <t>Average Accumulated Depreciation</t>
  </si>
  <si>
    <t xml:space="preserve">Average Net Fixed Assets </t>
  </si>
  <si>
    <t>Working Capital Allowance</t>
  </si>
  <si>
    <t>Working Capital Allowance Base</t>
  </si>
  <si>
    <t>Working Capital Allowance Rate</t>
  </si>
  <si>
    <t>Rate Base</t>
  </si>
  <si>
    <t>Depreciation</t>
  </si>
  <si>
    <t>Threshold Value (varies by Price Cap IR Year subsequent to CoS rebasing)</t>
  </si>
  <si>
    <t>Threshold CAPEX</t>
  </si>
  <si>
    <t>Note 1:</t>
  </si>
  <si>
    <r>
      <t xml:space="preserve">The growth factor </t>
    </r>
    <r>
      <rPr>
        <i/>
        <sz val="12"/>
        <rFont val="Times New Roman"/>
        <family val="1"/>
      </rPr>
      <t>g</t>
    </r>
    <r>
      <rPr>
        <sz val="12"/>
        <rFont val="Arial"/>
        <family val="2"/>
      </rPr>
      <t xml:space="preserve"> is annualized, depending on the number of years between the numerator and denominator for the calculation. Typically, for ACM review in a cost of service and in the fourth year of Price Cap IR, the ratio is divided by 2 to annualize it. No division is normally required for the first three years under Price Cap IR.</t>
    </r>
  </si>
  <si>
    <t xml:space="preserve">    Price Cap IR Year 2015</t>
  </si>
  <si>
    <t xml:space="preserve">    Price Cap IR Year 2016</t>
  </si>
  <si>
    <t xml:space="preserve">    Price Cap IR Year 2017</t>
  </si>
  <si>
    <t xml:space="preserve">    Price Cap IR Year 2018</t>
  </si>
  <si>
    <t>a</t>
  </si>
  <si>
    <t>Note:  Depending on the selections made below, certain worksheets in this workbook will be hidden.</t>
  </si>
  <si>
    <t>Version</t>
  </si>
  <si>
    <t xml:space="preserve">Utility Name   </t>
  </si>
  <si>
    <t>Service Territory (if filing more than one model)</t>
  </si>
  <si>
    <t>Assigned EB Number</t>
  </si>
  <si>
    <t>Name of Contact and Title</t>
  </si>
  <si>
    <t xml:space="preserve">Phone Number   </t>
  </si>
  <si>
    <t xml:space="preserve">Email Address   </t>
  </si>
  <si>
    <t>Is this Capital Module being filed in a CoS or 
Price-Cap IR Application?</t>
  </si>
  <si>
    <t>Price-Cap IR</t>
  </si>
  <si>
    <t>Rate Year</t>
  </si>
  <si>
    <t>Last Rebasing Year:</t>
  </si>
  <si>
    <t>Last COS OEB Application Number</t>
  </si>
  <si>
    <t>The most recent complete year for which actual billing and load data exists</t>
  </si>
  <si>
    <t>Current IPI</t>
  </si>
  <si>
    <t>Strech Factor Assigned to Middle Cohort</t>
  </si>
  <si>
    <t>Stretch Factor Value</t>
  </si>
  <si>
    <t>Based on the inputs above, the growth factor utilized in the Materiality Threshold Calculation will be determined by:</t>
  </si>
  <si>
    <t>These will be hidden later. For year three price cap IR, it should be most recent actuals for 2014 divided by 2013 CoS Board-approved. For year 4 price cap IR, should be 2014 actuals divided by 2012 CoS Board-approved.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</si>
  <si>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</si>
  <si>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</si>
  <si>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</si>
  <si>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</si>
  <si>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</si>
  <si>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CoS</t>
  </si>
  <si>
    <t>Price Cap IR</t>
  </si>
  <si>
    <t>RY</t>
  </si>
  <si>
    <t>t</t>
  </si>
  <si>
    <t>LY ACTUALS</t>
  </si>
  <si>
    <t>t-2</t>
  </si>
  <si>
    <t>LAST COS</t>
  </si>
  <si>
    <t>Growth</t>
  </si>
  <si>
    <t>Numerator</t>
  </si>
  <si>
    <t xml:space="preserve"> </t>
  </si>
  <si>
    <t>Denominator</t>
  </si>
  <si>
    <t>Annualized?</t>
  </si>
  <si>
    <t>Yes</t>
  </si>
  <si>
    <t>No</t>
  </si>
  <si>
    <t>Last CoS</t>
  </si>
  <si>
    <t>Select the appropriate rate classes as they appear on your most recent Board-Approved Tariff of Rates and Charges, excluding the MicroFit Class.</t>
  </si>
  <si>
    <t>How many classes are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</si>
  <si>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</si>
  <si>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</si>
  <si>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 of duplicates</t>
  </si>
  <si>
    <t>RESIDENTIAL</t>
  </si>
  <si>
    <t>GENERAL SERVICE LESS THAN 50 KW</t>
  </si>
  <si>
    <t>UNMETERED SCATTERED LOAD</t>
  </si>
  <si>
    <t>STREET LIGHTING</t>
  </si>
  <si>
    <t>Rate Class</t>
  </si>
  <si>
    <t>Units</t>
  </si>
  <si>
    <t>Billed Customers or Connections</t>
  </si>
  <si>
    <t>Billed kWh</t>
  </si>
  <si>
    <t>Billed kW
(if applicable)</t>
  </si>
  <si>
    <t>Monthly Service Charge</t>
  </si>
  <si>
    <t>Distribution Volumetric Rate kWh</t>
  </si>
  <si>
    <t>Distribution Volumetric Rate kW</t>
  </si>
  <si>
    <t>$/kWh</t>
  </si>
  <si>
    <t>$/kW</t>
  </si>
  <si>
    <t>Service Charge Revenue</t>
  </si>
  <si>
    <t>Distribution Volumetric Rate Revenue 
kWh</t>
  </si>
  <si>
    <t>Distribution Volumetric Rate Revenue 
kW</t>
  </si>
  <si>
    <t>Revenue Requirement from Rates</t>
  </si>
  <si>
    <t>Service Charge % Revenue</t>
  </si>
  <si>
    <t>Distribution Volumetric Rate % Revenue 
kWh</t>
  </si>
  <si>
    <t>Distribution Volumetric Rate % Revenue 
kW</t>
  </si>
  <si>
    <t>Total % Revenue</t>
  </si>
  <si>
    <t>A</t>
  </si>
  <si>
    <t>B</t>
  </si>
  <si>
    <t>C</t>
  </si>
  <si>
    <t>D</t>
  </si>
  <si>
    <t>E</t>
  </si>
  <si>
    <t>F</t>
  </si>
  <si>
    <t>G = A * D *12</t>
  </si>
  <si>
    <t>H = B * E</t>
  </si>
  <si>
    <t>I = C * F</t>
  </si>
  <si>
    <t>J = G + H + I</t>
  </si>
  <si>
    <t>K = G / J</t>
  </si>
  <si>
    <t>L = H / J</t>
  </si>
  <si>
    <t>M = I / J</t>
  </si>
  <si>
    <t>N = J / R</t>
  </si>
  <si>
    <t>Total</t>
  </si>
  <si>
    <t>Applicants Rate Base</t>
  </si>
  <si>
    <t>Gross Fixed Assets - Re-based Opening</t>
  </si>
  <si>
    <t>Add: CWIP Re-based Opening</t>
  </si>
  <si>
    <t>Re-based Capital Additions</t>
  </si>
  <si>
    <t>Re-based Capital Disposals</t>
  </si>
  <si>
    <t>Re-based Capital Retirements</t>
  </si>
  <si>
    <t>Deduct: CWIP Re-based Closing</t>
  </si>
  <si>
    <t>Gross Fixed Assets - Re-based Closing</t>
  </si>
  <si>
    <t>G</t>
  </si>
  <si>
    <t>H = ( A + G ) / 2</t>
  </si>
  <si>
    <t>Accumulated Depreciation - Re-based Opening</t>
  </si>
  <si>
    <t>I</t>
  </si>
  <si>
    <t>Re-based Depreciation Expense</t>
  </si>
  <si>
    <t>J</t>
  </si>
  <si>
    <t>Re-based Disposals</t>
  </si>
  <si>
    <t>K</t>
  </si>
  <si>
    <t>Re-based Retirements</t>
  </si>
  <si>
    <t>L</t>
  </si>
  <si>
    <t>Accumulated Depreciation - Re-based Closing</t>
  </si>
  <si>
    <t>M</t>
  </si>
  <si>
    <t>N =  ( I + M ) / 2</t>
  </si>
  <si>
    <t>O = H - N</t>
  </si>
  <si>
    <t>P</t>
  </si>
  <si>
    <t>Q</t>
  </si>
  <si>
    <t>R = P * Q</t>
  </si>
  <si>
    <t>S =  O + R</t>
  </si>
  <si>
    <t>Return on Rate Base</t>
  </si>
  <si>
    <t>Deemed ShortTerm Debt %</t>
  </si>
  <si>
    <t>T</t>
  </si>
  <si>
    <t>W = S * T</t>
  </si>
  <si>
    <t>Deemed Long Term Debt %</t>
  </si>
  <si>
    <t>U</t>
  </si>
  <si>
    <t>X = S * U</t>
  </si>
  <si>
    <t>Deemed Equity %</t>
  </si>
  <si>
    <t>V</t>
  </si>
  <si>
    <t>Y = S * V</t>
  </si>
  <si>
    <t>Short Term Interest</t>
  </si>
  <si>
    <t>Z</t>
  </si>
  <si>
    <t>AC = W * Z</t>
  </si>
  <si>
    <t>Long Term Interest</t>
  </si>
  <si>
    <t>AA</t>
  </si>
  <si>
    <t>AD = X * AA</t>
  </si>
  <si>
    <t>Return on Equity</t>
  </si>
  <si>
    <t>AB</t>
  </si>
  <si>
    <t>AE = Y * AB</t>
  </si>
  <si>
    <t>AF = AC + AD + AE</t>
  </si>
  <si>
    <t>Distribution Expenses</t>
  </si>
  <si>
    <t>OM&amp;A Expenses</t>
  </si>
  <si>
    <t>AG</t>
  </si>
  <si>
    <t>Amortization</t>
  </si>
  <si>
    <t>AH</t>
  </si>
  <si>
    <t>Ontario Capital Tax</t>
  </si>
  <si>
    <t>AI</t>
  </si>
  <si>
    <t>Grossed Up PILs</t>
  </si>
  <si>
    <t>AJ</t>
  </si>
  <si>
    <t>Low Voltage</t>
  </si>
  <si>
    <t>AK</t>
  </si>
  <si>
    <t>Transformer Allowance</t>
  </si>
  <si>
    <t>AL</t>
  </si>
  <si>
    <t>AM</t>
  </si>
  <si>
    <t>AN</t>
  </si>
  <si>
    <t>AO</t>
  </si>
  <si>
    <t>AP = SUM ( AG : AO )</t>
  </si>
  <si>
    <t>Revenue Offsets</t>
  </si>
  <si>
    <t>Specific Service Charges</t>
  </si>
  <si>
    <t>AQ</t>
  </si>
  <si>
    <t>Late Payment Charges</t>
  </si>
  <si>
    <t>AR</t>
  </si>
  <si>
    <t>Other Distribution Income</t>
  </si>
  <si>
    <t>AS</t>
  </si>
  <si>
    <t>Other Income and Deductions</t>
  </si>
  <si>
    <t>AT</t>
  </si>
  <si>
    <t>AU = SUM ( AQ : AT )</t>
  </si>
  <si>
    <t>Revenue Requirement from Distribution Rates</t>
  </si>
  <si>
    <t>AV = AF + AP + AU</t>
  </si>
  <si>
    <t>Rate Classes Revenue</t>
  </si>
  <si>
    <t>Rate Classes Revenue - Total  (Sheet 5)</t>
  </si>
  <si>
    <t>AW</t>
  </si>
  <si>
    <t>Difference</t>
  </si>
  <si>
    <t>AZ = AV - AW</t>
  </si>
  <si>
    <t>Difference (Percentage - should be less than 1%)</t>
  </si>
  <si>
    <t>BA = AZ / AW</t>
  </si>
  <si>
    <t>Pseudo Revenue Requirement Calculation.</t>
  </si>
  <si>
    <t>Billed kW</t>
  </si>
  <si>
    <t>Total Revenue By Rate Class</t>
  </si>
  <si>
    <r>
      <t>K = G / J</t>
    </r>
    <r>
      <rPr>
        <b/>
        <vertAlign val="subscript"/>
        <sz val="12"/>
        <rFont val="Calibri"/>
        <family val="2"/>
        <scheme val="minor"/>
      </rPr>
      <t>total</t>
    </r>
  </si>
  <si>
    <r>
      <t>L = H / J</t>
    </r>
    <r>
      <rPr>
        <b/>
        <vertAlign val="subscript"/>
        <sz val="12"/>
        <rFont val="Calibri"/>
        <family val="2"/>
        <scheme val="minor"/>
      </rPr>
      <t>total</t>
    </r>
  </si>
  <si>
    <r>
      <t>M = I / J</t>
    </r>
    <r>
      <rPr>
        <b/>
        <vertAlign val="subscript"/>
        <sz val="12"/>
        <rFont val="Calibri"/>
        <family val="2"/>
        <scheme val="minor"/>
      </rPr>
      <t>total</t>
    </r>
  </si>
  <si>
    <r>
      <t>N = J / J</t>
    </r>
    <r>
      <rPr>
        <b/>
        <vertAlign val="subscript"/>
        <sz val="12"/>
        <rFont val="Calibri"/>
        <family val="2"/>
        <scheme val="minor"/>
      </rPr>
      <t>total</t>
    </r>
  </si>
  <si>
    <t>Current Revenue from Rates</t>
  </si>
  <si>
    <t xml:space="preserve">This sheet is used to determine the applicant's most current allocation of revenues (after the most recent revenue to cost ratio adjustment, if applicable)  to appropriately allocate the incremental revenue requirement to the classes.
</t>
  </si>
  <si>
    <t>Re-based Billed Customers or Connections</t>
  </si>
  <si>
    <t>Re-based Billed kWh</t>
  </si>
  <si>
    <t>Re-based Billed kW</t>
  </si>
  <si>
    <t>Current Base Service Charge Revenue</t>
  </si>
  <si>
    <t>Current Base Distribution Volumetric Rate kWh Revenue</t>
  </si>
  <si>
    <t>Current Base Distribution Volumetric Rate kW Revenue</t>
  </si>
  <si>
    <t>Total Current Base Revenue</t>
  </si>
  <si>
    <t>Service Charge % Total Revenue</t>
  </si>
  <si>
    <t xml:space="preserve">Distribution Volumetric Rate % Total Revenue </t>
  </si>
  <si>
    <r>
      <t>L = G / J</t>
    </r>
    <r>
      <rPr>
        <b/>
        <vertAlign val="subscript"/>
        <sz val="12"/>
        <rFont val="Calibri"/>
        <family val="2"/>
        <scheme val="minor"/>
      </rPr>
      <t>total</t>
    </r>
  </si>
  <si>
    <r>
      <t>M = H / J</t>
    </r>
    <r>
      <rPr>
        <b/>
        <vertAlign val="subscript"/>
        <sz val="12"/>
        <rFont val="Calibri"/>
        <family val="2"/>
        <scheme val="minor"/>
      </rPr>
      <t>total</t>
    </r>
  </si>
  <si>
    <r>
      <t>N = I / J</t>
    </r>
    <r>
      <rPr>
        <b/>
        <vertAlign val="subscript"/>
        <sz val="12"/>
        <rFont val="Calibri"/>
        <family val="2"/>
        <scheme val="minor"/>
      </rPr>
      <t>total</t>
    </r>
  </si>
  <si>
    <r>
      <t>O = J / J</t>
    </r>
    <r>
      <rPr>
        <b/>
        <vertAlign val="subscript"/>
        <sz val="12"/>
        <rFont val="Calibri"/>
        <family val="2"/>
        <scheme val="minor"/>
      </rPr>
      <t>total</t>
    </r>
  </si>
  <si>
    <t>Identify ALL Proposed ACM projects and related CAPEX costs in the relevant years</t>
  </si>
  <si>
    <t>Cost of Service</t>
  </si>
  <si>
    <t>Test Year</t>
  </si>
  <si>
    <t>Year 2</t>
  </si>
  <si>
    <t>Year 3</t>
  </si>
  <si>
    <t>Year 4</t>
  </si>
  <si>
    <t>Distribution System Plan CAPEX</t>
  </si>
  <si>
    <t>Materiality Threshold</t>
  </si>
  <si>
    <t>Maximum Eligible Incremental Capital (Forecasted Capex less Threshold)</t>
  </si>
  <si>
    <t>Project Descriptions:</t>
  </si>
  <si>
    <t>Type</t>
  </si>
  <si>
    <t>Total Cost of ACM Projects</t>
  </si>
  <si>
    <t>Maximum Allowed Incremental Capital</t>
  </si>
  <si>
    <t>Proposed ACM/ICM</t>
  </si>
  <si>
    <t>Amortization Expense</t>
  </si>
  <si>
    <t>CCA</t>
  </si>
  <si>
    <t>Total Cost of Projects</t>
  </si>
  <si>
    <t>Incremental Capital Adjustment</t>
  </si>
  <si>
    <t>Current Revenue Requirement</t>
  </si>
  <si>
    <t>Current Revenue Requirement - Total</t>
  </si>
  <si>
    <t>Incremental Capital</t>
  </si>
  <si>
    <t>Incremental Capital to be included in Rate Base</t>
  </si>
  <si>
    <t>D = B - C</t>
  </si>
  <si>
    <t>G = D * E</t>
  </si>
  <si>
    <t>H = D * F</t>
  </si>
  <si>
    <t>K = G * I</t>
  </si>
  <si>
    <t>L = H * J</t>
  </si>
  <si>
    <t>Return on Rate Base - Interest</t>
  </si>
  <si>
    <t>M = K + L</t>
  </si>
  <si>
    <t>N</t>
  </si>
  <si>
    <t>P = D * N</t>
  </si>
  <si>
    <t>Return on Rate Base -Equity</t>
  </si>
  <si>
    <t>O</t>
  </si>
  <si>
    <t>Q = P * O</t>
  </si>
  <si>
    <t>Return on Rate Base - Total</t>
  </si>
  <si>
    <t>R = M + Q</t>
  </si>
  <si>
    <t>Amortization Expense - Incremental</t>
  </si>
  <si>
    <t>S</t>
  </si>
  <si>
    <t>Grossed up PIL's</t>
  </si>
  <si>
    <t>Regulatory Taxable Income</t>
  </si>
  <si>
    <t xml:space="preserve">T </t>
  </si>
  <si>
    <t>Add Back Amortization Expense</t>
  </si>
  <si>
    <t>Deduct CCA</t>
  </si>
  <si>
    <t>Incremental Taxable Income</t>
  </si>
  <si>
    <t>W = T + U - V</t>
  </si>
  <si>
    <t>Current Tax Rate</t>
  </si>
  <si>
    <t>X</t>
  </si>
  <si>
    <t>PIL's Before Gross Up</t>
  </si>
  <si>
    <t>Y = W * X</t>
  </si>
  <si>
    <t>Incremental Grossed Up PIL's</t>
  </si>
  <si>
    <t xml:space="preserve">Z = Y / ( 1 - X ) </t>
  </si>
  <si>
    <t>Incremental Capital CAPEX</t>
  </si>
  <si>
    <t>Less : Available Capital Exemption (if any)</t>
  </si>
  <si>
    <t>Incremental Capital CAPEX subject to OCT</t>
  </si>
  <si>
    <t>AC = AA - AB</t>
  </si>
  <si>
    <r>
      <t xml:space="preserve">Ontario Capital Tax Rate </t>
    </r>
    <r>
      <rPr>
        <sz val="8"/>
        <rFont val="Arial"/>
        <family val="2"/>
      </rPr>
      <t>(F1.1 Z-Factor Tax Changes)</t>
    </r>
  </si>
  <si>
    <t>AD</t>
  </si>
  <si>
    <t>Incremental Ontario Capital Tax</t>
  </si>
  <si>
    <t>AE = AC * AD</t>
  </si>
  <si>
    <t>Incremental Revenue Requirement</t>
  </si>
  <si>
    <t>Amortization Expense - Total</t>
  </si>
  <si>
    <t>AC</t>
  </si>
  <si>
    <t>AD = AA + AB + AC</t>
  </si>
  <si>
    <t>Calculation of incremental rate rider.  Choose one of the 3 options:</t>
  </si>
  <si>
    <t>Distribution Volumetric Rate % Revenue kWh</t>
  </si>
  <si>
    <t>Distribution Volumetric Rate % Revenue kW</t>
  </si>
  <si>
    <t>Distribution Volumetric Rate Revenue kWh</t>
  </si>
  <si>
    <t>Distribution Volumetric Rate Revenue kW</t>
  </si>
  <si>
    <t>Total Revenue by Rate Class</t>
  </si>
  <si>
    <t>Service Charge Rate Rider</t>
  </si>
  <si>
    <t>Distribution Volumetric Rate kWh Rate Rider</t>
  </si>
  <si>
    <t>Distribution Volumetric Rate kW Rate Rider</t>
  </si>
  <si>
    <t>From Sheet 8</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</si>
  <si>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</si>
  <si>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</si>
  <si>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</si>
  <si>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t>From Sheet 4</t>
  </si>
  <si>
    <t>From Sheet 11, E83</t>
  </si>
  <si>
    <t>Year 5</t>
  </si>
  <si>
    <t>Col F / Col K / 12</t>
  </si>
  <si>
    <t>Col G / Col L</t>
  </si>
  <si>
    <t>Col H / Col M</t>
  </si>
  <si>
    <t>Note:  As per the OEB's letter issued July 16, 2015 (EB-2012-0410), Residential Rates will be applied on a fixed basis only.</t>
  </si>
  <si>
    <t>ICM Approval</t>
  </si>
  <si>
    <t>Most Recent Board-Approved Base Rates</t>
  </si>
  <si>
    <t>New ICM</t>
  </si>
  <si>
    <t>Burlington Hydro Inc</t>
  </si>
  <si>
    <t>EB-2013-0115</t>
  </si>
  <si>
    <t>Deferred Rebasing</t>
  </si>
  <si>
    <t>Divisor to Annuqlized</t>
  </si>
  <si>
    <t>GENERAL SERVICE GREATER THAN 50 KW</t>
  </si>
  <si>
    <t>2017 Actual Distribution Revenues</t>
  </si>
  <si>
    <t>2017 Base Rates</t>
  </si>
  <si>
    <t>Input the billing determinants associated with Burlington Hydro Inc. 2014 Board-Approved Distribution Revenues.  This sheet calculates the DENOMINATOR portion of the growth factor calculation.</t>
  </si>
  <si>
    <t xml:space="preserve">    Price Cap IR Year 2019</t>
  </si>
  <si>
    <t>II</t>
  </si>
  <si>
    <t>Sally Blackwell, Director Regulator Affairs</t>
  </si>
  <si>
    <t>905-336-4373</t>
  </si>
  <si>
    <t>sblackwell@burlingtonhydro.com</t>
  </si>
  <si>
    <t>EB-2018-0021</t>
  </si>
  <si>
    <t>after Tx allowance</t>
  </si>
  <si>
    <t>Bronte TS</t>
  </si>
  <si>
    <t>Tremaine TS1</t>
  </si>
  <si>
    <t>Tremaine TS2</t>
  </si>
  <si>
    <t>Check = 0</t>
  </si>
  <si>
    <t>Project 1: Tremaine TS - CCRA True-up</t>
  </si>
  <si>
    <t>Project 2: Tremaine TS - Additional Breaker Positions</t>
  </si>
  <si>
    <t>Project 3: Bronte TS - Additional Breaker Positions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</si>
</sst>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_(* \(#,##0.00\);_(* &quot;-&quot;??_);_(@_)"/>
    <numFmt numFmtId="164" formatCode="_-&quot;$&quot;* #,##0.00_-;\-&quot;$&quot;* #,##0.00_-;_-&quot;$&quot;* &quot;-&quot;??_-;_-@_-"/>
    <numFmt numFmtId="165" formatCode="&quot;$&quot;#,##0"/>
    <numFmt numFmtId="166" formatCode="_-&quot;$&quot;* #,##0_-;\-&quot;$&quot;* #,##0_-;_-&quot;$&quot;* &quot;-&quot;??_-;_-@_-"/>
    <numFmt numFmtId="167" formatCode="0.0%"/>
    <numFmt numFmtId="168" formatCode="[$-F800]dddd\,\ mmmm\ dd\,\ yyyy"/>
    <numFmt numFmtId="169" formatCode="#,###"/>
    <numFmt numFmtId="170" formatCode="0.0000"/>
    <numFmt numFmtId="171" formatCode="#,##0.0000"/>
    <numFmt numFmtId="172" formatCode="#,##0\ \ \ "/>
    <numFmt numFmtId="173" formatCode="_(* #,##0_);_(* \(#,##0\);_(* &quot;-&quot;??_);_(@_)"/>
    <numFmt numFmtId="174" formatCode="_(&quot;$&quot;* #,##0_);_(&quot;$&quot;* \(#,##0\);_(&quot;$&quot;* &quot;-&quot;??_);_(@_)"/>
  </numFmts>
  <fonts count="54" x14ac:knownFonts="1">
    <font>
      <sz val="11"/>
      <color theme="1"/>
      <name val="Calibri"/>
      <family val="2"/>
      <scheme val="minor"/>
    </font>
    <font>
      <sz val="11"/>
      <color theme="1"/>
      <name val="Calibri"/>
      <family val="2"/>
      <scheme val="minor"/>
    </font>
    <font>
      <sz val="12"/>
      <name val="Arial"/>
      <family val="2"/>
    </font>
    <font>
      <b/>
      <sz val="14"/>
      <name val="Arial"/>
      <family val="2"/>
    </font>
    <font>
      <b/>
      <sz val="12"/>
      <name val="Arial"/>
      <family val="2"/>
    </font>
    <font>
      <b/>
      <sz val="18"/>
      <color rgb="FFFF0000"/>
      <name val="Arial"/>
      <family val="2"/>
    </font>
    <font>
      <b/>
      <sz val="20"/>
      <name val="Arial"/>
      <family val="2"/>
    </font>
    <font>
      <b/>
      <sz val="10"/>
      <name val="Arial"/>
      <family val="2"/>
    </font>
    <font>
      <sz val="12"/>
      <color theme="1"/>
      <name val="Arial"/>
      <family val="2"/>
    </font>
    <font>
      <b/>
      <sz val="12"/>
      <color theme="1"/>
      <name val="Arial"/>
      <family val="2"/>
    </font>
    <font>
      <b/>
      <i/>
      <sz val="12"/>
      <name val="Arial"/>
      <family val="2"/>
    </font>
    <font>
      <i/>
      <sz val="12"/>
      <name val="Times New Roman"/>
      <family val="1"/>
    </font>
    <font>
      <b/>
      <sz val="11"/>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Arial"/>
      <family val="2"/>
    </font>
    <font>
      <b/>
      <sz val="11"/>
      <color theme="1"/>
      <name val="Arial"/>
      <family val="2"/>
    </font>
    <font>
      <sz val="11"/>
      <color theme="1"/>
      <name val="Arial"/>
      <family val="2"/>
    </font>
    <font>
      <sz val="1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9"/>
      <color theme="1"/>
      <name val="Calibri"/>
      <family val="2"/>
      <scheme val="minor"/>
    </font>
    <font>
      <b/>
      <sz val="11"/>
      <color theme="3"/>
      <name val="Arial"/>
      <family val="2"/>
    </font>
    <font>
      <b/>
      <u/>
      <sz val="11"/>
      <color theme="1"/>
      <name val="Arial"/>
      <family val="2"/>
    </font>
    <font>
      <sz val="10"/>
      <color theme="1"/>
      <name val="Arial"/>
      <family val="2"/>
    </font>
    <font>
      <b/>
      <sz val="12"/>
      <name val="Calibri"/>
      <family val="2"/>
      <scheme val="minor"/>
    </font>
    <font>
      <b/>
      <sz val="14"/>
      <color rgb="FFFF0000"/>
      <name val="Calibri"/>
      <family val="2"/>
      <scheme val="minor"/>
    </font>
    <font>
      <b/>
      <sz val="16"/>
      <color rgb="FFFF0000"/>
      <name val="Calibri"/>
      <family val="2"/>
      <scheme val="minor"/>
    </font>
    <font>
      <b/>
      <sz val="10"/>
      <name val="Calibri"/>
      <family val="2"/>
      <scheme val="minor"/>
    </font>
    <font>
      <b/>
      <sz val="16"/>
      <name val="Arial"/>
      <family val="2"/>
    </font>
    <font>
      <i/>
      <sz val="8"/>
      <name val="Arial"/>
      <family val="2"/>
    </font>
    <font>
      <b/>
      <sz val="16"/>
      <color rgb="FFFF0000"/>
      <name val="Arial"/>
      <family val="2"/>
    </font>
    <font>
      <sz val="12"/>
      <color indexed="9"/>
      <name val="Arial"/>
      <family val="2"/>
    </font>
    <font>
      <b/>
      <sz val="13"/>
      <color rgb="FFFF0000"/>
      <name val="Calibri"/>
      <family val="2"/>
      <scheme val="minor"/>
    </font>
    <font>
      <b/>
      <vertAlign val="subscript"/>
      <sz val="12"/>
      <name val="Calibri"/>
      <family val="2"/>
      <scheme val="minor"/>
    </font>
    <font>
      <b/>
      <i/>
      <sz val="11"/>
      <color theme="1"/>
      <name val="Calibri"/>
      <family val="2"/>
      <scheme val="minor"/>
    </font>
    <font>
      <b/>
      <sz val="14"/>
      <color theme="1"/>
      <name val="Arial"/>
      <family val="2"/>
    </font>
    <font>
      <sz val="8"/>
      <name val="Arial"/>
      <family val="2"/>
    </font>
    <font>
      <b/>
      <sz val="16"/>
      <color theme="1"/>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sz val="12"/>
      <color theme="4"/>
      <name val="Calibri"/>
      <family val="2"/>
      <scheme val="minor"/>
    </font>
    <font>
      <i/>
      <sz val="8"/>
      <color theme="1"/>
      <name val="Calibri"/>
      <family val="2"/>
      <scheme val="minor"/>
    </font>
    <font>
      <i/>
      <sz val="11"/>
      <color theme="1"/>
      <name val="Calibri"/>
      <family val="2"/>
      <scheme val="minor"/>
    </font>
    <font>
      <b/>
      <sz val="1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lightGray"/>
    </fill>
    <fill>
      <patternFill patternType="solid">
        <fgColor theme="8" tint="0.79998168889431442"/>
        <bgColor indexed="64"/>
      </patternFill>
    </fill>
    <fill>
      <patternFill patternType="solid">
        <fgColor theme="9" tint="0.39994506668294322"/>
        <bgColor indexed="64"/>
      </patternFill>
    </fill>
  </fills>
  <borders count="44">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style="medium">
        <color theme="0"/>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indexed="64"/>
      </right>
      <top style="thin">
        <color indexed="64"/>
      </top>
      <bottom style="thin">
        <color indexed="64"/>
      </bottom>
      <diagonal/>
    </border>
    <border>
      <left/>
      <right/>
      <top style="thin">
        <color theme="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4" fillId="0" borderId="0"/>
    <xf numFmtId="0" fontId="51" fillId="0" borderId="0" applyNumberFormat="0" applyFill="0" applyBorder="0" applyAlignment="0" applyProtection="0"/>
    <xf numFmtId="43" fontId="1" fillId="0" borderId="0" applyFont="0" applyFill="0" applyBorder="0" applyAlignment="0" applyProtection="0"/>
  </cellStyleXfs>
  <cellXfs count="408">
    <xf numFmtId="0" fontId="0" fillId="0" borderId="0" xfId="0"/>
    <xf numFmtId="0" fontId="2" fillId="0" borderId="0" xfId="3" applyProtection="1"/>
    <xf numFmtId="0" fontId="2" fillId="0" borderId="0" xfId="3" applyProtection="1">
      <protection locked="0"/>
    </xf>
    <xf numFmtId="0" fontId="3" fillId="0" borderId="0" xfId="3" applyFont="1" applyProtection="1"/>
    <xf numFmtId="0" fontId="4" fillId="0" borderId="0" xfId="3" applyFont="1" applyAlignment="1" applyProtection="1">
      <alignment horizontal="left" indent="1"/>
    </xf>
    <xf numFmtId="0" fontId="6" fillId="0" borderId="0" xfId="3" applyFont="1" applyProtection="1"/>
    <xf numFmtId="0" fontId="4" fillId="0" borderId="0" xfId="3" applyFont="1" applyProtection="1"/>
    <xf numFmtId="0" fontId="2" fillId="2" borderId="0" xfId="3" applyFill="1" applyProtection="1"/>
    <xf numFmtId="0" fontId="4" fillId="3" borderId="0" xfId="3" applyFont="1" applyFill="1" applyProtection="1"/>
    <xf numFmtId="0" fontId="2" fillId="3" borderId="0" xfId="3" applyFill="1" applyProtection="1"/>
    <xf numFmtId="10" fontId="4" fillId="3" borderId="0" xfId="3" applyNumberFormat="1" applyFont="1" applyFill="1" applyAlignment="1" applyProtection="1">
      <alignment horizontal="center"/>
    </xf>
    <xf numFmtId="0" fontId="7" fillId="0" borderId="0" xfId="3" applyFont="1" applyAlignment="1" applyProtection="1">
      <alignment horizontal="left" vertical="center" indent="3"/>
    </xf>
    <xf numFmtId="165" fontId="7" fillId="2" borderId="0" xfId="1" applyNumberFormat="1" applyFont="1" applyFill="1" applyAlignment="1" applyProtection="1">
      <alignment horizontal="center"/>
    </xf>
    <xf numFmtId="9" fontId="4" fillId="3" borderId="0" xfId="4" applyFont="1" applyFill="1" applyAlignment="1" applyProtection="1">
      <alignment horizontal="center"/>
    </xf>
    <xf numFmtId="166" fontId="8" fillId="2" borderId="0" xfId="5" applyNumberFormat="1" applyFont="1" applyFill="1" applyProtection="1"/>
    <xf numFmtId="0" fontId="2" fillId="0" borderId="0" xfId="3" applyAlignment="1" applyProtection="1">
      <alignment horizontal="left" indent="1"/>
    </xf>
    <xf numFmtId="166" fontId="8" fillId="2" borderId="1" xfId="5" applyNumberFormat="1" applyFont="1" applyFill="1" applyBorder="1" applyProtection="1"/>
    <xf numFmtId="0" fontId="2" fillId="0" borderId="0" xfId="3" applyAlignment="1" applyProtection="1">
      <alignment horizontal="left" indent="2"/>
    </xf>
    <xf numFmtId="0" fontId="2" fillId="2" borderId="0" xfId="3" applyFont="1" applyFill="1" applyProtection="1"/>
    <xf numFmtId="166" fontId="4" fillId="2" borderId="2" xfId="5" applyNumberFormat="1" applyFont="1" applyFill="1" applyBorder="1" applyProtection="1"/>
    <xf numFmtId="0" fontId="4" fillId="0" borderId="0" xfId="3" applyFont="1" applyAlignment="1" applyProtection="1">
      <alignment horizontal="right"/>
    </xf>
    <xf numFmtId="166" fontId="4" fillId="2" borderId="0" xfId="5" applyNumberFormat="1" applyFont="1" applyFill="1" applyProtection="1"/>
    <xf numFmtId="9" fontId="4" fillId="2" borderId="3" xfId="2" applyFont="1" applyFill="1" applyBorder="1" applyAlignment="1" applyProtection="1">
      <alignment horizontal="right"/>
    </xf>
    <xf numFmtId="0" fontId="4" fillId="0" borderId="0" xfId="3" applyFont="1" applyBorder="1" applyProtection="1"/>
    <xf numFmtId="0" fontId="2" fillId="0" borderId="0" xfId="3" applyFont="1" applyProtection="1"/>
    <xf numFmtId="166" fontId="8" fillId="2" borderId="3" xfId="5" applyNumberFormat="1" applyFont="1" applyFill="1" applyBorder="1" applyProtection="1"/>
    <xf numFmtId="166" fontId="9" fillId="2" borderId="4" xfId="5" applyNumberFormat="1" applyFont="1" applyFill="1" applyBorder="1" applyProtection="1"/>
    <xf numFmtId="0" fontId="10" fillId="0" borderId="0" xfId="3" applyFont="1" applyAlignment="1" applyProtection="1">
      <alignment vertical="top"/>
    </xf>
    <xf numFmtId="0" fontId="2" fillId="4" borderId="0" xfId="3" applyFill="1" applyProtection="1"/>
    <xf numFmtId="167" fontId="8" fillId="2" borderId="0" xfId="4" applyNumberFormat="1" applyFont="1" applyFill="1" applyAlignment="1" applyProtection="1">
      <alignment horizontal="right"/>
    </xf>
    <xf numFmtId="167" fontId="4" fillId="2" borderId="4" xfId="2" applyNumberFormat="1" applyFont="1" applyFill="1" applyBorder="1" applyAlignment="1" applyProtection="1">
      <alignment horizontal="right"/>
    </xf>
    <xf numFmtId="0" fontId="2" fillId="4" borderId="0" xfId="3" applyFont="1" applyFill="1" applyProtection="1"/>
    <xf numFmtId="167" fontId="4" fillId="4" borderId="4" xfId="2" applyNumberFormat="1" applyFont="1" applyFill="1" applyBorder="1" applyAlignment="1" applyProtection="1">
      <alignment horizontal="right"/>
    </xf>
    <xf numFmtId="166" fontId="9" fillId="4" borderId="4" xfId="5" applyNumberFormat="1" applyFont="1" applyFill="1" applyBorder="1" applyProtection="1"/>
    <xf numFmtId="0" fontId="0" fillId="0" borderId="0" xfId="0" applyProtection="1"/>
    <xf numFmtId="0" fontId="15" fillId="0" borderId="0" xfId="0" applyFont="1" applyAlignment="1" applyProtection="1">
      <alignment horizontal="center" vertical="center"/>
    </xf>
    <xf numFmtId="0" fontId="0" fillId="0" borderId="0" xfId="0" applyFill="1" applyProtection="1"/>
    <xf numFmtId="0" fontId="16" fillId="0" borderId="0" xfId="0" applyFont="1" applyProtection="1"/>
    <xf numFmtId="0" fontId="0" fillId="5" borderId="0" xfId="0" applyFill="1" applyAlignment="1" applyProtection="1">
      <alignment horizontal="left"/>
    </xf>
    <xf numFmtId="0" fontId="14" fillId="0" borderId="0" xfId="0" applyFont="1" applyProtection="1"/>
    <xf numFmtId="2" fontId="12" fillId="0" borderId="0" xfId="0" applyNumberFormat="1" applyFont="1" applyAlignment="1" applyProtection="1">
      <alignment horizontal="left"/>
    </xf>
    <xf numFmtId="0" fontId="17"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17" fillId="0" borderId="0" xfId="0" applyFont="1" applyAlignment="1" applyProtection="1">
      <alignment horizontal="right" vertical="center" indent="1"/>
    </xf>
    <xf numFmtId="0" fontId="18" fillId="0" borderId="0" xfId="0" applyFont="1" applyProtection="1"/>
    <xf numFmtId="168" fontId="0" fillId="0" borderId="0" xfId="0" applyNumberFormat="1" applyProtection="1"/>
    <xf numFmtId="0" fontId="18" fillId="0" borderId="0" xfId="0" applyFont="1" applyAlignment="1" applyProtection="1">
      <alignment horizontal="right" vertical="center"/>
    </xf>
    <xf numFmtId="0" fontId="17" fillId="0" borderId="0" xfId="0" applyFont="1" applyAlignment="1" applyProtection="1">
      <alignment horizontal="center" vertical="center" wrapText="1"/>
    </xf>
    <xf numFmtId="0" fontId="17" fillId="6" borderId="9" xfId="0" applyFont="1" applyFill="1" applyBorder="1" applyAlignment="1" applyProtection="1">
      <alignment horizontal="center" vertical="center"/>
      <protection locked="0"/>
    </xf>
    <xf numFmtId="0" fontId="17" fillId="0" borderId="0" xfId="0" applyFont="1" applyAlignment="1" applyProtection="1">
      <alignment horizontal="right" vertical="center" indent="2"/>
    </xf>
    <xf numFmtId="0" fontId="15" fillId="5" borderId="0" xfId="0" applyFont="1" applyFill="1" applyProtection="1"/>
    <xf numFmtId="0" fontId="22" fillId="5" borderId="0" xfId="0" applyFont="1" applyFill="1" applyAlignment="1" applyProtection="1">
      <alignment vertical="top" wrapText="1"/>
    </xf>
    <xf numFmtId="0" fontId="16" fillId="0" borderId="0" xfId="0" applyFont="1" applyAlignment="1" applyProtection="1">
      <alignment vertical="top" wrapText="1"/>
    </xf>
    <xf numFmtId="0" fontId="23" fillId="0" borderId="0" xfId="0" applyFont="1" applyProtection="1"/>
    <xf numFmtId="0" fontId="0" fillId="7" borderId="11" xfId="0" applyFill="1" applyBorder="1" applyProtection="1"/>
    <xf numFmtId="0" fontId="0" fillId="6" borderId="11" xfId="0" applyFill="1" applyBorder="1" applyProtection="1"/>
    <xf numFmtId="0" fontId="0" fillId="0" borderId="0" xfId="0" applyAlignment="1" applyProtection="1">
      <alignment wrapText="1"/>
    </xf>
    <xf numFmtId="0" fontId="0" fillId="0" borderId="11" xfId="0" applyBorder="1" applyProtection="1"/>
    <xf numFmtId="0" fontId="0" fillId="0" borderId="4" xfId="0" applyBorder="1"/>
    <xf numFmtId="0" fontId="0" fillId="4" borderId="4" xfId="0" applyFill="1" applyBorder="1"/>
    <xf numFmtId="0" fontId="0" fillId="4" borderId="4" xfId="0" applyFill="1" applyBorder="1" applyAlignment="1">
      <alignment horizontal="center" vertical="center"/>
    </xf>
    <xf numFmtId="0" fontId="0" fillId="0" borderId="4" xfId="0" applyBorder="1" applyAlignment="1">
      <alignment horizontal="center" vertical="center"/>
    </xf>
    <xf numFmtId="0" fontId="0" fillId="7" borderId="4" xfId="0" applyFill="1" applyBorder="1" applyAlignment="1">
      <alignment horizontal="center" vertical="center"/>
    </xf>
    <xf numFmtId="0" fontId="0" fillId="8" borderId="4" xfId="0" applyFill="1" applyBorder="1" applyAlignment="1">
      <alignment horizontal="center" vertical="center"/>
    </xf>
    <xf numFmtId="0" fontId="0" fillId="4" borderId="4" xfId="0" applyFill="1" applyBorder="1" applyAlignment="1">
      <alignment horizontal="left" vertical="center"/>
    </xf>
    <xf numFmtId="0" fontId="0" fillId="0" borderId="4" xfId="0" applyBorder="1" applyAlignment="1">
      <alignment horizontal="left" vertical="center"/>
    </xf>
    <xf numFmtId="0" fontId="0" fillId="7" borderId="4" xfId="0" applyFill="1" applyBorder="1" applyAlignment="1">
      <alignment horizontal="left" vertical="center"/>
    </xf>
    <xf numFmtId="0" fontId="0" fillId="8" borderId="4" xfId="0" applyFill="1" applyBorder="1" applyAlignment="1">
      <alignment horizontal="left" vertical="center"/>
    </xf>
    <xf numFmtId="0" fontId="0" fillId="0" borderId="0" xfId="0" applyAlignment="1" applyProtection="1">
      <alignment horizontal="center" vertical="center"/>
    </xf>
    <xf numFmtId="0" fontId="0" fillId="0" borderId="0" xfId="0" applyFill="1"/>
    <xf numFmtId="0" fontId="18" fillId="0" borderId="0" xfId="0" applyFont="1"/>
    <xf numFmtId="0" fontId="18" fillId="0" borderId="0" xfId="0" applyFont="1" applyFill="1"/>
    <xf numFmtId="0" fontId="18" fillId="0" borderId="0" xfId="0" applyFont="1" applyFill="1" applyBorder="1"/>
    <xf numFmtId="0" fontId="17" fillId="6" borderId="0" xfId="0" applyFont="1" applyFill="1" applyBorder="1" applyAlignment="1" applyProtection="1">
      <alignment horizontal="center"/>
      <protection locked="0"/>
    </xf>
    <xf numFmtId="0" fontId="17" fillId="0" borderId="0" xfId="0" applyFont="1" applyFill="1" applyBorder="1" applyAlignment="1">
      <alignment horizontal="right" vertical="center"/>
    </xf>
    <xf numFmtId="0" fontId="18" fillId="0" borderId="0" xfId="0" applyFont="1" applyFill="1" applyBorder="1" applyAlignment="1">
      <alignment horizontal="left" vertical="center"/>
    </xf>
    <xf numFmtId="0" fontId="0" fillId="0" borderId="0" xfId="0" applyFill="1" applyBorder="1"/>
    <xf numFmtId="0" fontId="0" fillId="0" borderId="0" xfId="0" applyFill="1" applyBorder="1" applyAlignment="1">
      <alignment horizontal="right" vertical="center"/>
    </xf>
    <xf numFmtId="0" fontId="0" fillId="0" borderId="0" xfId="0" applyFill="1" applyBorder="1" applyAlignment="1">
      <alignment vertical="center"/>
    </xf>
    <xf numFmtId="0" fontId="14" fillId="0"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28" fillId="0" borderId="16" xfId="0" applyFont="1" applyFill="1" applyBorder="1" applyAlignment="1" applyProtection="1">
      <protection locked="0"/>
    </xf>
    <xf numFmtId="0" fontId="28" fillId="0" borderId="17" xfId="0" applyFont="1" applyFill="1" applyBorder="1" applyAlignment="1" applyProtection="1">
      <protection locked="0"/>
    </xf>
    <xf numFmtId="0" fontId="28" fillId="0" borderId="18" xfId="0" applyFont="1" applyFill="1" applyBorder="1" applyAlignment="1" applyProtection="1">
      <protection locked="0"/>
    </xf>
    <xf numFmtId="0" fontId="28" fillId="0" borderId="13" xfId="0" applyFont="1" applyFill="1" applyBorder="1" applyAlignment="1" applyProtection="1">
      <alignment vertical="center"/>
      <protection locked="0"/>
    </xf>
    <xf numFmtId="0" fontId="28" fillId="0" borderId="14" xfId="0" applyFont="1" applyFill="1" applyBorder="1" applyAlignment="1" applyProtection="1">
      <alignment vertical="center"/>
      <protection locked="0"/>
    </xf>
    <xf numFmtId="0" fontId="28" fillId="0" borderId="15" xfId="0" applyFont="1" applyFill="1" applyBorder="1" applyAlignment="1" applyProtection="1">
      <alignment vertical="center"/>
      <protection locked="0"/>
    </xf>
    <xf numFmtId="0" fontId="28" fillId="0" borderId="13" xfId="0" applyFont="1" applyFill="1" applyBorder="1" applyAlignment="1" applyProtection="1">
      <protection locked="0"/>
    </xf>
    <xf numFmtId="0" fontId="28" fillId="0" borderId="14" xfId="0" applyFont="1" applyFill="1" applyBorder="1" applyAlignment="1" applyProtection="1">
      <protection locked="0"/>
    </xf>
    <xf numFmtId="0" fontId="28" fillId="0" borderId="15" xfId="0" applyFont="1" applyFill="1" applyBorder="1" applyAlignment="1" applyProtection="1">
      <protection locked="0"/>
    </xf>
    <xf numFmtId="0" fontId="0" fillId="0" borderId="0" xfId="0" applyProtection="1">
      <protection locked="0"/>
    </xf>
    <xf numFmtId="0" fontId="28" fillId="0" borderId="0" xfId="0" applyFont="1" applyFill="1" applyBorder="1" applyAlignment="1" applyProtection="1">
      <protection locked="0"/>
    </xf>
    <xf numFmtId="0" fontId="28" fillId="0" borderId="0" xfId="0" applyFont="1" applyFill="1" applyBorder="1" applyProtection="1">
      <protection locked="0"/>
    </xf>
    <xf numFmtId="0" fontId="28" fillId="0" borderId="0" xfId="0" applyFont="1" applyProtection="1">
      <protection locked="0"/>
    </xf>
    <xf numFmtId="0" fontId="0" fillId="0" borderId="0" xfId="0" applyFill="1" applyBorder="1" applyProtection="1">
      <protection locked="0"/>
    </xf>
    <xf numFmtId="0" fontId="0" fillId="0" borderId="0" xfId="0" applyFont="1" applyAlignment="1" applyProtection="1">
      <alignment horizontal="center" vertical="center"/>
    </xf>
    <xf numFmtId="0" fontId="29" fillId="0" borderId="0" xfId="0" applyFont="1" applyAlignment="1" applyProtection="1">
      <alignment horizontal="center" vertical="center" wrapText="1"/>
      <protection locked="0"/>
    </xf>
    <xf numFmtId="0" fontId="9" fillId="0" borderId="0" xfId="0" applyFont="1" applyProtection="1"/>
    <xf numFmtId="0" fontId="13" fillId="0" borderId="0" xfId="0" applyFont="1" applyProtection="1"/>
    <xf numFmtId="0" fontId="14" fillId="0" borderId="0" xfId="0" applyFont="1" applyAlignment="1" applyProtection="1">
      <alignment vertical="center"/>
    </xf>
    <xf numFmtId="0" fontId="29" fillId="0" borderId="0" xfId="0" applyFont="1" applyAlignment="1" applyProtection="1">
      <alignment horizontal="center" vertical="center" wrapText="1"/>
    </xf>
    <xf numFmtId="1" fontId="0" fillId="9" borderId="19" xfId="0" applyNumberFormat="1" applyFill="1" applyBorder="1" applyAlignment="1" applyProtection="1">
      <alignment horizontal="center" vertical="center"/>
      <protection locked="0"/>
    </xf>
    <xf numFmtId="169" fontId="0" fillId="10" borderId="18" xfId="0" applyNumberFormat="1" applyFill="1" applyBorder="1" applyProtection="1">
      <protection locked="0"/>
    </xf>
    <xf numFmtId="169" fontId="0" fillId="10" borderId="20" xfId="0" applyNumberFormat="1" applyFill="1" applyBorder="1" applyProtection="1">
      <protection locked="0"/>
    </xf>
    <xf numFmtId="1" fontId="0" fillId="0" borderId="20" xfId="0" applyNumberFormat="1" applyBorder="1" applyProtection="1">
      <protection locked="0"/>
    </xf>
    <xf numFmtId="2" fontId="0" fillId="10" borderId="20" xfId="0" applyNumberFormat="1" applyFill="1" applyBorder="1" applyAlignment="1" applyProtection="1">
      <alignment horizontal="center" vertical="center"/>
      <protection locked="0"/>
    </xf>
    <xf numFmtId="170" fontId="0" fillId="10" borderId="20" xfId="0" applyNumberFormat="1" applyFill="1" applyBorder="1" applyAlignment="1" applyProtection="1">
      <alignment horizontal="center" vertical="center"/>
      <protection locked="0"/>
    </xf>
    <xf numFmtId="170" fontId="0" fillId="10" borderId="16" xfId="0" applyNumberFormat="1" applyFill="1" applyBorder="1" applyAlignment="1" applyProtection="1">
      <alignment horizontal="center" vertical="center"/>
      <protection locked="0"/>
    </xf>
    <xf numFmtId="1" fontId="0" fillId="9" borderId="21" xfId="0" applyNumberFormat="1" applyFill="1" applyBorder="1" applyAlignment="1" applyProtection="1">
      <alignment horizontal="center" vertical="center"/>
      <protection locked="0"/>
    </xf>
    <xf numFmtId="169" fontId="0" fillId="10" borderId="15" xfId="0" applyNumberFormat="1" applyFill="1" applyBorder="1" applyProtection="1">
      <protection locked="0"/>
    </xf>
    <xf numFmtId="169" fontId="0" fillId="10" borderId="22" xfId="0" applyNumberFormat="1" applyFill="1" applyBorder="1" applyProtection="1">
      <protection locked="0"/>
    </xf>
    <xf numFmtId="1" fontId="0" fillId="0" borderId="22" xfId="0" applyNumberFormat="1" applyBorder="1" applyProtection="1">
      <protection locked="0"/>
    </xf>
    <xf numFmtId="2" fontId="0" fillId="10" borderId="22" xfId="0" applyNumberFormat="1" applyFill="1" applyBorder="1" applyAlignment="1" applyProtection="1">
      <alignment horizontal="center" vertical="center"/>
      <protection locked="0"/>
    </xf>
    <xf numFmtId="170" fontId="0" fillId="10" borderId="22" xfId="0" applyNumberFormat="1" applyFill="1" applyBorder="1" applyAlignment="1" applyProtection="1">
      <alignment horizontal="center" vertical="center"/>
      <protection locked="0"/>
    </xf>
    <xf numFmtId="170" fontId="0" fillId="10" borderId="13" xfId="0" applyNumberFormat="1" applyFill="1" applyBorder="1" applyAlignment="1" applyProtection="1">
      <alignment horizontal="center" vertical="center"/>
      <protection locked="0"/>
    </xf>
    <xf numFmtId="169" fontId="0" fillId="10" borderId="23" xfId="0" applyNumberFormat="1" applyFill="1" applyBorder="1" applyProtection="1">
      <protection locked="0"/>
    </xf>
    <xf numFmtId="169" fontId="0" fillId="10" borderId="24" xfId="0" applyNumberFormat="1" applyFill="1" applyBorder="1" applyProtection="1">
      <protection locked="0"/>
    </xf>
    <xf numFmtId="1" fontId="0" fillId="0" borderId="24" xfId="0" applyNumberFormat="1" applyBorder="1" applyProtection="1">
      <protection locked="0"/>
    </xf>
    <xf numFmtId="2" fontId="0" fillId="10" borderId="24" xfId="0" applyNumberFormat="1" applyFill="1" applyBorder="1" applyAlignment="1" applyProtection="1">
      <alignment horizontal="center" vertical="center"/>
      <protection locked="0"/>
    </xf>
    <xf numFmtId="170" fontId="0" fillId="10" borderId="24" xfId="0" applyNumberFormat="1" applyFill="1" applyBorder="1" applyAlignment="1" applyProtection="1">
      <alignment horizontal="center" vertical="center"/>
      <protection locked="0"/>
    </xf>
    <xf numFmtId="170" fontId="0" fillId="10" borderId="25"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9" fillId="0" borderId="0" xfId="0" applyFont="1"/>
    <xf numFmtId="0" fontId="29" fillId="2" borderId="0" xfId="0" applyFont="1" applyFill="1" applyAlignment="1" applyProtection="1">
      <alignment horizontal="left" wrapText="1"/>
    </xf>
    <xf numFmtId="0" fontId="29" fillId="0" borderId="0" xfId="0" applyFont="1" applyAlignment="1" applyProtection="1">
      <alignment horizontal="center" wrapText="1"/>
    </xf>
    <xf numFmtId="0" fontId="0" fillId="0" borderId="0" xfId="0" applyFont="1" applyAlignment="1">
      <alignment horizontal="center"/>
    </xf>
    <xf numFmtId="0" fontId="32" fillId="2" borderId="0" xfId="6" applyFont="1" applyFill="1" applyAlignment="1" applyProtection="1">
      <alignment horizontal="center"/>
    </xf>
    <xf numFmtId="0" fontId="0" fillId="0" borderId="0" xfId="0" applyFont="1"/>
    <xf numFmtId="0" fontId="0" fillId="0" borderId="3" xfId="0" applyBorder="1"/>
    <xf numFmtId="169" fontId="0" fillId="0" borderId="3" xfId="0" applyNumberFormat="1" applyBorder="1" applyAlignment="1">
      <alignment horizontal="center" vertical="center"/>
    </xf>
    <xf numFmtId="0" fontId="0" fillId="0" borderId="3" xfId="0" applyBorder="1" applyAlignment="1">
      <alignment horizontal="center" vertical="center"/>
    </xf>
    <xf numFmtId="4" fontId="0" fillId="0" borderId="3" xfId="0" applyNumberFormat="1" applyBorder="1" applyAlignment="1">
      <alignment horizontal="center" vertical="center"/>
    </xf>
    <xf numFmtId="171" fontId="0" fillId="0" borderId="3" xfId="0" applyNumberFormat="1" applyBorder="1" applyAlignment="1">
      <alignment horizontal="center" vertical="center"/>
    </xf>
    <xf numFmtId="3" fontId="0" fillId="0" borderId="3" xfId="0" applyNumberFormat="1" applyBorder="1"/>
    <xf numFmtId="167" fontId="0" fillId="0" borderId="3" xfId="0" applyNumberFormat="1" applyBorder="1" applyAlignment="1">
      <alignment horizontal="center" vertical="center"/>
    </xf>
    <xf numFmtId="0" fontId="0" fillId="0" borderId="1" xfId="0" applyBorder="1"/>
    <xf numFmtId="169" fontId="0" fillId="0" borderId="1" xfId="0" applyNumberFormat="1" applyBorder="1" applyAlignment="1">
      <alignment horizontal="center" vertical="center"/>
    </xf>
    <xf numFmtId="0" fontId="0" fillId="0" borderId="1" xfId="0" applyBorder="1" applyAlignment="1">
      <alignment horizontal="center" vertical="center"/>
    </xf>
    <xf numFmtId="171" fontId="0" fillId="0" borderId="1" xfId="0" applyNumberFormat="1" applyBorder="1" applyAlignment="1">
      <alignment horizontal="center" vertical="center"/>
    </xf>
    <xf numFmtId="3" fontId="0" fillId="0" borderId="1" xfId="0" applyNumberFormat="1" applyBorder="1"/>
    <xf numFmtId="167" fontId="0" fillId="0" borderId="1" xfId="0" applyNumberFormat="1" applyBorder="1" applyAlignment="1">
      <alignment horizontal="center" vertical="center"/>
    </xf>
    <xf numFmtId="0" fontId="14" fillId="0" borderId="1" xfId="0" applyFont="1" applyBorder="1"/>
    <xf numFmtId="16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3" fontId="14" fillId="0" borderId="1" xfId="0" applyNumberFormat="1" applyFont="1" applyBorder="1"/>
    <xf numFmtId="167" fontId="14" fillId="0" borderId="1" xfId="0" applyNumberFormat="1" applyFont="1" applyBorder="1" applyAlignment="1">
      <alignment horizontal="center" vertical="center"/>
    </xf>
    <xf numFmtId="0" fontId="14" fillId="0" borderId="0" xfId="0" applyFont="1"/>
    <xf numFmtId="0" fontId="0" fillId="0" borderId="0" xfId="0" applyAlignment="1">
      <alignment horizontal="center" vertical="center"/>
    </xf>
    <xf numFmtId="0" fontId="2" fillId="0" borderId="0" xfId="3" applyAlignment="1" applyProtection="1">
      <alignment horizontal="center"/>
    </xf>
    <xf numFmtId="0" fontId="33" fillId="0" borderId="0" xfId="3" applyFont="1" applyBorder="1" applyAlignment="1" applyProtection="1">
      <alignment horizontal="left"/>
    </xf>
    <xf numFmtId="0" fontId="34" fillId="0" borderId="0" xfId="3" applyFont="1" applyProtection="1"/>
    <xf numFmtId="0" fontId="3" fillId="0" borderId="0" xfId="3" applyFont="1" applyBorder="1" applyAlignment="1" applyProtection="1">
      <alignment horizontal="left"/>
    </xf>
    <xf numFmtId="0" fontId="4" fillId="0" borderId="0" xfId="3" applyFont="1" applyBorder="1" applyAlignment="1" applyProtection="1">
      <alignment horizontal="center" wrapText="1"/>
    </xf>
    <xf numFmtId="166" fontId="2" fillId="7" borderId="0" xfId="5" applyNumberFormat="1" applyFill="1" applyProtection="1">
      <protection locked="0"/>
    </xf>
    <xf numFmtId="166" fontId="2" fillId="0" borderId="0" xfId="5" applyNumberFormat="1" applyFont="1" applyAlignment="1" applyProtection="1">
      <alignment horizontal="center"/>
    </xf>
    <xf numFmtId="166" fontId="2" fillId="0" borderId="0" xfId="5" applyNumberFormat="1" applyFont="1" applyProtection="1"/>
    <xf numFmtId="0" fontId="2" fillId="0" borderId="0" xfId="3" applyFont="1" applyAlignment="1" applyProtection="1">
      <alignment horizontal="center"/>
    </xf>
    <xf numFmtId="9" fontId="2" fillId="0" borderId="0" xfId="3" applyNumberFormat="1" applyFont="1" applyAlignment="1" applyProtection="1">
      <alignment horizontal="center"/>
    </xf>
    <xf numFmtId="166" fontId="2" fillId="2" borderId="0" xfId="5" applyNumberFormat="1" applyFont="1" applyFill="1" applyProtection="1"/>
    <xf numFmtId="166" fontId="2" fillId="0" borderId="0" xfId="3" applyNumberFormat="1" applyFont="1" applyBorder="1" applyAlignment="1" applyProtection="1">
      <alignment horizontal="center"/>
    </xf>
    <xf numFmtId="10" fontId="2" fillId="0" borderId="0" xfId="4" applyNumberFormat="1" applyFont="1" applyAlignment="1" applyProtection="1">
      <alignment horizontal="center"/>
    </xf>
    <xf numFmtId="0" fontId="36" fillId="0" borderId="0" xfId="3" applyFont="1" applyProtection="1"/>
    <xf numFmtId="166" fontId="2" fillId="0" borderId="0" xfId="5" applyNumberFormat="1" applyFont="1" applyBorder="1" applyAlignment="1" applyProtection="1">
      <alignment horizontal="center"/>
    </xf>
    <xf numFmtId="166" fontId="2" fillId="0" borderId="0" xfId="3" applyNumberFormat="1" applyFont="1" applyAlignment="1" applyProtection="1">
      <alignment horizontal="center"/>
    </xf>
    <xf numFmtId="167" fontId="2" fillId="7" borderId="0" xfId="4" applyNumberFormat="1" applyFill="1" applyAlignment="1" applyProtection="1">
      <alignment horizontal="center"/>
      <protection locked="0"/>
    </xf>
    <xf numFmtId="166" fontId="4" fillId="2" borderId="1" xfId="3" applyNumberFormat="1" applyFont="1" applyFill="1" applyBorder="1" applyProtection="1"/>
    <xf numFmtId="166" fontId="4" fillId="0" borderId="0" xfId="3" applyNumberFormat="1" applyFont="1" applyBorder="1" applyProtection="1"/>
    <xf numFmtId="10" fontId="2" fillId="2" borderId="0" xfId="4" applyNumberFormat="1" applyFont="1" applyFill="1" applyAlignment="1" applyProtection="1">
      <alignment horizontal="center"/>
    </xf>
    <xf numFmtId="10" fontId="2" fillId="7" borderId="0" xfId="4" applyNumberFormat="1" applyFill="1" applyAlignment="1" applyProtection="1">
      <alignment horizontal="center"/>
      <protection locked="0"/>
    </xf>
    <xf numFmtId="166" fontId="2" fillId="0" borderId="0" xfId="5" applyNumberFormat="1" applyFont="1" applyFill="1" applyBorder="1" applyAlignment="1" applyProtection="1">
      <alignment horizontal="center"/>
    </xf>
    <xf numFmtId="166" fontId="2" fillId="2" borderId="3" xfId="5" applyNumberFormat="1" applyFont="1" applyFill="1" applyBorder="1" applyProtection="1"/>
    <xf numFmtId="0" fontId="8" fillId="7" borderId="0" xfId="0" applyFont="1" applyFill="1" applyAlignment="1" applyProtection="1">
      <alignment horizontal="left" indent="1"/>
      <protection locked="0"/>
    </xf>
    <xf numFmtId="0" fontId="2" fillId="7" borderId="0" xfId="3" applyFont="1" applyFill="1" applyAlignment="1" applyProtection="1">
      <alignment horizontal="left" indent="1"/>
      <protection locked="0"/>
    </xf>
    <xf numFmtId="166" fontId="4" fillId="2" borderId="0" xfId="3" applyNumberFormat="1" applyFont="1" applyFill="1" applyProtection="1"/>
    <xf numFmtId="166" fontId="4" fillId="2" borderId="2" xfId="3" applyNumberFormat="1" applyFont="1" applyFill="1" applyBorder="1" applyProtection="1"/>
    <xf numFmtId="166" fontId="2" fillId="2" borderId="0" xfId="3" applyNumberFormat="1" applyFont="1" applyFill="1" applyProtection="1"/>
    <xf numFmtId="10" fontId="8" fillId="2" borderId="0" xfId="4" applyNumberFormat="1" applyFont="1" applyFill="1" applyAlignment="1" applyProtection="1">
      <alignment horizontal="right"/>
    </xf>
    <xf numFmtId="0" fontId="2" fillId="0" borderId="0" xfId="3" applyAlignment="1" applyProtection="1">
      <alignment horizontal="center"/>
      <protection locked="0"/>
    </xf>
    <xf numFmtId="169" fontId="0" fillId="10" borderId="3" xfId="0" applyNumberFormat="1" applyFill="1" applyBorder="1" applyAlignment="1" applyProtection="1">
      <alignment horizontal="center" vertical="center"/>
      <protection locked="0"/>
    </xf>
    <xf numFmtId="172" fontId="0" fillId="0" borderId="3" xfId="0" applyNumberFormat="1" applyBorder="1"/>
    <xf numFmtId="169" fontId="0" fillId="10" borderId="1" xfId="0" applyNumberFormat="1" applyFill="1" applyBorder="1" applyAlignment="1" applyProtection="1">
      <alignment horizontal="center" vertical="center"/>
      <protection locked="0"/>
    </xf>
    <xf numFmtId="172" fontId="0" fillId="0" borderId="1" xfId="0" applyNumberFormat="1" applyBorder="1"/>
    <xf numFmtId="172" fontId="14" fillId="0" borderId="1" xfId="0" applyNumberFormat="1" applyFont="1" applyBorder="1"/>
    <xf numFmtId="2" fontId="0" fillId="10" borderId="3" xfId="0" applyNumberFormat="1" applyFill="1" applyBorder="1" applyAlignment="1" applyProtection="1">
      <alignment horizontal="center" vertical="center"/>
      <protection locked="0"/>
    </xf>
    <xf numFmtId="170" fontId="0" fillId="10" borderId="3" xfId="0" applyNumberFormat="1" applyFill="1" applyBorder="1" applyAlignment="1" applyProtection="1">
      <alignment horizontal="center" vertical="center"/>
      <protection locked="0"/>
    </xf>
    <xf numFmtId="10" fontId="0" fillId="0" borderId="3" xfId="0" applyNumberFormat="1" applyBorder="1" applyAlignment="1">
      <alignment horizontal="center" vertical="center"/>
    </xf>
    <xf numFmtId="2" fontId="0" fillId="10" borderId="1" xfId="0" applyNumberFormat="1" applyFill="1" applyBorder="1" applyAlignment="1" applyProtection="1">
      <alignment horizontal="center" vertical="center"/>
      <protection locked="0"/>
    </xf>
    <xf numFmtId="170" fontId="0" fillId="10" borderId="1" xfId="0" applyNumberFormat="1" applyFill="1" applyBorder="1" applyAlignment="1" applyProtection="1">
      <alignment horizontal="center" vertical="center"/>
      <protection locked="0"/>
    </xf>
    <xf numFmtId="10" fontId="0" fillId="0" borderId="1" xfId="0" applyNumberFormat="1" applyBorder="1" applyAlignment="1">
      <alignment horizontal="center" vertical="center"/>
    </xf>
    <xf numFmtId="0" fontId="9" fillId="0" borderId="0" xfId="0" applyFont="1" applyAlignment="1">
      <alignment horizontal="left" indent="1"/>
    </xf>
    <xf numFmtId="0" fontId="39" fillId="0" borderId="0" xfId="0" applyFont="1" applyAlignment="1">
      <alignment horizontal="center"/>
    </xf>
    <xf numFmtId="0" fontId="14" fillId="0" borderId="0" xfId="0" applyFont="1" applyAlignment="1">
      <alignment horizontal="center" vertical="center"/>
    </xf>
    <xf numFmtId="0" fontId="14" fillId="11" borderId="0" xfId="0" applyFont="1" applyFill="1" applyAlignment="1">
      <alignment horizontal="center" vertical="center"/>
    </xf>
    <xf numFmtId="0" fontId="14" fillId="0" borderId="0" xfId="0" applyFont="1" applyAlignment="1">
      <alignment horizontal="right" indent="2"/>
    </xf>
    <xf numFmtId="166" fontId="0" fillId="7" borderId="4" xfId="1" applyNumberFormat="1" applyFont="1" applyFill="1" applyBorder="1" applyProtection="1">
      <protection locked="0"/>
    </xf>
    <xf numFmtId="0" fontId="0" fillId="12" borderId="4" xfId="0" applyFill="1" applyBorder="1"/>
    <xf numFmtId="166" fontId="0" fillId="0" borderId="4" xfId="1" applyNumberFormat="1" applyFont="1" applyBorder="1"/>
    <xf numFmtId="0" fontId="14" fillId="0" borderId="0" xfId="0" applyFont="1" applyAlignment="1">
      <alignment horizontal="right" wrapText="1" indent="2"/>
    </xf>
    <xf numFmtId="166" fontId="0" fillId="0" borderId="0" xfId="0" applyNumberFormat="1"/>
    <xf numFmtId="166" fontId="0" fillId="0" borderId="4" xfId="0" applyNumberFormat="1" applyBorder="1"/>
    <xf numFmtId="166" fontId="0" fillId="0" borderId="26" xfId="0" applyNumberFormat="1" applyBorder="1"/>
    <xf numFmtId="0" fontId="14" fillId="7" borderId="17" xfId="0" applyFont="1" applyFill="1" applyBorder="1" applyAlignment="1" applyProtection="1">
      <alignment horizontal="left" vertical="top" wrapText="1"/>
      <protection locked="0"/>
    </xf>
    <xf numFmtId="0" fontId="14" fillId="6" borderId="17" xfId="0" applyFont="1" applyFill="1" applyBorder="1" applyAlignment="1" applyProtection="1">
      <alignment horizontal="center" vertical="center" wrapText="1"/>
      <protection locked="0"/>
    </xf>
    <xf numFmtId="166" fontId="14" fillId="0" borderId="4" xfId="1" applyNumberFormat="1" applyFont="1" applyBorder="1"/>
    <xf numFmtId="0" fontId="14" fillId="7" borderId="14" xfId="0" applyFont="1" applyFill="1" applyBorder="1" applyAlignment="1" applyProtection="1">
      <alignment horizontal="left" vertical="top" wrapText="1"/>
      <protection locked="0"/>
    </xf>
    <xf numFmtId="0" fontId="14" fillId="7" borderId="27" xfId="0" applyFont="1" applyFill="1" applyBorder="1" applyAlignment="1" applyProtection="1">
      <alignment horizontal="left" vertical="top" wrapText="1"/>
      <protection locked="0"/>
    </xf>
    <xf numFmtId="166" fontId="0" fillId="0" borderId="0" xfId="1" applyNumberFormat="1" applyFont="1" applyBorder="1"/>
    <xf numFmtId="166" fontId="14" fillId="0" borderId="0" xfId="1" applyNumberFormat="1" applyFont="1" applyBorder="1"/>
    <xf numFmtId="0" fontId="14" fillId="0" borderId="0" xfId="0" applyFont="1" applyAlignment="1">
      <alignment horizontal="center" vertical="center" wrapText="1"/>
    </xf>
    <xf numFmtId="166" fontId="0" fillId="5" borderId="4" xfId="1" applyNumberFormat="1" applyFont="1" applyFill="1" applyBorder="1" applyProtection="1"/>
    <xf numFmtId="166" fontId="1" fillId="0" borderId="4" xfId="1" applyNumberFormat="1" applyFont="1" applyBorder="1"/>
    <xf numFmtId="166" fontId="1" fillId="0" borderId="0" xfId="1" applyNumberFormat="1" applyFont="1" applyBorder="1"/>
    <xf numFmtId="0" fontId="0" fillId="0" borderId="0" xfId="0" applyAlignment="1">
      <alignment horizontal="center"/>
    </xf>
    <xf numFmtId="0" fontId="14" fillId="11" borderId="0" xfId="0" applyFont="1" applyFill="1" applyAlignment="1">
      <alignment horizontal="center"/>
    </xf>
    <xf numFmtId="0" fontId="14" fillId="0" borderId="0" xfId="0" applyFont="1" applyAlignment="1">
      <alignment horizontal="center"/>
    </xf>
    <xf numFmtId="0" fontId="14" fillId="0" borderId="4" xfId="0" applyFont="1" applyFill="1" applyBorder="1" applyAlignment="1">
      <alignment horizontal="left" vertical="top" wrapText="1"/>
    </xf>
    <xf numFmtId="166" fontId="14" fillId="0" borderId="4" xfId="1" applyNumberFormat="1" applyFont="1" applyFill="1" applyBorder="1" applyAlignment="1">
      <alignment horizontal="left" vertical="top" wrapText="1"/>
    </xf>
    <xf numFmtId="0" fontId="6" fillId="0" borderId="0" xfId="0" applyFont="1" applyProtection="1"/>
    <xf numFmtId="0" fontId="40" fillId="0" borderId="0" xfId="0" applyFont="1" applyProtection="1"/>
    <xf numFmtId="0" fontId="8" fillId="0" borderId="0" xfId="0" applyFont="1" applyProtection="1"/>
    <xf numFmtId="0" fontId="18" fillId="0" borderId="0" xfId="0" applyFont="1" applyAlignment="1" applyProtection="1">
      <alignment vertical="top"/>
    </xf>
    <xf numFmtId="0" fontId="3" fillId="0" borderId="28" xfId="0" applyFont="1" applyBorder="1" applyAlignment="1" applyProtection="1">
      <alignment horizontal="left"/>
    </xf>
    <xf numFmtId="0" fontId="0" fillId="0" borderId="29" xfId="0" applyBorder="1" applyProtection="1"/>
    <xf numFmtId="0" fontId="18" fillId="0" borderId="30" xfId="0" applyFont="1" applyBorder="1" applyProtection="1"/>
    <xf numFmtId="0" fontId="0" fillId="0" borderId="30" xfId="0" applyBorder="1" applyProtection="1"/>
    <xf numFmtId="166" fontId="8" fillId="0" borderId="31" xfId="5" applyNumberFormat="1" applyFont="1" applyBorder="1" applyProtection="1"/>
    <xf numFmtId="0" fontId="4" fillId="0" borderId="0" xfId="0" applyFont="1" applyAlignment="1" applyProtection="1">
      <alignment horizontal="center"/>
    </xf>
    <xf numFmtId="0" fontId="18" fillId="0" borderId="12" xfId="0" applyFont="1" applyBorder="1" applyProtection="1"/>
    <xf numFmtId="0" fontId="18" fillId="2" borderId="0" xfId="0" applyFont="1" applyFill="1" applyBorder="1" applyProtection="1"/>
    <xf numFmtId="0" fontId="0" fillId="2" borderId="0" xfId="0" applyFill="1" applyBorder="1" applyProtection="1"/>
    <xf numFmtId="166" fontId="8" fillId="2" borderId="32" xfId="5" applyNumberFormat="1" applyFont="1" applyFill="1" applyBorder="1" applyProtection="1"/>
    <xf numFmtId="0" fontId="0" fillId="0" borderId="33" xfId="0" applyBorder="1" applyProtection="1"/>
    <xf numFmtId="0" fontId="18" fillId="2" borderId="10" xfId="0" applyFont="1" applyFill="1" applyBorder="1" applyProtection="1"/>
    <xf numFmtId="0" fontId="0" fillId="2" borderId="10" xfId="0" applyFill="1" applyBorder="1" applyProtection="1"/>
    <xf numFmtId="166" fontId="8" fillId="2" borderId="34" xfId="5" applyNumberFormat="1" applyFont="1" applyFill="1" applyBorder="1" applyProtection="1"/>
    <xf numFmtId="0" fontId="18" fillId="2" borderId="0" xfId="0" applyFont="1" applyFill="1" applyProtection="1"/>
    <xf numFmtId="0" fontId="0" fillId="2" borderId="0" xfId="0" applyFill="1" applyProtection="1"/>
    <xf numFmtId="0" fontId="18" fillId="2" borderId="30" xfId="0" applyFont="1" applyFill="1" applyBorder="1" applyProtection="1"/>
    <xf numFmtId="0" fontId="0" fillId="2" borderId="30" xfId="0" applyFill="1" applyBorder="1" applyProtection="1"/>
    <xf numFmtId="166" fontId="8" fillId="2" borderId="31" xfId="5" applyNumberFormat="1" applyFont="1" applyFill="1" applyBorder="1" applyProtection="1"/>
    <xf numFmtId="0" fontId="4" fillId="2" borderId="0" xfId="0" applyFont="1" applyFill="1" applyAlignment="1" applyProtection="1">
      <alignment horizontal="center"/>
    </xf>
    <xf numFmtId="166" fontId="8" fillId="2" borderId="35" xfId="5" applyNumberFormat="1" applyFont="1" applyFill="1" applyBorder="1" applyProtection="1"/>
    <xf numFmtId="167" fontId="18" fillId="2" borderId="0" xfId="4" applyNumberFormat="1" applyFont="1" applyFill="1" applyBorder="1" applyAlignment="1" applyProtection="1">
      <alignment horizontal="center"/>
    </xf>
    <xf numFmtId="0" fontId="18" fillId="2" borderId="0" xfId="0" applyFont="1" applyFill="1" applyBorder="1" applyAlignment="1" applyProtection="1">
      <alignment horizontal="center"/>
    </xf>
    <xf numFmtId="10" fontId="18" fillId="2" borderId="0" xfId="4" applyNumberFormat="1" applyFont="1" applyFill="1" applyBorder="1" applyAlignment="1" applyProtection="1">
      <alignment horizontal="center"/>
    </xf>
    <xf numFmtId="0" fontId="18" fillId="0" borderId="33" xfId="0" applyFont="1" applyBorder="1" applyProtection="1"/>
    <xf numFmtId="166" fontId="8" fillId="0" borderId="0" xfId="5" applyNumberFormat="1" applyFont="1" applyProtection="1"/>
    <xf numFmtId="0" fontId="3" fillId="0" borderId="11" xfId="0" applyFont="1" applyBorder="1" applyAlignment="1" applyProtection="1">
      <alignment horizontal="left"/>
    </xf>
    <xf numFmtId="0" fontId="3" fillId="0" borderId="12" xfId="0" applyFont="1" applyBorder="1" applyAlignment="1" applyProtection="1">
      <alignment horizontal="left"/>
    </xf>
    <xf numFmtId="0" fontId="18" fillId="0" borderId="0" xfId="0" applyFont="1" applyBorder="1" applyProtection="1"/>
    <xf numFmtId="0" fontId="0" fillId="0" borderId="0" xfId="0" applyBorder="1" applyProtection="1"/>
    <xf numFmtId="166" fontId="8" fillId="0" borderId="35" xfId="5" applyNumberFormat="1" applyFont="1" applyBorder="1" applyProtection="1"/>
    <xf numFmtId="0" fontId="18" fillId="0" borderId="10" xfId="0" applyFont="1" applyBorder="1" applyProtection="1"/>
    <xf numFmtId="0" fontId="0" fillId="0" borderId="10" xfId="0" applyBorder="1" applyProtection="1"/>
    <xf numFmtId="0" fontId="3" fillId="0" borderId="29" xfId="0" applyFont="1" applyBorder="1" applyAlignment="1" applyProtection="1">
      <alignment horizontal="left"/>
    </xf>
    <xf numFmtId="0" fontId="4" fillId="0" borderId="0" xfId="0" applyFont="1" applyBorder="1" applyAlignment="1" applyProtection="1">
      <alignment horizontal="center"/>
    </xf>
    <xf numFmtId="167" fontId="18" fillId="7" borderId="0" xfId="4" applyNumberFormat="1" applyFont="1" applyFill="1" applyBorder="1" applyAlignment="1" applyProtection="1">
      <alignment horizontal="center"/>
      <protection locked="0"/>
    </xf>
    <xf numFmtId="166" fontId="8" fillId="0" borderId="34" xfId="5" applyNumberFormat="1" applyFont="1" applyBorder="1" applyProtection="1"/>
    <xf numFmtId="166" fontId="8" fillId="7" borderId="35" xfId="5" applyNumberFormat="1" applyFont="1" applyFill="1" applyBorder="1" applyProtection="1">
      <protection locked="0"/>
    </xf>
    <xf numFmtId="166" fontId="8" fillId="2" borderId="36" xfId="5" applyNumberFormat="1" applyFont="1" applyFill="1" applyBorder="1" applyProtection="1"/>
    <xf numFmtId="0" fontId="41" fillId="0" borderId="12" xfId="0" applyFont="1" applyBorder="1" applyProtection="1"/>
    <xf numFmtId="0" fontId="18" fillId="0" borderId="29" xfId="0" applyFont="1" applyBorder="1" applyProtection="1"/>
    <xf numFmtId="0" fontId="4" fillId="0" borderId="30" xfId="0" applyFont="1" applyBorder="1" applyAlignment="1" applyProtection="1">
      <alignment horizontal="center"/>
    </xf>
    <xf numFmtId="166" fontId="8" fillId="13" borderId="31" xfId="5" applyNumberFormat="1" applyFont="1" applyFill="1" applyBorder="1" applyProtection="1"/>
    <xf numFmtId="166" fontId="8" fillId="13" borderId="35" xfId="5" applyNumberFormat="1" applyFont="1" applyFill="1" applyBorder="1" applyProtection="1"/>
    <xf numFmtId="166" fontId="8" fillId="13" borderId="32" xfId="5" applyNumberFormat="1" applyFont="1" applyFill="1" applyBorder="1" applyProtection="1"/>
    <xf numFmtId="0" fontId="8" fillId="0" borderId="0" xfId="0" applyFont="1"/>
    <xf numFmtId="0" fontId="29" fillId="0" borderId="0" xfId="0" applyFont="1" applyAlignment="1" applyProtection="1">
      <alignment horizontal="left" wrapText="1"/>
    </xf>
    <xf numFmtId="0" fontId="43" fillId="0" borderId="0" xfId="0" applyFont="1" applyAlignment="1" applyProtection="1">
      <alignment horizontal="center" wrapText="1"/>
    </xf>
    <xf numFmtId="0" fontId="44" fillId="0" borderId="0" xfId="0" applyFont="1" applyAlignment="1" applyProtection="1">
      <alignment horizontal="center" wrapText="1"/>
    </xf>
    <xf numFmtId="0" fontId="46" fillId="0" borderId="0" xfId="0" applyFont="1" applyAlignment="1" applyProtection="1">
      <alignment horizontal="center" wrapText="1"/>
    </xf>
    <xf numFmtId="0" fontId="47" fillId="0" borderId="0" xfId="0" applyFont="1" applyAlignment="1" applyProtection="1">
      <alignment horizontal="center" wrapText="1"/>
    </xf>
    <xf numFmtId="0" fontId="29" fillId="0" borderId="0" xfId="0" applyFont="1" applyAlignment="1" applyProtection="1">
      <alignment horizontal="center"/>
    </xf>
    <xf numFmtId="10"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69" fontId="0" fillId="14" borderId="0" xfId="0" applyNumberFormat="1" applyFill="1" applyAlignment="1">
      <alignment horizontal="center" vertical="center"/>
    </xf>
    <xf numFmtId="0" fontId="48" fillId="0" borderId="0" xfId="0" applyFont="1" applyAlignment="1">
      <alignment horizontal="center" vertical="center"/>
    </xf>
    <xf numFmtId="0" fontId="0" fillId="0" borderId="0" xfId="0" applyAlignment="1">
      <alignment horizontal="center" vertical="center"/>
    </xf>
    <xf numFmtId="3" fontId="0" fillId="0" borderId="3" xfId="0" applyNumberFormat="1" applyBorder="1" applyAlignment="1">
      <alignment horizontal="center" vertical="center"/>
    </xf>
    <xf numFmtId="2" fontId="0" fillId="0" borderId="3" xfId="0" applyNumberFormat="1" applyBorder="1" applyAlignment="1">
      <alignment horizontal="center" vertical="center"/>
    </xf>
    <xf numFmtId="170" fontId="0" fillId="0" borderId="3" xfId="0" applyNumberFormat="1" applyBorder="1" applyAlignment="1">
      <alignment horizontal="center" vertical="center"/>
    </xf>
    <xf numFmtId="0" fontId="49" fillId="0" borderId="0" xfId="0" applyFont="1"/>
    <xf numFmtId="170" fontId="0" fillId="0" borderId="1" xfId="0" applyNumberFormat="1" applyBorder="1" applyAlignment="1">
      <alignment horizontal="center" vertical="center"/>
    </xf>
    <xf numFmtId="0" fontId="17" fillId="0" borderId="0" xfId="0" applyFont="1" applyAlignment="1" applyProtection="1">
      <alignment horizontal="right" vertical="center" wrapText="1" indent="2"/>
    </xf>
    <xf numFmtId="0" fontId="7" fillId="0" borderId="0" xfId="3" applyFont="1" applyFill="1" applyAlignment="1" applyProtection="1">
      <alignment horizontal="left" vertical="center" indent="3"/>
    </xf>
    <xf numFmtId="0" fontId="4" fillId="0" borderId="0" xfId="3" applyFont="1" applyFill="1" applyAlignment="1" applyProtection="1">
      <alignment horizontal="center"/>
      <protection locked="0"/>
    </xf>
    <xf numFmtId="0" fontId="50" fillId="0" borderId="0" xfId="0" applyFont="1"/>
    <xf numFmtId="0" fontId="0" fillId="4" borderId="4" xfId="0" applyFill="1" applyBorder="1" applyAlignment="1">
      <alignment horizontal="center"/>
    </xf>
    <xf numFmtId="0" fontId="0" fillId="7" borderId="39" xfId="0" applyFill="1" applyBorder="1" applyAlignment="1">
      <alignment horizontal="center"/>
    </xf>
    <xf numFmtId="0" fontId="0" fillId="8" borderId="4" xfId="0" applyFill="1" applyBorder="1" applyAlignment="1">
      <alignment horizontal="center"/>
    </xf>
    <xf numFmtId="0" fontId="0" fillId="8" borderId="38" xfId="0" applyFill="1" applyBorder="1" applyAlignment="1" applyProtection="1">
      <alignment horizontal="center"/>
    </xf>
    <xf numFmtId="0" fontId="52" fillId="7" borderId="4" xfId="0" applyFont="1" applyFill="1" applyBorder="1" applyAlignment="1">
      <alignment horizontal="center" vertical="center"/>
    </xf>
    <xf numFmtId="0" fontId="52" fillId="0" borderId="37" xfId="0" applyFont="1" applyBorder="1" applyAlignment="1" applyProtection="1">
      <alignment horizontal="left" vertical="center"/>
    </xf>
    <xf numFmtId="0" fontId="52" fillId="0" borderId="1" xfId="0" applyFont="1" applyBorder="1" applyProtection="1"/>
    <xf numFmtId="0" fontId="52" fillId="0" borderId="26" xfId="0" applyFont="1" applyBorder="1" applyProtection="1"/>
    <xf numFmtId="0" fontId="53" fillId="0" borderId="4" xfId="0" applyFont="1" applyBorder="1" applyAlignment="1" applyProtection="1">
      <alignment horizontal="center" vertical="center"/>
    </xf>
    <xf numFmtId="0" fontId="53" fillId="0" borderId="37" xfId="0" applyFont="1" applyBorder="1" applyAlignment="1" applyProtection="1">
      <alignment horizontal="center" vertical="center"/>
    </xf>
    <xf numFmtId="0" fontId="53" fillId="0" borderId="1" xfId="0" applyFont="1" applyBorder="1" applyAlignment="1" applyProtection="1">
      <alignment horizontal="center" vertical="center"/>
    </xf>
    <xf numFmtId="0" fontId="53" fillId="0" borderId="26" xfId="0" applyFont="1" applyBorder="1" applyAlignment="1" applyProtection="1">
      <alignment horizontal="center" vertical="center"/>
    </xf>
    <xf numFmtId="0" fontId="52" fillId="7" borderId="4" xfId="0" applyFont="1" applyFill="1" applyBorder="1" applyAlignment="1">
      <alignment horizontal="center"/>
    </xf>
    <xf numFmtId="0" fontId="29" fillId="0" borderId="0" xfId="0" applyFont="1" applyBorder="1" applyAlignment="1" applyProtection="1">
      <alignment horizontal="center" wrapText="1"/>
    </xf>
    <xf numFmtId="166" fontId="2" fillId="0" borderId="0" xfId="3" applyNumberFormat="1" applyFont="1" applyProtection="1"/>
    <xf numFmtId="166" fontId="2" fillId="7" borderId="0" xfId="5" applyNumberFormat="1" applyFont="1" applyFill="1" applyProtection="1"/>
    <xf numFmtId="165" fontId="2" fillId="0" borderId="0" xfId="3" applyNumberFormat="1" applyAlignment="1" applyProtection="1">
      <alignment horizontal="right"/>
    </xf>
    <xf numFmtId="173" fontId="17" fillId="0" borderId="0" xfId="8" applyNumberFormat="1" applyFont="1" applyAlignment="1">
      <alignment horizontal="center"/>
    </xf>
    <xf numFmtId="166" fontId="8" fillId="0" borderId="42" xfId="5" applyNumberFormat="1" applyFont="1" applyBorder="1" applyProtection="1"/>
    <xf numFmtId="166" fontId="18" fillId="2" borderId="28" xfId="5" applyNumberFormat="1" applyFont="1" applyFill="1" applyBorder="1" applyProtection="1"/>
    <xf numFmtId="166" fontId="18" fillId="2" borderId="31" xfId="5" applyNumberFormat="1" applyFont="1" applyFill="1" applyBorder="1" applyProtection="1"/>
    <xf numFmtId="166" fontId="18" fillId="2" borderId="40" xfId="5" applyNumberFormat="1" applyFont="1" applyFill="1" applyBorder="1" applyProtection="1"/>
    <xf numFmtId="166" fontId="18" fillId="2" borderId="35" xfId="5" applyNumberFormat="1" applyFont="1" applyFill="1" applyBorder="1" applyProtection="1"/>
    <xf numFmtId="166" fontId="18" fillId="2" borderId="41" xfId="5" applyNumberFormat="1" applyFont="1" applyFill="1" applyBorder="1" applyProtection="1"/>
    <xf numFmtId="166" fontId="18" fillId="2" borderId="32" xfId="5" applyNumberFormat="1" applyFont="1" applyFill="1" applyBorder="1" applyProtection="1"/>
    <xf numFmtId="166" fontId="18" fillId="0" borderId="0" xfId="5" applyNumberFormat="1" applyFont="1" applyBorder="1" applyProtection="1"/>
    <xf numFmtId="166" fontId="18" fillId="0" borderId="35" xfId="5" applyNumberFormat="1" applyFont="1" applyBorder="1" applyProtection="1"/>
    <xf numFmtId="166" fontId="18" fillId="0" borderId="34" xfId="5" applyNumberFormat="1" applyFont="1" applyBorder="1" applyProtection="1"/>
    <xf numFmtId="166" fontId="18" fillId="7" borderId="35" xfId="5" applyNumberFormat="1" applyFont="1" applyFill="1" applyBorder="1" applyProtection="1">
      <protection locked="0"/>
    </xf>
    <xf numFmtId="166" fontId="18" fillId="2" borderId="36" xfId="5" applyNumberFormat="1" applyFont="1" applyFill="1" applyBorder="1" applyProtection="1"/>
    <xf numFmtId="174" fontId="18" fillId="2" borderId="40" xfId="5" applyNumberFormat="1" applyFont="1" applyFill="1" applyBorder="1" applyProtection="1"/>
    <xf numFmtId="166" fontId="18" fillId="2" borderId="42" xfId="5" applyNumberFormat="1" applyFont="1" applyFill="1" applyBorder="1" applyProtection="1"/>
    <xf numFmtId="166" fontId="18" fillId="2" borderId="12" xfId="5" applyNumberFormat="1" applyFont="1" applyFill="1" applyBorder="1" applyProtection="1"/>
    <xf numFmtId="166" fontId="18" fillId="0" borderId="12" xfId="5" applyNumberFormat="1" applyFont="1" applyBorder="1" applyProtection="1"/>
    <xf numFmtId="166" fontId="18" fillId="0" borderId="28" xfId="5" applyNumberFormat="1" applyFont="1" applyBorder="1" applyProtection="1"/>
    <xf numFmtId="166" fontId="18" fillId="0" borderId="40" xfId="5" applyNumberFormat="1" applyFont="1" applyBorder="1" applyProtection="1"/>
    <xf numFmtId="166" fontId="18" fillId="0" borderId="42" xfId="5" applyNumberFormat="1" applyFont="1" applyBorder="1" applyProtection="1"/>
    <xf numFmtId="166" fontId="18" fillId="7" borderId="40" xfId="5" applyNumberFormat="1" applyFont="1" applyFill="1" applyBorder="1" applyProtection="1">
      <protection locked="0"/>
    </xf>
    <xf numFmtId="166" fontId="18" fillId="2" borderId="43" xfId="5" applyNumberFormat="1" applyFont="1" applyFill="1" applyBorder="1" applyProtection="1"/>
    <xf numFmtId="166" fontId="18" fillId="13" borderId="28" xfId="5" applyNumberFormat="1" applyFont="1" applyFill="1" applyBorder="1" applyProtection="1"/>
    <xf numFmtId="166" fontId="18" fillId="13" borderId="40" xfId="5" applyNumberFormat="1" applyFont="1" applyFill="1" applyBorder="1" applyProtection="1"/>
    <xf numFmtId="166" fontId="18" fillId="13" borderId="41" xfId="5" applyNumberFormat="1" applyFont="1" applyFill="1" applyBorder="1" applyProtection="1"/>
    <xf numFmtId="0" fontId="0" fillId="0" borderId="0" xfId="0" applyAlignment="1">
      <alignment horizontal="center" vertical="center"/>
    </xf>
    <xf numFmtId="0" fontId="0" fillId="7" borderId="37" xfId="0" applyFill="1" applyBorder="1" applyAlignment="1">
      <alignment horizontal="center"/>
    </xf>
    <xf numFmtId="0" fontId="0" fillId="7" borderId="1" xfId="0" applyFill="1" applyBorder="1" applyAlignment="1">
      <alignment horizontal="center"/>
    </xf>
    <xf numFmtId="0" fontId="0" fillId="7" borderId="26" xfId="0" applyFill="1" applyBorder="1" applyAlignment="1">
      <alignment horizontal="center"/>
    </xf>
    <xf numFmtId="0" fontId="0" fillId="8" borderId="1" xfId="0" applyFill="1" applyBorder="1" applyAlignment="1">
      <alignment horizontal="center"/>
    </xf>
    <xf numFmtId="0" fontId="0" fillId="8" borderId="26" xfId="0" applyFill="1" applyBorder="1" applyAlignment="1">
      <alignment horizontal="center"/>
    </xf>
    <xf numFmtId="0" fontId="25" fillId="0" borderId="0" xfId="0" applyFont="1" applyFill="1" applyAlignment="1" applyProtection="1">
      <alignment horizontal="left" wrapText="1"/>
    </xf>
    <xf numFmtId="10" fontId="17" fillId="7" borderId="5" xfId="0" applyNumberFormat="1" applyFont="1" applyFill="1" applyBorder="1" applyAlignment="1" applyProtection="1">
      <alignment horizontal="center" vertical="center"/>
      <protection locked="0"/>
    </xf>
    <xf numFmtId="10" fontId="17" fillId="7" borderId="6" xfId="0" applyNumberFormat="1" applyFont="1" applyFill="1" applyBorder="1" applyAlignment="1" applyProtection="1">
      <alignment horizontal="center" vertical="center"/>
      <protection locked="0"/>
    </xf>
    <xf numFmtId="10" fontId="17" fillId="7" borderId="7" xfId="0" applyNumberFormat="1" applyFont="1" applyFill="1" applyBorder="1" applyAlignment="1" applyProtection="1">
      <alignment horizontal="center" vertical="center"/>
      <protection locked="0"/>
    </xf>
    <xf numFmtId="10" fontId="17" fillId="5" borderId="5" xfId="0" applyNumberFormat="1" applyFont="1" applyFill="1" applyBorder="1" applyAlignment="1" applyProtection="1">
      <alignment horizontal="center" vertical="center"/>
    </xf>
    <xf numFmtId="10" fontId="17" fillId="5" borderId="6" xfId="0" applyNumberFormat="1" applyFont="1" applyFill="1" applyBorder="1" applyAlignment="1" applyProtection="1">
      <alignment horizontal="center" vertical="center"/>
    </xf>
    <xf numFmtId="10" fontId="17" fillId="5" borderId="7" xfId="0" applyNumberFormat="1" applyFont="1" applyFill="1" applyBorder="1" applyAlignment="1" applyProtection="1">
      <alignment horizontal="center" vertical="center"/>
    </xf>
    <xf numFmtId="0" fontId="20" fillId="0" borderId="0" xfId="0" applyFont="1" applyAlignment="1" applyProtection="1">
      <alignment horizontal="left" vertical="top" wrapText="1"/>
    </xf>
    <xf numFmtId="0" fontId="21" fillId="0" borderId="10" xfId="0" applyFont="1" applyBorder="1" applyAlignment="1" applyProtection="1">
      <alignment horizontal="center" vertical="center" wrapText="1"/>
    </xf>
    <xf numFmtId="0" fontId="22" fillId="5" borderId="0" xfId="0" applyFont="1" applyFill="1" applyAlignment="1" applyProtection="1">
      <alignment horizontal="left" vertical="top" wrapText="1"/>
    </xf>
    <xf numFmtId="0" fontId="21" fillId="0" borderId="0" xfId="0" applyFont="1" applyAlignment="1" applyProtection="1">
      <alignment horizontal="center" vertical="center" wrapText="1"/>
    </xf>
    <xf numFmtId="0" fontId="0" fillId="0" borderId="0" xfId="0" applyAlignment="1" applyProtection="1">
      <alignment horizontal="left"/>
    </xf>
    <xf numFmtId="0" fontId="24" fillId="0" borderId="12"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0" xfId="0" applyFont="1" applyAlignment="1" applyProtection="1">
      <alignment horizontal="left" wrapText="1"/>
    </xf>
    <xf numFmtId="0" fontId="0" fillId="0" borderId="0" xfId="0" applyAlignment="1" applyProtection="1">
      <alignment horizontal="left" wrapText="1"/>
    </xf>
    <xf numFmtId="0" fontId="17" fillId="0" borderId="0" xfId="0" applyFont="1" applyAlignment="1" applyProtection="1">
      <alignment horizontal="right" vertical="center" wrapText="1" indent="2"/>
    </xf>
    <xf numFmtId="0" fontId="17" fillId="0" borderId="8"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xf>
    <xf numFmtId="0" fontId="17" fillId="5" borderId="6" xfId="0" applyNumberFormat="1" applyFont="1" applyFill="1" applyBorder="1" applyAlignment="1" applyProtection="1">
      <alignment horizontal="center" vertical="center"/>
    </xf>
    <xf numFmtId="0" fontId="17" fillId="5" borderId="7" xfId="0" applyNumberFormat="1" applyFont="1" applyFill="1" applyBorder="1" applyAlignment="1" applyProtection="1">
      <alignment horizontal="center" vertical="center"/>
    </xf>
    <xf numFmtId="0" fontId="17" fillId="6" borderId="5" xfId="0" applyNumberFormat="1" applyFont="1" applyFill="1" applyBorder="1" applyAlignment="1" applyProtection="1">
      <alignment horizontal="center" vertical="center"/>
      <protection locked="0"/>
    </xf>
    <xf numFmtId="0" fontId="17" fillId="6" borderId="6" xfId="0" applyNumberFormat="1" applyFont="1" applyFill="1" applyBorder="1" applyAlignment="1" applyProtection="1">
      <alignment horizontal="center" vertical="center"/>
      <protection locked="0"/>
    </xf>
    <xf numFmtId="0" fontId="17" fillId="6" borderId="7" xfId="0" applyNumberFormat="1" applyFont="1" applyFill="1" applyBorder="1" applyAlignment="1" applyProtection="1">
      <alignment horizontal="center" vertical="center"/>
      <protection locked="0"/>
    </xf>
    <xf numFmtId="0" fontId="17" fillId="0" borderId="0"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protection locked="0"/>
    </xf>
    <xf numFmtId="0" fontId="17" fillId="5" borderId="6" xfId="0" applyNumberFormat="1" applyFont="1" applyFill="1" applyBorder="1" applyAlignment="1" applyProtection="1">
      <alignment horizontal="center" vertical="center"/>
      <protection locked="0"/>
    </xf>
    <xf numFmtId="0" fontId="17" fillId="5" borderId="7" xfId="0" applyNumberFormat="1" applyFont="1" applyFill="1" applyBorder="1" applyAlignment="1" applyProtection="1">
      <alignment horizontal="center" vertical="center"/>
      <protection locked="0"/>
    </xf>
    <xf numFmtId="0" fontId="17" fillId="7" borderId="5" xfId="0" applyNumberFormat="1" applyFont="1" applyFill="1" applyBorder="1" applyAlignment="1" applyProtection="1">
      <alignment horizontal="center" vertical="center"/>
      <protection locked="0"/>
    </xf>
    <xf numFmtId="0" fontId="17" fillId="7" borderId="6" xfId="0" applyNumberFormat="1" applyFont="1" applyFill="1" applyBorder="1" applyAlignment="1" applyProtection="1">
      <alignment horizontal="center" vertical="center"/>
      <protection locked="0"/>
    </xf>
    <xf numFmtId="0" fontId="17" fillId="7" borderId="7" xfId="0" applyNumberFormat="1" applyFont="1" applyFill="1" applyBorder="1" applyAlignment="1" applyProtection="1">
      <alignment horizontal="center" vertical="center"/>
      <protection locked="0"/>
    </xf>
    <xf numFmtId="0" fontId="51" fillId="7" borderId="5" xfId="7" applyNumberFormat="1" applyFill="1" applyBorder="1" applyAlignment="1" applyProtection="1">
      <alignment horizontal="left" vertical="center"/>
      <protection locked="0"/>
    </xf>
    <xf numFmtId="0" fontId="18" fillId="7" borderId="6" xfId="0" applyNumberFormat="1" applyFont="1" applyFill="1" applyBorder="1" applyAlignment="1" applyProtection="1">
      <alignment horizontal="left" vertical="center"/>
      <protection locked="0"/>
    </xf>
    <xf numFmtId="0" fontId="18" fillId="7" borderId="7" xfId="0" applyNumberFormat="1" applyFont="1" applyFill="1" applyBorder="1" applyAlignment="1" applyProtection="1">
      <alignment horizontal="left" vertical="center"/>
      <protection locked="0"/>
    </xf>
    <xf numFmtId="0" fontId="18" fillId="6" borderId="5" xfId="0" applyFont="1" applyFill="1" applyBorder="1" applyAlignment="1" applyProtection="1">
      <alignment horizontal="left" vertical="center" wrapText="1"/>
      <protection locked="0"/>
    </xf>
    <xf numFmtId="0" fontId="18" fillId="6" borderId="6"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center" wrapText="1"/>
      <protection locked="0"/>
    </xf>
    <xf numFmtId="0" fontId="19" fillId="7" borderId="5" xfId="0" applyFont="1" applyFill="1" applyBorder="1" applyAlignment="1" applyProtection="1">
      <alignment horizontal="left" vertical="center"/>
      <protection locked="0"/>
    </xf>
    <xf numFmtId="0" fontId="19" fillId="7" borderId="6" xfId="0" applyFont="1" applyFill="1" applyBorder="1" applyAlignment="1" applyProtection="1">
      <alignment horizontal="left" vertical="center"/>
      <protection locked="0"/>
    </xf>
    <xf numFmtId="0" fontId="19" fillId="7" borderId="7" xfId="0" applyFont="1" applyFill="1" applyBorder="1" applyAlignment="1" applyProtection="1">
      <alignment horizontal="left" vertical="center"/>
      <protection locked="0"/>
    </xf>
    <xf numFmtId="0" fontId="18" fillId="7" borderId="5" xfId="0" applyFont="1" applyFill="1" applyBorder="1" applyAlignment="1" applyProtection="1">
      <alignment horizontal="left" vertical="center"/>
      <protection locked="0"/>
    </xf>
    <xf numFmtId="0" fontId="18" fillId="7" borderId="6" xfId="0" applyFont="1" applyFill="1" applyBorder="1" applyAlignment="1" applyProtection="1">
      <alignment horizontal="left" vertical="center"/>
      <protection locked="0"/>
    </xf>
    <xf numFmtId="0" fontId="18" fillId="7" borderId="7" xfId="0" applyFont="1" applyFill="1" applyBorder="1" applyAlignment="1" applyProtection="1">
      <alignment horizontal="left" vertical="center"/>
      <protection locked="0"/>
    </xf>
    <xf numFmtId="0" fontId="28" fillId="9" borderId="13" xfId="0" applyFont="1" applyFill="1" applyBorder="1" applyAlignment="1" applyProtection="1">
      <protection locked="0"/>
    </xf>
    <xf numFmtId="0" fontId="28" fillId="9" borderId="14" xfId="0" applyFont="1" applyFill="1" applyBorder="1" applyAlignment="1" applyProtection="1">
      <protection locked="0"/>
    </xf>
    <xf numFmtId="0" fontId="28" fillId="9" borderId="15" xfId="0" applyFont="1" applyFill="1" applyBorder="1" applyAlignment="1" applyProtection="1">
      <protection locked="0"/>
    </xf>
    <xf numFmtId="0" fontId="28" fillId="9" borderId="13" xfId="0" applyFont="1" applyFill="1" applyBorder="1" applyAlignment="1" applyProtection="1">
      <alignment vertical="center"/>
      <protection locked="0"/>
    </xf>
    <xf numFmtId="0" fontId="28" fillId="9" borderId="14" xfId="0" applyFont="1" applyFill="1" applyBorder="1" applyAlignment="1" applyProtection="1">
      <alignment vertical="center"/>
      <protection locked="0"/>
    </xf>
    <xf numFmtId="0" fontId="28" fillId="9" borderId="15" xfId="0" applyFont="1" applyFill="1" applyBorder="1" applyAlignment="1" applyProtection="1">
      <alignment vertical="center"/>
      <protection locked="0"/>
    </xf>
    <xf numFmtId="49" fontId="17" fillId="0" borderId="0" xfId="0" applyNumberFormat="1" applyFont="1" applyAlignment="1">
      <alignment horizontal="left" vertical="top" wrapText="1"/>
    </xf>
    <xf numFmtId="0" fontId="14" fillId="0" borderId="0" xfId="0" applyFont="1" applyFill="1" applyBorder="1" applyAlignment="1">
      <alignment horizontal="left" vertical="center"/>
    </xf>
    <xf numFmtId="0" fontId="9" fillId="0" borderId="0" xfId="0" applyFont="1" applyAlignment="1" applyProtection="1">
      <alignment horizontal="left" vertical="top" wrapText="1"/>
    </xf>
    <xf numFmtId="0" fontId="30" fillId="0" borderId="10" xfId="0" applyFont="1" applyBorder="1" applyAlignment="1" applyProtection="1">
      <alignment horizontal="center" vertical="center"/>
    </xf>
    <xf numFmtId="0" fontId="31" fillId="0" borderId="10" xfId="0" applyFont="1" applyBorder="1" applyAlignment="1">
      <alignment horizontal="center" vertical="center"/>
    </xf>
    <xf numFmtId="0" fontId="35" fillId="0" borderId="10" xfId="3" applyFont="1" applyBorder="1" applyAlignment="1" applyProtection="1">
      <alignment horizontal="center" wrapText="1"/>
    </xf>
    <xf numFmtId="0" fontId="37" fillId="0" borderId="10" xfId="0" quotePrefix="1" applyFont="1" applyBorder="1" applyAlignment="1">
      <alignment horizontal="center" vertical="center" wrapText="1"/>
    </xf>
    <xf numFmtId="0" fontId="37" fillId="0" borderId="10" xfId="0" applyFont="1" applyBorder="1" applyAlignment="1">
      <alignment horizontal="center" vertical="center" wrapText="1"/>
    </xf>
    <xf numFmtId="0" fontId="37" fillId="0" borderId="10" xfId="0" quotePrefix="1" applyFont="1" applyBorder="1" applyAlignment="1">
      <alignment horizontal="center" vertical="center"/>
    </xf>
    <xf numFmtId="0" fontId="37" fillId="0" borderId="10" xfId="0" applyFont="1" applyBorder="1" applyAlignment="1">
      <alignment horizontal="center" vertical="center"/>
    </xf>
    <xf numFmtId="10" fontId="14" fillId="0" borderId="0" xfId="0" applyNumberFormat="1" applyFont="1" applyAlignment="1">
      <alignment horizontal="left" vertical="top" wrapText="1"/>
    </xf>
    <xf numFmtId="0" fontId="5" fillId="0" borderId="0" xfId="3" applyFont="1" applyAlignment="1" applyProtection="1">
      <alignment horizontal="center" vertical="center"/>
    </xf>
    <xf numFmtId="0" fontId="2" fillId="0" borderId="0" xfId="3" applyAlignment="1" applyProtection="1">
      <alignment horizontal="left" wrapText="1"/>
    </xf>
    <xf numFmtId="0" fontId="14" fillId="0" borderId="0" xfId="0" applyFont="1" applyAlignment="1">
      <alignment horizontal="center" wrapText="1"/>
    </xf>
    <xf numFmtId="0" fontId="14" fillId="11" borderId="0" xfId="0" applyFont="1" applyFill="1" applyAlignment="1">
      <alignment horizontal="center"/>
    </xf>
    <xf numFmtId="0" fontId="14" fillId="0" borderId="0" xfId="0" applyFont="1" applyAlignment="1">
      <alignment horizontal="center"/>
    </xf>
    <xf numFmtId="0" fontId="39" fillId="8" borderId="0" xfId="0" applyFont="1" applyFill="1" applyAlignment="1">
      <alignment horizontal="center"/>
    </xf>
    <xf numFmtId="0" fontId="14" fillId="11"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42" fillId="0" borderId="0" xfId="0" applyFont="1" applyAlignment="1">
      <alignment horizontal="left" vertical="top"/>
    </xf>
    <xf numFmtId="0" fontId="0" fillId="0" borderId="0" xfId="0" applyAlignment="1">
      <alignment horizontal="center" vertical="center"/>
    </xf>
  </cellXfs>
  <cellStyles count="9">
    <cellStyle name="Comma" xfId="8" builtinId="3"/>
    <cellStyle name="Currency" xfId="1" builtinId="4"/>
    <cellStyle name="Currency 3" xfId="5"/>
    <cellStyle name="Hyperlink" xfId="7" builtinId="8"/>
    <cellStyle name="Normal" xfId="0" builtinId="0"/>
    <cellStyle name="Normal 6" xfId="3"/>
    <cellStyle name="Normal_Core Model Version 0.1" xfId="6"/>
    <cellStyle name="Percent" xfId="2" builtinId="5"/>
    <cellStyle name="Percent 4" xfId="4"/>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49694</xdr:colOff>
      <xdr:row>57</xdr:row>
      <xdr:rowOff>57964</xdr:rowOff>
    </xdr:from>
    <xdr:to>
      <xdr:col>12</xdr:col>
      <xdr:colOff>124239</xdr:colOff>
      <xdr:row>63</xdr:row>
      <xdr:rowOff>8282</xdr:rowOff>
    </xdr:to>
    <xdr:sp macro="" textlink="">
      <xdr:nvSpPr>
        <xdr:cNvPr id="2" name="Text Box 50"/>
        <xdr:cNvSpPr txBox="1">
          <a:spLocks noChangeArrowheads="1"/>
        </xdr:cNvSpPr>
      </xdr:nvSpPr>
      <xdr:spPr bwMode="auto">
        <a:xfrm>
          <a:off x="49694" y="12850039"/>
          <a:ext cx="8456545" cy="1093318"/>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0</xdr:col>
      <xdr:colOff>9524</xdr:colOff>
      <xdr:row>0</xdr:row>
      <xdr:rowOff>19051</xdr:rowOff>
    </xdr:from>
    <xdr:to>
      <xdr:col>14</xdr:col>
      <xdr:colOff>12835</xdr:colOff>
      <xdr:row>10</xdr:row>
      <xdr:rowOff>38100</xdr:rowOff>
    </xdr:to>
    <xdr:grpSp>
      <xdr:nvGrpSpPr>
        <xdr:cNvPr id="3" name="Group 2"/>
        <xdr:cNvGrpSpPr/>
      </xdr:nvGrpSpPr>
      <xdr:grpSpPr>
        <a:xfrm>
          <a:off x="9524" y="19051"/>
          <a:ext cx="10147436" cy="1924049"/>
          <a:chOff x="9524" y="19051"/>
          <a:chExt cx="8857420" cy="1915766"/>
        </a:xfrm>
      </xdr:grpSpPr>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5" name="Rectangle 4"/>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1603511</xdr:colOff>
      <xdr:row>9</xdr:row>
      <xdr:rowOff>58391</xdr:rowOff>
    </xdr:to>
    <xdr:grpSp>
      <xdr:nvGrpSpPr>
        <xdr:cNvPr id="2" name="Group 1"/>
        <xdr:cNvGrpSpPr/>
      </xdr:nvGrpSpPr>
      <xdr:grpSpPr>
        <a:xfrm>
          <a:off x="0" y="0"/>
          <a:ext cx="8813936"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Burlington Hydro Inc</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1241561</xdr:colOff>
      <xdr:row>10</xdr:row>
      <xdr:rowOff>10766</xdr:rowOff>
    </xdr:to>
    <xdr:grpSp>
      <xdr:nvGrpSpPr>
        <xdr:cNvPr id="2" name="Group 1"/>
        <xdr:cNvGrpSpPr/>
      </xdr:nvGrpSpPr>
      <xdr:grpSpPr>
        <a:xfrm>
          <a:off x="0" y="0"/>
          <a:ext cx="8813936"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Burlington Hydro Inc</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absolute">
    <xdr:from>
      <xdr:col>0</xdr:col>
      <xdr:colOff>0</xdr:colOff>
      <xdr:row>13</xdr:row>
      <xdr:rowOff>9525</xdr:rowOff>
    </xdr:from>
    <xdr:to>
      <xdr:col>0</xdr:col>
      <xdr:colOff>2066925</xdr:colOff>
      <xdr:row>13</xdr:row>
      <xdr:rowOff>447675</xdr:rowOff>
    </xdr:to>
    <xdr:pic>
      <xdr:nvPicPr>
        <xdr:cNvPr id="8" name="OptionButton1">
          <a:extLst>
            <a:ext uri="{63B3BB69-23CF-44E3-9099-C40C66FF867C}">
              <a14:compatExt xmlns:a14="http://schemas.microsoft.com/office/drawing/2010/main" spid="_x0000_s16390"/>
            </a:ext>
          </a:extLst>
        </xdr:cNvPr>
        <xdr:cNvPicPr>
          <a:picLocks noChangeAspect="1"/>
        </xdr:cNvPicPr>
      </xdr:nvPicPr>
      <xdr:blipFill>
        <a:blip xmlns:r="http://schemas.openxmlformats.org/officeDocument/2006/relationships" r:embed="rId3"/>
        <a:stretch>
          <a:fillRect/>
        </a:stretch>
      </xdr:blipFill>
      <xdr:spPr>
        <a:xfrm>
          <a:off x="0" y="2562225"/>
          <a:ext cx="2066925" cy="438150"/>
        </a:xfrm>
        <a:prstGeom prst="rect">
          <a:avLst/>
        </a:prstGeom>
      </xdr:spPr>
    </xdr:pic>
    <xdr:clientData fLocksWithSheet="0"/>
  </xdr:twoCellAnchor>
  <xdr:twoCellAnchor editAs="absolute">
    <xdr:from>
      <xdr:col>0</xdr:col>
      <xdr:colOff>2228850</xdr:colOff>
      <xdr:row>13</xdr:row>
      <xdr:rowOff>47625</xdr:rowOff>
    </xdr:from>
    <xdr:to>
      <xdr:col>2</xdr:col>
      <xdr:colOff>552450</xdr:colOff>
      <xdr:row>13</xdr:row>
      <xdr:rowOff>409575</xdr:rowOff>
    </xdr:to>
    <xdr:pic>
      <xdr:nvPicPr>
        <xdr:cNvPr id="9" name="OptionButton2">
          <a:extLst>
            <a:ext uri="{63B3BB69-23CF-44E3-9099-C40C66FF867C}">
              <a14:compatExt xmlns:a14="http://schemas.microsoft.com/office/drawing/2010/main" spid="_x0000_s16391"/>
            </a:ext>
          </a:extLst>
        </xdr:cNvPr>
        <xdr:cNvPicPr>
          <a:picLocks noChangeAspect="1"/>
        </xdr:cNvPicPr>
      </xdr:nvPicPr>
      <xdr:blipFill>
        <a:blip xmlns:r="http://schemas.openxmlformats.org/officeDocument/2006/relationships" r:embed="rId4"/>
        <a:stretch>
          <a:fillRect/>
        </a:stretch>
      </xdr:blipFill>
      <xdr:spPr>
        <a:xfrm>
          <a:off x="2228850" y="2600325"/>
          <a:ext cx="1885950" cy="361950"/>
        </a:xfrm>
        <a:prstGeom prst="rect">
          <a:avLst/>
        </a:prstGeom>
      </xdr:spPr>
    </xdr:pic>
    <xdr:clientData fLocksWithSheet="0"/>
  </xdr:twoCellAnchor>
  <xdr:twoCellAnchor editAs="absolute">
    <xdr:from>
      <xdr:col>2</xdr:col>
      <xdr:colOff>561975</xdr:colOff>
      <xdr:row>13</xdr:row>
      <xdr:rowOff>0</xdr:rowOff>
    </xdr:from>
    <xdr:to>
      <xdr:col>3</xdr:col>
      <xdr:colOff>942975</xdr:colOff>
      <xdr:row>13</xdr:row>
      <xdr:rowOff>457200</xdr:rowOff>
    </xdr:to>
    <xdr:pic>
      <xdr:nvPicPr>
        <xdr:cNvPr id="10" name="OptionButton3">
          <a:extLst>
            <a:ext uri="{63B3BB69-23CF-44E3-9099-C40C66FF867C}">
              <a14:compatExt xmlns:a14="http://schemas.microsoft.com/office/drawing/2010/main" spid="_x0000_s16392"/>
            </a:ext>
          </a:extLst>
        </xdr:cNvPr>
        <xdr:cNvPicPr>
          <a:picLocks noChangeAspect="1"/>
        </xdr:cNvPicPr>
      </xdr:nvPicPr>
      <xdr:blipFill>
        <a:blip xmlns:r="http://schemas.openxmlformats.org/officeDocument/2006/relationships" r:embed="rId5"/>
        <a:stretch>
          <a:fillRect/>
        </a:stretch>
      </xdr:blipFill>
      <xdr:spPr>
        <a:xfrm>
          <a:off x="4124325" y="2552700"/>
          <a:ext cx="1704975" cy="457200"/>
        </a:xfrm>
        <a:prstGeom prst="rect">
          <a:avLst/>
        </a:prstGeom>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14</xdr:col>
      <xdr:colOff>12836</xdr:colOff>
      <xdr:row>10</xdr:row>
      <xdr:rowOff>10766</xdr:rowOff>
    </xdr:to>
    <xdr:grpSp>
      <xdr:nvGrpSpPr>
        <xdr:cNvPr id="2" name="Group 1"/>
        <xdr:cNvGrpSpPr/>
      </xdr:nvGrpSpPr>
      <xdr:grpSpPr>
        <a:xfrm>
          <a:off x="9525" y="0"/>
          <a:ext cx="9435442" cy="1844329"/>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Burlington Hydro Inc.</a:t>
            </a:r>
          </a:p>
        </xdr:txBody>
      </xdr:sp>
      <xdr:sp macro="" textlink="">
        <xdr:nvSpPr>
          <xdr:cNvPr id="5" name="Rectangle 4"/>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50936</xdr:colOff>
      <xdr:row>10</xdr:row>
      <xdr:rowOff>10766</xdr:rowOff>
    </xdr:to>
    <xdr:grpSp>
      <xdr:nvGrpSpPr>
        <xdr:cNvPr id="8" name="Group 7"/>
        <xdr:cNvGrpSpPr/>
      </xdr:nvGrpSpPr>
      <xdr:grpSpPr>
        <a:xfrm>
          <a:off x="0" y="10332"/>
          <a:ext cx="9217053" cy="181712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Burlington</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Hydro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231911</xdr:colOff>
      <xdr:row>10</xdr:row>
      <xdr:rowOff>10766</xdr:rowOff>
    </xdr:to>
    <xdr:grpSp>
      <xdr:nvGrpSpPr>
        <xdr:cNvPr id="8" name="Group 7"/>
        <xdr:cNvGrpSpPr/>
      </xdr:nvGrpSpPr>
      <xdr:grpSpPr>
        <a:xfrm>
          <a:off x="0" y="0"/>
          <a:ext cx="9299711" cy="1845671"/>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Burlington Hydro </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28575</xdr:rowOff>
    </xdr:from>
    <xdr:to>
      <xdr:col>6</xdr:col>
      <xdr:colOff>47625</xdr:colOff>
      <xdr:row>5</xdr:row>
      <xdr:rowOff>9524</xdr:rowOff>
    </xdr:to>
    <xdr:grpSp>
      <xdr:nvGrpSpPr>
        <xdr:cNvPr id="2" name="Group 1"/>
        <xdr:cNvGrpSpPr/>
      </xdr:nvGrpSpPr>
      <xdr:grpSpPr>
        <a:xfrm>
          <a:off x="66675" y="28575"/>
          <a:ext cx="10321925" cy="19367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1123950</xdr:colOff>
      <xdr:row>9</xdr:row>
      <xdr:rowOff>204787</xdr:rowOff>
    </xdr:from>
    <xdr:ext cx="6991349" cy="443006"/>
    <mc:AlternateContent xmlns:mc="http://schemas.openxmlformats.org/markup-compatibility/2006" xmlns:a14="http://schemas.microsoft.com/office/drawing/2010/main">
      <mc:Choice Requires="a14">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1" i="1">
                        <a:latin typeface="Cambria Math"/>
                      </a:rPr>
                      <m:t>𝑻𝒉𝒓𝒆𝒔𝒉𝒐𝒍𝒅</m:t>
                    </m:r>
                    <m:r>
                      <a:rPr lang="en-CA" sz="1200" b="1" i="1">
                        <a:latin typeface="Cambria Math"/>
                      </a:rPr>
                      <m:t> </m:t>
                    </m:r>
                    <m:r>
                      <a:rPr lang="en-CA" sz="1200" b="1" i="1">
                        <a:latin typeface="Cambria Math"/>
                      </a:rPr>
                      <m:t>𝑽𝒂𝒍𝒖𝒆</m:t>
                    </m:r>
                    <m:r>
                      <a:rPr lang="en-CA" sz="1200" b="1" i="1">
                        <a:latin typeface="Cambria Math"/>
                      </a:rPr>
                      <m:t> </m:t>
                    </m:r>
                    <m:d>
                      <m:dPr>
                        <m:ctrlPr>
                          <a:rPr lang="en-CA" sz="1200" b="1" i="1">
                            <a:latin typeface="Cambria Math"/>
                          </a:rPr>
                        </m:ctrlPr>
                      </m:dPr>
                      <m:e>
                        <m:r>
                          <a:rPr lang="en-CA" sz="1200" b="1" i="1">
                            <a:latin typeface="Cambria Math"/>
                          </a:rPr>
                          <m:t>%</m:t>
                        </m:r>
                      </m:e>
                    </m:d>
                    <m:r>
                      <a:rPr lang="en-CA" sz="1200" b="1" i="1">
                        <a:latin typeface="Cambria Math"/>
                      </a:rPr>
                      <m:t>=</m:t>
                    </m:r>
                    <m:r>
                      <a:rPr lang="en-CA" sz="1200" b="1" i="1">
                        <a:latin typeface="Cambria Math"/>
                      </a:rPr>
                      <m:t>𝟏</m:t>
                    </m:r>
                    <m:r>
                      <a:rPr lang="en-CA" sz="1200" b="1" i="1">
                        <a:latin typeface="Cambria Math"/>
                      </a:rPr>
                      <m:t>+</m:t>
                    </m:r>
                    <m:d>
                      <m:dPr>
                        <m:begChr m:val="["/>
                        <m:endChr m:val="]"/>
                        <m:ctrlPr>
                          <a:rPr lang="en-CA" sz="1200" b="1" i="1">
                            <a:latin typeface="Cambria Math"/>
                          </a:rPr>
                        </m:ctrlPr>
                      </m:dPr>
                      <m:e>
                        <m:d>
                          <m:dPr>
                            <m:ctrlPr>
                              <a:rPr lang="en-CA" sz="1200" b="1" i="1">
                                <a:latin typeface="Cambria Math"/>
                              </a:rPr>
                            </m:ctrlPr>
                          </m:dPr>
                          <m:e>
                            <m:f>
                              <m:fPr>
                                <m:ctrlPr>
                                  <a:rPr lang="en-CA" sz="1200" b="1" i="1">
                                    <a:latin typeface="Cambria Math"/>
                                  </a:rPr>
                                </m:ctrlPr>
                              </m:fPr>
                              <m:num>
                                <m:r>
                                  <a:rPr lang="en-CA" sz="1200" b="1" i="1">
                                    <a:latin typeface="Cambria Math"/>
                                  </a:rPr>
                                  <m:t>𝑹𝑩</m:t>
                                </m:r>
                              </m:num>
                              <m:den>
                                <m:r>
                                  <a:rPr lang="en-CA" sz="1200" b="1" i="1">
                                    <a:latin typeface="Cambria Math"/>
                                  </a:rPr>
                                  <m:t>𝒅</m:t>
                                </m:r>
                              </m:den>
                            </m:f>
                          </m:e>
                        </m:d>
                        <m:r>
                          <a:rPr lang="en-CA" sz="1200" b="1" i="1">
                            <a:latin typeface="Cambria Math"/>
                            <a:ea typeface="Cambria Math"/>
                          </a:rPr>
                          <m:t>×</m:t>
                        </m:r>
                        <m:d>
                          <m:dPr>
                            <m:ctrlPr>
                              <a:rPr lang="en-CA" sz="1200" b="1" i="1">
                                <a:latin typeface="Cambria Math"/>
                                <a:ea typeface="Cambria Math"/>
                              </a:rPr>
                            </m:ctrlPr>
                          </m:dPr>
                          <m:e>
                            <m:r>
                              <a:rPr lang="en-CA" sz="1200" b="1" i="1">
                                <a:latin typeface="Cambria Math"/>
                                <a:ea typeface="Cambria Math"/>
                              </a:rPr>
                              <m:t>𝒈</m:t>
                            </m:r>
                            <m:r>
                              <a:rPr lang="en-CA" sz="1200" b="1" i="1">
                                <a:latin typeface="Cambria Math"/>
                                <a:ea typeface="Cambria Math"/>
                              </a:rPr>
                              <m:t>+</m:t>
                            </m:r>
                            <m:r>
                              <a:rPr lang="en-CA" sz="1200" b="1" i="1">
                                <a:latin typeface="Cambria Math"/>
                                <a:ea typeface="Cambria Math"/>
                              </a:rPr>
                              <m:t>𝑷𝑪𝑰</m:t>
                            </m:r>
                            <m:r>
                              <a:rPr lang="en-CA" sz="1200" b="1" i="1">
                                <a:latin typeface="Cambria Math"/>
                                <a:ea typeface="Cambria Math"/>
                              </a:rPr>
                              <m:t>×(</m:t>
                            </m:r>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r>
                              <a:rPr lang="en-CA" sz="1200" b="1" i="1">
                                <a:latin typeface="Cambria Math"/>
                                <a:ea typeface="Cambria Math"/>
                              </a:rPr>
                              <m:t>)</m:t>
                            </m:r>
                          </m:e>
                        </m:d>
                      </m:e>
                    </m:d>
                    <m:r>
                      <a:rPr lang="en-CA" sz="1200" b="1" i="1">
                        <a:latin typeface="Cambria Math"/>
                        <a:ea typeface="Cambria Math"/>
                      </a:rPr>
                      <m:t>×</m:t>
                    </m:r>
                    <m:d>
                      <m:dPr>
                        <m:ctrlPr>
                          <a:rPr lang="en-CA" sz="1200" b="1" i="1">
                            <a:latin typeface="Cambria Math"/>
                            <a:ea typeface="Cambria Math"/>
                          </a:rPr>
                        </m:ctrlPr>
                      </m:dPr>
                      <m:e>
                        <m:d>
                          <m:dPr>
                            <m:ctrlPr>
                              <a:rPr lang="en-CA" sz="1200" b="1" i="1">
                                <a:latin typeface="Cambria Math"/>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e>
                        </m:d>
                        <m:r>
                          <a:rPr lang="en-CA" sz="1200" b="1" i="1">
                            <a:latin typeface="Cambria Math"/>
                            <a:ea typeface="Cambria Math"/>
                          </a:rPr>
                          <m:t>×</m:t>
                        </m:r>
                        <m:d>
                          <m:dPr>
                            <m:ctrlPr>
                              <a:rPr lang="en-CA" sz="1200" b="1" i="1">
                                <a:latin typeface="Cambria Math"/>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𝑷𝑪𝑰</m:t>
                            </m:r>
                          </m:e>
                        </m:d>
                      </m:e>
                    </m:d>
                    <m:r>
                      <a:rPr lang="en-CA" sz="1200" b="1" i="1" baseline="30000">
                        <a:latin typeface="Cambria Math"/>
                        <a:ea typeface="Cambria Math"/>
                      </a:rPr>
                      <m:t>𝒏</m:t>
                    </m:r>
                    <m:r>
                      <a:rPr lang="en-CA" sz="1200" b="1" i="1" baseline="30000">
                        <a:latin typeface="Cambria Math"/>
                        <a:ea typeface="Cambria Math"/>
                      </a:rPr>
                      <m:t> _ </m:t>
                    </m:r>
                    <m:r>
                      <a:rPr lang="en-CA" sz="1200" b="1" i="1" baseline="30000">
                        <a:latin typeface="Cambria Math"/>
                        <a:ea typeface="Cambria Math"/>
                      </a:rPr>
                      <m:t>𝟏</m:t>
                    </m:r>
                    <m:r>
                      <a:rPr lang="en-CA" sz="1200" b="1" i="1">
                        <a:latin typeface="Cambria Math"/>
                      </a:rPr>
                      <m:t>+</m:t>
                    </m:r>
                    <m:r>
                      <a:rPr lang="en-CA" sz="1200" b="1" i="1">
                        <a:latin typeface="Cambria Math"/>
                      </a:rPr>
                      <m:t>𝟏𝟎</m:t>
                    </m:r>
                    <m:r>
                      <a:rPr lang="en-CA" sz="1200" b="1" i="1">
                        <a:latin typeface="Cambria Math"/>
                      </a:rPr>
                      <m:t>%</m:t>
                    </m:r>
                  </m:oMath>
                </m:oMathPara>
              </a14:m>
              <a:endParaRPr lang="en-CA" sz="1200" b="1"/>
            </a:p>
          </xdr:txBody>
        </xdr:sp>
      </mc:Choice>
      <mc:Fallback xmlns="">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1" i="0">
                  <a:latin typeface="Cambria Math"/>
                </a:rPr>
                <a:t>𝑻𝒉𝒓𝒆𝒔𝒉𝒐𝒍𝒅 𝑽𝒂𝒍𝒖𝒆 (%)=𝟏+[(𝑹𝑩/𝒅)</a:t>
              </a:r>
              <a:r>
                <a:rPr lang="en-CA" sz="1200" b="1" i="0">
                  <a:latin typeface="Cambria Math"/>
                  <a:ea typeface="Cambria Math"/>
                </a:rPr>
                <a:t>×(𝒈+𝑷𝑪𝑰×(𝟏+𝒈))]×((𝟏+𝒈)×(𝟏+𝑷𝑪𝑰))</a:t>
              </a:r>
              <a:r>
                <a:rPr lang="en-CA" sz="1200" b="1" i="0" baseline="30000">
                  <a:latin typeface="Cambria Math"/>
                  <a:ea typeface="Cambria Math"/>
                </a:rPr>
                <a:t>𝒏 _ 𝟏</a:t>
              </a:r>
              <a:r>
                <a:rPr lang="en-CA" sz="1200" b="1" i="0">
                  <a:latin typeface="Cambria Math"/>
                </a:rPr>
                <a:t>+𝟏𝟎%</a:t>
              </a:r>
              <a:endParaRPr lang="en-CA" sz="1200" b="1"/>
            </a:p>
          </xdr:txBody>
        </xdr:sp>
      </mc:Fallback>
    </mc:AlternateContent>
    <xdr:clientData/>
  </xdr:oneCellAnchor>
  <xdr:oneCellAnchor>
    <xdr:from>
      <xdr:col>5</xdr:col>
      <xdr:colOff>90487</xdr:colOff>
      <xdr:row>14</xdr:row>
      <xdr:rowOff>147637</xdr:rowOff>
    </xdr:from>
    <xdr:ext cx="1176338" cy="280205"/>
    <mc:AlternateContent xmlns:mc="http://schemas.openxmlformats.org/markup-compatibility/2006" xmlns:a14="http://schemas.microsoft.com/office/drawing/2010/main">
      <mc:Choice Requires="a14">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𝑃𝐶𝐼</m:t>
                    </m:r>
                  </m:oMath>
                </m:oMathPara>
              </a14:m>
              <a:endParaRPr lang="en-CA" sz="1200"/>
            </a:p>
          </xdr:txBody>
        </xdr:sp>
      </mc:Choice>
      <mc:Fallback xmlns="">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𝑃𝐶𝐼</a:t>
              </a:r>
              <a:endParaRPr lang="en-CA" sz="1200"/>
            </a:p>
          </xdr:txBody>
        </xdr:sp>
      </mc:Fallback>
    </mc:AlternateContent>
    <xdr:clientData/>
  </xdr:oneCellAnchor>
  <xdr:oneCellAnchor>
    <xdr:from>
      <xdr:col>5</xdr:col>
      <xdr:colOff>147636</xdr:colOff>
      <xdr:row>18</xdr:row>
      <xdr:rowOff>138112</xdr:rowOff>
    </xdr:from>
    <xdr:ext cx="1071563" cy="280205"/>
    <mc:AlternateContent xmlns:mc="http://schemas.openxmlformats.org/markup-compatibility/2006" xmlns:a14="http://schemas.microsoft.com/office/drawing/2010/main">
      <mc:Choice Requires="a14">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𝑔</m:t>
                    </m:r>
                    <m:r>
                      <a:rPr lang="en-CA" sz="1200" b="0" i="1">
                        <a:latin typeface="Cambria Math"/>
                      </a:rPr>
                      <m:t> (</m:t>
                    </m:r>
                    <m:r>
                      <a:rPr lang="en-CA" sz="1200" b="0" i="1">
                        <a:latin typeface="Cambria Math"/>
                      </a:rPr>
                      <m:t>𝑁𝑜𝑡𝑒</m:t>
                    </m:r>
                    <m:r>
                      <a:rPr lang="en-CA" sz="1200" b="0" i="1">
                        <a:latin typeface="Cambria Math"/>
                      </a:rPr>
                      <m:t> 1)</m:t>
                    </m:r>
                  </m:oMath>
                </m:oMathPara>
              </a14:m>
              <a:endParaRPr lang="en-CA" sz="1200"/>
            </a:p>
          </xdr:txBody>
        </xdr:sp>
      </mc:Choice>
      <mc:Fallback xmlns="">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𝑔 (𝑁𝑜𝑡𝑒 1)</a:t>
              </a:r>
              <a:endParaRPr lang="en-CA" sz="1200"/>
            </a:p>
          </xdr:txBody>
        </xdr:sp>
      </mc:Fallback>
    </mc:AlternateContent>
    <xdr:clientData/>
  </xdr:oneCellAnchor>
  <xdr:oneCellAnchor>
    <xdr:from>
      <xdr:col>5</xdr:col>
      <xdr:colOff>157162</xdr:colOff>
      <xdr:row>47</xdr:row>
      <xdr:rowOff>166687</xdr:rowOff>
    </xdr:from>
    <xdr:ext cx="1166813" cy="280205"/>
    <mc:AlternateContent xmlns:mc="http://schemas.openxmlformats.org/markup-compatibility/2006" xmlns:a14="http://schemas.microsoft.com/office/drawing/2010/main">
      <mc:Choice Requires="a14">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𝑅𝐵</m:t>
                    </m:r>
                  </m:oMath>
                </m:oMathPara>
              </a14:m>
              <a:endParaRPr lang="en-CA" sz="1200"/>
            </a:p>
          </xdr:txBody>
        </xdr:sp>
      </mc:Choice>
      <mc:Fallback xmlns="">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𝑅𝐵</a:t>
              </a:r>
              <a:endParaRPr lang="en-CA" sz="1200"/>
            </a:p>
          </xdr:txBody>
        </xdr:sp>
      </mc:Fallback>
    </mc:AlternateContent>
    <xdr:clientData/>
  </xdr:oneCellAnchor>
  <xdr:oneCellAnchor>
    <xdr:from>
      <xdr:col>5</xdr:col>
      <xdr:colOff>100012</xdr:colOff>
      <xdr:row>49</xdr:row>
      <xdr:rowOff>138112</xdr:rowOff>
    </xdr:from>
    <xdr:ext cx="1233488" cy="280205"/>
    <mc:AlternateContent xmlns:mc="http://schemas.openxmlformats.org/markup-compatibility/2006" xmlns:a14="http://schemas.microsoft.com/office/drawing/2010/main">
      <mc:Choice Requires="a14">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𝑑</m:t>
                    </m:r>
                  </m:oMath>
                </m:oMathPara>
              </a14:m>
              <a:endParaRPr lang="en-CA" sz="1200"/>
            </a:p>
          </xdr:txBody>
        </xdr:sp>
      </mc:Choice>
      <mc:Fallback xmlns="">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𝑑</a:t>
              </a:r>
              <a:endParaRPr lang="en-CA" sz="1200"/>
            </a:p>
          </xdr:txBody>
        </xdr:sp>
      </mc:Fallback>
    </mc:AlternateContent>
    <xdr:clientData/>
  </xdr:oneCellAnchor>
  <xdr:oneCellAnchor>
    <xdr:from>
      <xdr:col>5</xdr:col>
      <xdr:colOff>119062</xdr:colOff>
      <xdr:row>58</xdr:row>
      <xdr:rowOff>161926</xdr:rowOff>
    </xdr:from>
    <xdr:ext cx="1671638" cy="294492"/>
    <mc:AlternateContent xmlns:mc="http://schemas.openxmlformats.org/markup-compatibility/2006" xmlns:a14="http://schemas.microsoft.com/office/drawing/2010/main">
      <mc:Choice Requires="a14">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𝑇h𝑟𝑒𝑠h𝑜𝑙𝑑</m:t>
                    </m:r>
                    <m:r>
                      <a:rPr lang="en-CA" sz="1200" b="0" i="1">
                        <a:latin typeface="Cambria Math"/>
                      </a:rPr>
                      <m:t> </m:t>
                    </m:r>
                    <m:r>
                      <a:rPr lang="en-CA" sz="1200" b="0" i="1">
                        <a:latin typeface="Cambria Math"/>
                      </a:rPr>
                      <m:t>𝑉𝑎𝑙𝑢𝑒</m:t>
                    </m:r>
                    <m:r>
                      <a:rPr lang="en-CA" sz="1200" b="0" i="1">
                        <a:latin typeface="Cambria Math"/>
                      </a:rPr>
                      <m:t> ×</m:t>
                    </m:r>
                    <m:r>
                      <a:rPr lang="en-CA" sz="1200" b="0" i="1">
                        <a:latin typeface="Cambria Math"/>
                        <a:ea typeface="Cambria Math"/>
                      </a:rPr>
                      <m:t>𝑑</m:t>
                    </m:r>
                  </m:oMath>
                </m:oMathPara>
              </a14:m>
              <a:endParaRPr lang="en-CA" sz="1200"/>
            </a:p>
          </xdr:txBody>
        </xdr:sp>
      </mc:Choice>
      <mc:Fallback xmlns="">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CA" sz="1200" b="0" i="0">
                  <a:latin typeface="Cambria Math"/>
                </a:rPr>
                <a:t>𝑇ℎ𝑟𝑒𝑠ℎ𝑜𝑙𝑑 𝑉𝑎𝑙𝑢𝑒 ×</a:t>
              </a:r>
              <a:r>
                <a:rPr lang="en-CA" sz="1200" b="0" i="0">
                  <a:latin typeface="Cambria Math"/>
                  <a:ea typeface="Cambria Math"/>
                </a:rPr>
                <a:t>𝑑</a:t>
              </a:r>
              <a:endParaRPr lang="en-CA" sz="1200"/>
            </a:p>
          </xdr:txBody>
        </xdr:sp>
      </mc:Fallback>
    </mc:AlternateContent>
    <xdr:clientData/>
  </xdr:oneCellAnchor>
  <xdr:oneCellAnchor>
    <xdr:from>
      <xdr:col>5</xdr:col>
      <xdr:colOff>90487</xdr:colOff>
      <xdr:row>12</xdr:row>
      <xdr:rowOff>223837</xdr:rowOff>
    </xdr:from>
    <xdr:ext cx="1176338" cy="280205"/>
    <mc:AlternateContent xmlns:mc="http://schemas.openxmlformats.org/markup-compatibility/2006" xmlns:a14="http://schemas.microsoft.com/office/drawing/2010/main">
      <mc:Choice Requires="a14">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𝑛</m:t>
                    </m:r>
                  </m:oMath>
                </m:oMathPara>
              </a14:m>
              <a:endParaRPr lang="en-CA" sz="1200" b="0"/>
            </a:p>
          </xdr:txBody>
        </xdr:sp>
      </mc:Choice>
      <mc:Fallback xmlns="">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𝑛</a:t>
              </a:r>
              <a:endParaRPr lang="en-CA" sz="1200" b="0"/>
            </a:p>
          </xdr:txBody>
        </xdr:sp>
      </mc:Fallback>
    </mc:AlternateContent>
    <xdr:clientData/>
  </xdr:oneCellAnchor>
  <xdr:twoCellAnchor>
    <xdr:from>
      <xdr:col>0</xdr:col>
      <xdr:colOff>0</xdr:colOff>
      <xdr:row>0</xdr:row>
      <xdr:rowOff>0</xdr:rowOff>
    </xdr:from>
    <xdr:to>
      <xdr:col>5</xdr:col>
      <xdr:colOff>2013086</xdr:colOff>
      <xdr:row>7</xdr:row>
      <xdr:rowOff>171450</xdr:rowOff>
    </xdr:to>
    <xdr:grpSp>
      <xdr:nvGrpSpPr>
        <xdr:cNvPr id="15" name="Group 14"/>
        <xdr:cNvGrpSpPr/>
      </xdr:nvGrpSpPr>
      <xdr:grpSpPr>
        <a:xfrm>
          <a:off x="0" y="0"/>
          <a:ext cx="8813936" cy="1657350"/>
          <a:chOff x="200024" y="4499942"/>
          <a:chExt cx="8857420" cy="1915766"/>
        </a:xfrm>
      </xdr:grpSpPr>
      <xdr:pic>
        <xdr:nvPicPr>
          <xdr:cNvPr id="16" name="Picture 1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7" name="TextBox 16"/>
          <xdr:cNvSpPr txBox="1"/>
        </xdr:nvSpPr>
        <xdr:spPr>
          <a:xfrm>
            <a:off x="372171" y="5860978"/>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Burlington</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Hydro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8" name="Rectangle 17"/>
          <xdr:cNvSpPr/>
        </xdr:nvSpPr>
        <xdr:spPr>
          <a:xfrm>
            <a:off x="362082" y="4635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9" name="Pictur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19"/>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266700</xdr:colOff>
      <xdr:row>10</xdr:row>
      <xdr:rowOff>19049</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363200" cy="1924049"/>
        </a:xfrm>
        <a:prstGeom prst="rect">
          <a:avLst/>
        </a:prstGeom>
        <a:ln>
          <a:noFill/>
        </a:ln>
        <a:effectLst>
          <a:softEdge rad="112500"/>
        </a:effectLst>
      </xdr:spPr>
    </xdr:pic>
    <xdr:clientData/>
  </xdr:twoCellAnchor>
  <xdr:twoCellAnchor>
    <xdr:from>
      <xdr:col>0</xdr:col>
      <xdr:colOff>174720</xdr:colOff>
      <xdr:row>2</xdr:row>
      <xdr:rowOff>85470</xdr:rowOff>
    </xdr:from>
    <xdr:to>
      <xdr:col>6</xdr:col>
      <xdr:colOff>130079</xdr:colOff>
      <xdr:row>5</xdr:row>
      <xdr:rowOff>62963</xdr:rowOff>
    </xdr:to>
    <xdr:sp macro="" textlink="">
      <xdr:nvSpPr>
        <xdr:cNvPr id="7" name="Rectangle 6"/>
        <xdr:cNvSpPr/>
      </xdr:nvSpPr>
      <xdr:spPr>
        <a:xfrm>
          <a:off x="174720" y="466470"/>
          <a:ext cx="10051859" cy="5489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180975</xdr:colOff>
      <xdr:row>0</xdr:row>
      <xdr:rowOff>166491</xdr:rowOff>
    </xdr:from>
    <xdr:to>
      <xdr:col>0</xdr:col>
      <xdr:colOff>534432</xdr:colOff>
      <xdr:row>2</xdr:row>
      <xdr:rowOff>80666</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80975" y="166491"/>
          <a:ext cx="353457" cy="29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490183</xdr:colOff>
      <xdr:row>0</xdr:row>
      <xdr:rowOff>142875</xdr:rowOff>
    </xdr:from>
    <xdr:to>
      <xdr:col>0</xdr:col>
      <xdr:colOff>2835670</xdr:colOff>
      <xdr:row>2</xdr:row>
      <xdr:rowOff>24348</xdr:rowOff>
    </xdr:to>
    <xdr:sp macro="" textlink="">
      <xdr:nvSpPr>
        <xdr:cNvPr id="9" name="Rectangle 8"/>
        <xdr:cNvSpPr/>
      </xdr:nvSpPr>
      <xdr:spPr>
        <a:xfrm>
          <a:off x="490183" y="142875"/>
          <a:ext cx="2345487" cy="262473"/>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Z-Sally%20files\ICM_IRM\2017_Capital_Module_ACM_Model_Enersource_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2019%20IRM%20Application/ICM/2017%20Distribution%20Revenue%20(4080)%20-%20OEB%20Annual%20Fil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ations/2019%20IRM%20Application/ICM/ICM%20Model/Burlington%20Hydro_AttE-%20Chapter2_Appendices_2014050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ations/2019%20IRM%20Application/ICM/ICM%20Model/Burlington%20Hydro_AttJBurlington%20Hydro_RRWF_201405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blackwell\AppData\Local\Microsoft\Windows\Temporary%20Internet%20Files\Content.IE5\9KFJRQER\Burlington%20Hydro_AttM-EB-2013-0115%20Cost%20Allocation%20Model-201405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ations/2019%20IRM%20Application/ICM/ICM%20Model/Burlington%20Hydro_AttM-EB-2013-0115%20Cost%20Allocation%20Model-2014050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pplications/2019%20IRM%20Application/Tables/tables%202018%20IRM%20Application%20Jul%2030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3. Rate Class Selection"/>
      <sheetName val="4. Growth Factor - NUM_CALC1"/>
      <sheetName val="5. Growth Factor - NUM_CALC2"/>
      <sheetName val="6. Rev_Requ_Check"/>
      <sheetName val="7. Growth Factor - DEN_CALC1"/>
      <sheetName val="8. Revenue Proportions"/>
      <sheetName val="9. Threshold Test"/>
      <sheetName val="10b. Proposed ACM ICM Projects"/>
      <sheetName val="11. Incremental Capital Adj."/>
      <sheetName val="12. Opt 1-Rate Rider Calc F &amp; V"/>
    </sheetNames>
    <sheetDataSet>
      <sheetData sheetId="0">
        <row r="12">
          <cell r="A12" t="str">
            <v>Note:  Depending on the selections made below, certain worksheets in this workbook will be hidden.</v>
          </cell>
        </row>
        <row r="26">
          <cell r="A26" t="str">
            <v>Is this Capital Module being filed in a CoS or 
Price-Cap IR Application?</v>
          </cell>
        </row>
        <row r="28">
          <cell r="A28" t="str">
            <v>Indicate the Price-Cap IR Year (1, 2, 3, 4, etc) in which Alectra Utilities Corporation - Enersource Hydro Mississauga Inc. is applying:</v>
          </cell>
        </row>
        <row r="30">
          <cell r="A30" t="str">
            <v>For which Rate Year is Alectra Utilities Corporation - Enersource Hydro Mississauga Inc. seeking approval for its CoS application?</v>
          </cell>
        </row>
        <row r="34">
          <cell r="A34" t="str">
            <v>Last Rebasing Year:</v>
          </cell>
        </row>
        <row r="36">
          <cell r="A36" t="str">
            <v>Last COS OEB Application Number</v>
          </cell>
        </row>
        <row r="37">
          <cell r="A37">
            <v>0</v>
          </cell>
        </row>
        <row r="38">
          <cell r="A38" t="str">
            <v>The most recent complete year for which actual billing and load data exists</v>
          </cell>
        </row>
        <row r="39">
          <cell r="A39">
            <v>0</v>
          </cell>
        </row>
        <row r="48">
          <cell r="A48" t="str">
            <v>Based on the inputs above, the growth factor utilized in the Materiality Threshold Calculation will be determined by:</v>
          </cell>
        </row>
        <row r="49">
          <cell r="A49">
            <v>0</v>
          </cell>
        </row>
        <row r="50">
          <cell r="A50">
            <v>0</v>
          </cell>
        </row>
        <row r="66">
          <cell r="A66" t="str">
            <v>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v>
          </cell>
        </row>
        <row r="93">
          <cell r="A93">
            <v>0</v>
          </cell>
        </row>
        <row r="94">
          <cell r="A94">
            <v>0</v>
          </cell>
        </row>
        <row r="95">
          <cell r="A95" t="str">
            <v>RY</v>
          </cell>
        </row>
        <row r="96">
          <cell r="A96" t="str">
            <v>LY ACTUALS</v>
          </cell>
        </row>
        <row r="97">
          <cell r="A97" t="str">
            <v>LAST COS</v>
          </cell>
        </row>
        <row r="98">
          <cell r="A98">
            <v>0</v>
          </cell>
        </row>
        <row r="99">
          <cell r="A99" t="str">
            <v>Growth</v>
          </cell>
        </row>
        <row r="100">
          <cell r="A100" t="str">
            <v>Numerator</v>
          </cell>
        </row>
        <row r="101">
          <cell r="A101" t="str">
            <v>Denominator</v>
          </cell>
        </row>
        <row r="102">
          <cell r="A102" t="str">
            <v>Annualized?</v>
          </cell>
        </row>
        <row r="103">
          <cell r="A103" t="str">
            <v>Divisor to Annulized</v>
          </cell>
        </row>
        <row r="104">
          <cell r="A104">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5 OEB Schedule"/>
    </sheetNames>
    <sheetDataSet>
      <sheetData sheetId="0">
        <row r="39">
          <cell r="B39">
            <v>12966117.130000001</v>
          </cell>
          <cell r="C39">
            <v>4973506.5199999996</v>
          </cell>
        </row>
        <row r="40">
          <cell r="B40">
            <v>1654731.36</v>
          </cell>
          <cell r="C40">
            <v>2435258.98</v>
          </cell>
        </row>
        <row r="41">
          <cell r="B41">
            <v>64237.48</v>
          </cell>
          <cell r="C41">
            <v>50000.54</v>
          </cell>
        </row>
        <row r="42">
          <cell r="B42">
            <v>718130.49</v>
          </cell>
          <cell r="C42">
            <v>7168287.2999999998</v>
          </cell>
        </row>
        <row r="43">
          <cell r="B43">
            <v>113085.63</v>
          </cell>
          <cell r="C43">
            <v>120289.42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sheetData sheetId="2"/>
      <sheetData sheetId="3"/>
      <sheetData sheetId="4"/>
      <sheetData sheetId="5"/>
      <sheetData sheetId="6">
        <row r="59">
          <cell r="D59">
            <v>242255337</v>
          </cell>
          <cell r="E59">
            <v>7730045</v>
          </cell>
          <cell r="F59">
            <v>0</v>
          </cell>
          <cell r="I59">
            <v>-139112890</v>
          </cell>
          <cell r="J59">
            <v>-4510060</v>
          </cell>
        </row>
        <row r="60">
          <cell r="J60">
            <v>384026.37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Data_Input_Sheet"/>
      <sheetName val="4. Rate_Base"/>
      <sheetName val="5. Utility Income"/>
      <sheetName val="6. Taxes_PILs"/>
      <sheetName val="7. Cost_of_Capital"/>
      <sheetName val="8. Rev_Def_Suff"/>
      <sheetName val="9. Rev_Reqt"/>
    </sheetNames>
    <sheetDataSet>
      <sheetData sheetId="0"/>
      <sheetData sheetId="1"/>
      <sheetData sheetId="2">
        <row r="28">
          <cell r="U28">
            <v>817981</v>
          </cell>
        </row>
        <row r="29">
          <cell r="U29">
            <v>241000</v>
          </cell>
        </row>
        <row r="30">
          <cell r="U30">
            <v>625033</v>
          </cell>
        </row>
        <row r="31">
          <cell r="U31">
            <v>317000</v>
          </cell>
        </row>
      </sheetData>
      <sheetData sheetId="3">
        <row r="26">
          <cell r="W26">
            <v>208278793</v>
          </cell>
        </row>
      </sheetData>
      <sheetData sheetId="4">
        <row r="22">
          <cell r="V22">
            <v>17687000</v>
          </cell>
        </row>
        <row r="23">
          <cell r="V23">
            <v>4126033.91</v>
          </cell>
        </row>
        <row r="24">
          <cell r="V24">
            <v>273559</v>
          </cell>
        </row>
        <row r="35">
          <cell r="V35">
            <v>211145.67786013972</v>
          </cell>
        </row>
      </sheetData>
      <sheetData sheetId="5"/>
      <sheetData sheetId="6">
        <row r="49">
          <cell r="L49">
            <v>4.7300000000000002E-2</v>
          </cell>
        </row>
        <row r="50">
          <cell r="L50">
            <v>2.1100000000000001E-2</v>
          </cell>
        </row>
        <row r="54">
          <cell r="L54">
            <v>9.3600000000000003E-2</v>
          </cell>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0">
          <cell r="C40">
            <v>571049.13600000006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sheetData sheetId="1"/>
      <sheetData sheetId="2"/>
      <sheetData sheetId="3"/>
      <sheetData sheetId="4"/>
      <sheetData sheetId="5"/>
      <sheetData sheetId="6"/>
      <sheetData sheetId="7">
        <row r="25">
          <cell r="D25">
            <v>553858289</v>
          </cell>
          <cell r="E25">
            <v>173842956</v>
          </cell>
          <cell r="L25">
            <v>3151827</v>
          </cell>
        </row>
        <row r="26">
          <cell r="F26">
            <v>2451173</v>
          </cell>
          <cell r="J26">
            <v>30525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3-memo"/>
      <sheetName val="Table 14 Settlemnt"/>
      <sheetName val="Table 15 Settlemnt"/>
      <sheetName val="Table 16-1595"/>
      <sheetName val="Table 17-LRAM"/>
      <sheetName val="Table 18-LRAM"/>
      <sheetName val="Table 19-LRAM"/>
      <sheetName val="Table 20-LRAM"/>
      <sheetName val="Table 21- ICM"/>
      <sheetName val="Table 22-ICM"/>
      <sheetName val="Table 23-ICM"/>
      <sheetName val="Table 24-ICM"/>
      <sheetName val="Table 25-ICM"/>
      <sheetName val="Table 26-ICM"/>
      <sheetName val="Table 27-ICM"/>
      <sheetName val="Table 28-ICM"/>
      <sheetName val="Table 29-ICM"/>
      <sheetName val="Table 30-ICM"/>
      <sheetName val="Table 31-ICM"/>
      <sheetName val="Table 32"/>
      <sheetName val="Table 33"/>
      <sheetName val="Table 34-me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0">
          <cell r="I10">
            <v>10488184</v>
          </cell>
          <cell r="J10">
            <v>12726287</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blackwell@burlington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7"/>
  <sheetViews>
    <sheetView showGridLines="0" tabSelected="1" workbookViewId="0">
      <selection activeCell="K18" sqref="K18"/>
    </sheetView>
  </sheetViews>
  <sheetFormatPr defaultColWidth="9.140625" defaultRowHeight="15" x14ac:dyDescent="0.25"/>
  <cols>
    <col min="1" max="1" width="13.28515625" style="34" customWidth="1"/>
    <col min="2" max="2" width="13.5703125" style="34" customWidth="1"/>
    <col min="3" max="3" width="9.140625" style="34"/>
    <col min="4" max="4" width="10.28515625" style="34" customWidth="1"/>
    <col min="5" max="5" width="9.140625" style="34" customWidth="1"/>
    <col min="6" max="6" width="9.140625" style="34"/>
    <col min="7" max="7" width="13.28515625" style="34" customWidth="1"/>
    <col min="8" max="8" width="11.28515625" style="34" customWidth="1"/>
    <col min="9" max="9" width="9.140625" style="34"/>
    <col min="10" max="10" width="13" style="34" customWidth="1"/>
    <col min="11" max="12" width="9.140625" style="34"/>
    <col min="13" max="13" width="13.42578125" style="34" customWidth="1"/>
    <col min="14" max="26" width="9.140625" style="34"/>
    <col min="27" max="27" width="0" style="34" hidden="1" customWidth="1"/>
    <col min="28" max="16384" width="9.140625" style="34"/>
  </cols>
  <sheetData>
    <row r="1" spans="1:27" x14ac:dyDescent="0.25">
      <c r="U1" s="35" t="s">
        <v>36</v>
      </c>
      <c r="AA1" s="34" t="str">
        <f>IF(OR(F16="", F16="(if applicable)"), F14, F14 &amp; " - " &amp; F16)</f>
        <v>Burlington Hydro Inc</v>
      </c>
    </row>
    <row r="11" spans="1:27" x14ac:dyDescent="0.25">
      <c r="G11" s="36"/>
    </row>
    <row r="12" spans="1:27" x14ac:dyDescent="0.25">
      <c r="A12" s="37" t="s">
        <v>37</v>
      </c>
      <c r="B12" s="38"/>
      <c r="C12" s="38"/>
      <c r="D12" s="38"/>
      <c r="E12" s="38"/>
      <c r="F12" s="38"/>
      <c r="G12" s="36"/>
      <c r="M12" s="39" t="s">
        <v>38</v>
      </c>
      <c r="N12" s="40">
        <v>4</v>
      </c>
    </row>
    <row r="13" spans="1:27" ht="15.75" thickBot="1" x14ac:dyDescent="0.3">
      <c r="G13" s="36"/>
    </row>
    <row r="14" spans="1:27" ht="16.5" customHeight="1" thickTop="1" thickBot="1" x14ac:dyDescent="0.3">
      <c r="E14" s="41" t="s">
        <v>39</v>
      </c>
      <c r="F14" s="371" t="s">
        <v>308</v>
      </c>
      <c r="G14" s="372"/>
      <c r="H14" s="372"/>
      <c r="I14" s="372"/>
      <c r="J14" s="372"/>
      <c r="K14" s="372"/>
      <c r="L14" s="373"/>
    </row>
    <row r="15" spans="1:27" ht="15.75" thickBot="1" x14ac:dyDescent="0.3">
      <c r="E15" s="42"/>
      <c r="F15" s="43"/>
      <c r="G15" s="44"/>
      <c r="H15" s="43"/>
      <c r="I15" s="43"/>
      <c r="J15" s="43"/>
    </row>
    <row r="16" spans="1:27" ht="16.5" thickTop="1" thickBot="1" x14ac:dyDescent="0.3">
      <c r="E16" s="45" t="s">
        <v>40</v>
      </c>
      <c r="F16" s="374"/>
      <c r="G16" s="375"/>
      <c r="H16" s="375"/>
      <c r="I16" s="375"/>
      <c r="J16" s="376"/>
    </row>
    <row r="17" spans="1:13" ht="15.75" thickBot="1" x14ac:dyDescent="0.3">
      <c r="E17" s="46"/>
    </row>
    <row r="18" spans="1:13" ht="16.5" thickTop="1" thickBot="1" x14ac:dyDescent="0.3">
      <c r="E18" s="45" t="s">
        <v>41</v>
      </c>
      <c r="F18" s="377" t="s">
        <v>321</v>
      </c>
      <c r="G18" s="378"/>
      <c r="H18" s="378"/>
      <c r="I18" s="378"/>
      <c r="J18" s="379"/>
    </row>
    <row r="19" spans="1:13" ht="15.75" thickBot="1" x14ac:dyDescent="0.3">
      <c r="E19" s="46"/>
    </row>
    <row r="20" spans="1:13" ht="16.5" thickTop="1" thickBot="1" x14ac:dyDescent="0.3">
      <c r="E20" s="45" t="s">
        <v>42</v>
      </c>
      <c r="F20" s="377" t="s">
        <v>318</v>
      </c>
      <c r="G20" s="378"/>
      <c r="H20" s="378"/>
      <c r="I20" s="378"/>
      <c r="J20" s="379"/>
      <c r="M20" s="47"/>
    </row>
    <row r="21" spans="1:13" ht="15.75" thickBot="1" x14ac:dyDescent="0.3">
      <c r="E21" s="48"/>
      <c r="F21" s="43"/>
      <c r="G21" s="44"/>
      <c r="H21" s="43"/>
      <c r="I21" s="43"/>
      <c r="J21" s="43"/>
    </row>
    <row r="22" spans="1:13" ht="16.5" thickTop="1" thickBot="1" x14ac:dyDescent="0.3">
      <c r="E22" s="41" t="s">
        <v>43</v>
      </c>
      <c r="F22" s="377" t="s">
        <v>319</v>
      </c>
      <c r="G22" s="378"/>
      <c r="H22" s="378"/>
      <c r="I22" s="378"/>
      <c r="J22" s="379"/>
    </row>
    <row r="23" spans="1:13" ht="15.75" thickBot="1" x14ac:dyDescent="0.3">
      <c r="E23" s="48"/>
      <c r="F23" s="43"/>
      <c r="G23" s="44"/>
      <c r="H23" s="43"/>
      <c r="I23" s="43"/>
      <c r="J23" s="43"/>
    </row>
    <row r="24" spans="1:13" ht="16.5" thickTop="1" thickBot="1" x14ac:dyDescent="0.3">
      <c r="E24" s="41" t="s">
        <v>44</v>
      </c>
      <c r="F24" s="368" t="s">
        <v>320</v>
      </c>
      <c r="G24" s="369"/>
      <c r="H24" s="369"/>
      <c r="I24" s="369"/>
      <c r="J24" s="370"/>
    </row>
    <row r="25" spans="1:13" ht="15.75" thickBot="1" x14ac:dyDescent="0.3">
      <c r="E25" s="48"/>
      <c r="F25" s="43"/>
      <c r="G25" s="44"/>
      <c r="H25" s="43"/>
      <c r="I25" s="43"/>
      <c r="J25" s="43"/>
    </row>
    <row r="26" spans="1:13" ht="32.25" customHeight="1" thickTop="1" thickBot="1" x14ac:dyDescent="0.3">
      <c r="A26" s="353" t="s">
        <v>45</v>
      </c>
      <c r="B26" s="353"/>
      <c r="C26" s="353"/>
      <c r="D26" s="353"/>
      <c r="E26" s="354"/>
      <c r="F26" s="358" t="s">
        <v>46</v>
      </c>
      <c r="G26" s="359"/>
      <c r="H26" s="360"/>
      <c r="I26" s="43"/>
      <c r="J26" s="49" t="s">
        <v>47</v>
      </c>
      <c r="K26" s="50">
        <v>2019</v>
      </c>
    </row>
    <row r="27" spans="1:13" ht="15.75" thickBot="1" x14ac:dyDescent="0.3">
      <c r="E27" s="48"/>
      <c r="F27" s="43"/>
      <c r="G27" s="44"/>
      <c r="H27" s="43"/>
      <c r="I27" s="43"/>
      <c r="J27" s="43"/>
    </row>
    <row r="28" spans="1:13" ht="30" customHeight="1" thickTop="1" thickBot="1" x14ac:dyDescent="0.3">
      <c r="A28" s="353" t="str">
        <f>"Indicate the Price-Cap IR Year (1, 2, 3, 4, etc) in which " &amp;F14 &amp; " is applying:"</f>
        <v>Indicate the Price-Cap IR Year (1, 2, 3, 4, etc) in which Burlington Hydro Inc is applying:</v>
      </c>
      <c r="B28" s="353"/>
      <c r="C28" s="353"/>
      <c r="D28" s="353"/>
      <c r="E28" s="354"/>
      <c r="F28" s="358">
        <v>5</v>
      </c>
      <c r="G28" s="359"/>
      <c r="H28" s="360"/>
      <c r="I28" s="43"/>
    </row>
    <row r="29" spans="1:13" ht="15.75" thickBot="1" x14ac:dyDescent="0.3">
      <c r="E29" s="48"/>
      <c r="F29" s="43"/>
      <c r="G29" s="44"/>
      <c r="H29" s="43"/>
      <c r="I29" s="43"/>
      <c r="J29" s="43"/>
    </row>
    <row r="30" spans="1:13" ht="16.5" thickTop="1" thickBot="1" x14ac:dyDescent="0.3">
      <c r="E30" s="51" t="str">
        <f>F14 &amp; " is applying for:"</f>
        <v>Burlington Hydro Inc is applying for:</v>
      </c>
      <c r="F30" s="358" t="s">
        <v>305</v>
      </c>
      <c r="G30" s="359"/>
      <c r="H30" s="360"/>
      <c r="I30" s="43"/>
      <c r="J30" s="43"/>
    </row>
    <row r="31" spans="1:13" ht="15.75" thickBot="1" x14ac:dyDescent="0.3">
      <c r="E31" s="48"/>
      <c r="F31" s="43"/>
      <c r="G31" s="44"/>
      <c r="H31" s="43"/>
      <c r="I31" s="43"/>
      <c r="J31" s="43"/>
    </row>
    <row r="32" spans="1:13" ht="16.5" thickTop="1" thickBot="1" x14ac:dyDescent="0.3">
      <c r="A32" s="353" t="s">
        <v>48</v>
      </c>
      <c r="B32" s="353"/>
      <c r="C32" s="353"/>
      <c r="D32" s="353"/>
      <c r="E32" s="361"/>
      <c r="F32" s="362">
        <f>IF(F26="COS", K26-F28, VLOOKUP(F28, D107:E115,2,FALSE))</f>
        <v>2014</v>
      </c>
      <c r="G32" s="363"/>
      <c r="H32" s="364"/>
      <c r="I32" s="43"/>
      <c r="J32" s="43"/>
    </row>
    <row r="33" spans="1:23" ht="15.75" thickBot="1" x14ac:dyDescent="0.3">
      <c r="E33" s="48"/>
      <c r="F33" s="43"/>
      <c r="G33" s="44"/>
      <c r="H33" s="43"/>
      <c r="I33" s="43"/>
      <c r="J33" s="43"/>
    </row>
    <row r="34" spans="1:23" ht="16.5" hidden="1" thickTop="1" thickBot="1" x14ac:dyDescent="0.3">
      <c r="A34" s="353" t="s">
        <v>49</v>
      </c>
      <c r="B34" s="353"/>
      <c r="C34" s="353"/>
      <c r="D34" s="353"/>
      <c r="E34" s="354"/>
      <c r="F34" s="365" t="s">
        <v>309</v>
      </c>
      <c r="G34" s="366"/>
      <c r="H34" s="367"/>
      <c r="I34" s="43"/>
    </row>
    <row r="35" spans="1:23" ht="15.75" hidden="1" thickBot="1" x14ac:dyDescent="0.3">
      <c r="A35" s="285"/>
      <c r="B35" s="285"/>
      <c r="C35" s="285"/>
      <c r="D35" s="285"/>
      <c r="E35" s="285"/>
      <c r="F35" s="285"/>
      <c r="G35" s="285"/>
      <c r="H35" s="285"/>
      <c r="I35" s="285"/>
      <c r="J35" s="285"/>
      <c r="K35" s="285"/>
      <c r="L35" s="285"/>
      <c r="M35" s="285"/>
      <c r="N35" s="285"/>
      <c r="O35" s="285"/>
      <c r="P35" s="285"/>
      <c r="Q35" s="285"/>
      <c r="R35" s="285"/>
      <c r="S35" s="285"/>
      <c r="T35" s="285"/>
      <c r="U35" s="285"/>
      <c r="V35" s="285"/>
      <c r="W35" s="285"/>
    </row>
    <row r="36" spans="1:23" ht="30" customHeight="1" thickTop="1" thickBot="1" x14ac:dyDescent="0.3">
      <c r="A36" s="353" t="s">
        <v>50</v>
      </c>
      <c r="B36" s="353"/>
      <c r="C36" s="353"/>
      <c r="D36" s="353"/>
      <c r="E36" s="354"/>
      <c r="F36" s="355">
        <f>K26-2</f>
        <v>2017</v>
      </c>
      <c r="G36" s="356"/>
      <c r="H36" s="357"/>
      <c r="I36" s="43"/>
    </row>
    <row r="37" spans="1:23" ht="15.75" thickBot="1" x14ac:dyDescent="0.3">
      <c r="A37" s="285"/>
      <c r="B37" s="285"/>
      <c r="C37" s="285"/>
      <c r="D37" s="285"/>
      <c r="E37" s="285"/>
      <c r="F37" s="285"/>
      <c r="G37" s="285"/>
      <c r="H37" s="285"/>
      <c r="I37" s="285"/>
    </row>
    <row r="38" spans="1:23" ht="16.5" thickTop="1" thickBot="1" x14ac:dyDescent="0.3">
      <c r="E38" s="51" t="s">
        <v>51</v>
      </c>
      <c r="F38" s="338">
        <v>1.2E-2</v>
      </c>
      <c r="G38" s="339"/>
      <c r="H38" s="340"/>
      <c r="I38" s="43"/>
    </row>
    <row r="39" spans="1:23" ht="15.75" thickBot="1" x14ac:dyDescent="0.3"/>
    <row r="40" spans="1:23" ht="16.5" thickTop="1" thickBot="1" x14ac:dyDescent="0.3">
      <c r="E40" s="51" t="s">
        <v>52</v>
      </c>
      <c r="F40" s="341" t="s">
        <v>317</v>
      </c>
      <c r="G40" s="342"/>
      <c r="H40" s="343"/>
      <c r="I40" s="43"/>
    </row>
    <row r="41" spans="1:23" ht="15.75" thickBot="1" x14ac:dyDescent="0.3"/>
    <row r="42" spans="1:23" ht="16.5" thickTop="1" thickBot="1" x14ac:dyDescent="0.3">
      <c r="E42" s="51" t="s">
        <v>53</v>
      </c>
      <c r="F42" s="341">
        <v>1.5E-3</v>
      </c>
      <c r="G42" s="342"/>
      <c r="H42" s="343"/>
      <c r="I42" s="43"/>
    </row>
    <row r="43" spans="1:23" ht="15.75" thickBot="1" x14ac:dyDescent="0.3"/>
    <row r="44" spans="1:23" ht="16.5" thickTop="1" thickBot="1" x14ac:dyDescent="0.3">
      <c r="E44" s="51" t="s">
        <v>3</v>
      </c>
      <c r="F44" s="341">
        <f>F38-F42</f>
        <v>1.0500000000000001E-2</v>
      </c>
      <c r="G44" s="342"/>
      <c r="H44" s="343"/>
      <c r="I44" s="43"/>
    </row>
    <row r="45" spans="1:23" x14ac:dyDescent="0.25">
      <c r="I45" s="52"/>
      <c r="J45" s="52"/>
      <c r="K45" s="52"/>
      <c r="L45" s="52"/>
      <c r="M45" s="52"/>
    </row>
    <row r="46" spans="1:23" ht="26.25" customHeight="1" thickBot="1" x14ac:dyDescent="0.3">
      <c r="A46" s="344" t="s">
        <v>54</v>
      </c>
      <c r="B46" s="344"/>
      <c r="C46" s="344"/>
      <c r="D46" s="344"/>
      <c r="E46" s="344"/>
      <c r="F46" s="345" t="str">
        <f>IF($F$26="COS", $K$26 &amp; " Test Year Distribution Revenues", VLOOKUP($F$28, $D$107:$M$115, 3,FALSE))</f>
        <v>2017 Actual Distribution Revenues</v>
      </c>
      <c r="G46" s="345"/>
      <c r="H46" s="345"/>
      <c r="I46" s="53" t="str">
        <f>LEFT(F46,4)</f>
        <v>2017</v>
      </c>
      <c r="J46" s="346" t="s">
        <v>55</v>
      </c>
      <c r="K46" s="346"/>
      <c r="L46" s="346"/>
      <c r="M46" s="346"/>
      <c r="N46" s="54"/>
    </row>
    <row r="47" spans="1:23" ht="25.5" customHeight="1" x14ac:dyDescent="0.25">
      <c r="A47" s="344"/>
      <c r="B47" s="344"/>
      <c r="C47" s="344"/>
      <c r="D47" s="344"/>
      <c r="E47" s="344"/>
      <c r="F47" s="347" t="str">
        <f>IF(F26="COS",F36&amp;" Actual Distribution Revenues",VLOOKUP($F$28, $D$107:$M$115, 7,FALSE))</f>
        <v>2014 Board-Approved Distribution Revenues</v>
      </c>
      <c r="G47" s="347"/>
      <c r="H47" s="347"/>
      <c r="I47" s="53" t="str">
        <f>LEFT(F47,4)</f>
        <v>2014</v>
      </c>
      <c r="J47" s="346"/>
      <c r="K47" s="346"/>
      <c r="L47" s="346"/>
      <c r="M47" s="346"/>
      <c r="N47" s="54"/>
    </row>
    <row r="48" spans="1:23" x14ac:dyDescent="0.25">
      <c r="A48" s="54"/>
      <c r="B48" s="54"/>
      <c r="C48" s="54"/>
      <c r="D48" s="54"/>
      <c r="E48" s="54"/>
      <c r="F48" s="54"/>
      <c r="G48" s="54"/>
      <c r="H48" s="54"/>
      <c r="I48" s="53"/>
      <c r="J48" s="346"/>
      <c r="K48" s="346"/>
      <c r="L48" s="346"/>
      <c r="M48" s="346"/>
      <c r="N48" s="54"/>
    </row>
    <row r="49" spans="1:14" x14ac:dyDescent="0.25">
      <c r="B49" s="55" t="s">
        <v>56</v>
      </c>
      <c r="I49" s="52"/>
      <c r="J49" s="346"/>
      <c r="K49" s="346"/>
      <c r="L49" s="346"/>
      <c r="M49" s="346"/>
    </row>
    <row r="50" spans="1:14" ht="15.75" thickBot="1" x14ac:dyDescent="0.3">
      <c r="I50" s="52"/>
      <c r="J50" s="346"/>
      <c r="K50" s="346"/>
      <c r="L50" s="346"/>
      <c r="M50" s="346"/>
    </row>
    <row r="51" spans="1:14" ht="15.75" thickBot="1" x14ac:dyDescent="0.3">
      <c r="B51" s="56"/>
      <c r="C51" s="348" t="s">
        <v>57</v>
      </c>
      <c r="D51" s="348"/>
      <c r="E51" s="348"/>
      <c r="F51" s="348"/>
      <c r="G51" s="348"/>
      <c r="H51" s="348"/>
      <c r="I51" s="348"/>
      <c r="J51" s="348"/>
      <c r="K51" s="348"/>
      <c r="L51" s="348"/>
    </row>
    <row r="52" spans="1:14" ht="15.75" thickBot="1" x14ac:dyDescent="0.3"/>
    <row r="53" spans="1:14" ht="15.75" thickBot="1" x14ac:dyDescent="0.3">
      <c r="B53" s="57"/>
      <c r="C53" s="349" t="s">
        <v>58</v>
      </c>
      <c r="D53" s="350"/>
      <c r="E53" s="350"/>
      <c r="F53" s="350"/>
      <c r="G53" s="350"/>
      <c r="H53" s="350"/>
      <c r="I53" s="350"/>
      <c r="J53" s="350"/>
      <c r="K53" s="350"/>
      <c r="L53" s="350"/>
      <c r="M53" s="350"/>
      <c r="N53" s="350"/>
    </row>
    <row r="54" spans="1:14" ht="15.75" thickBot="1" x14ac:dyDescent="0.3">
      <c r="B54" s="58"/>
    </row>
    <row r="55" spans="1:14" ht="15.75" thickBot="1" x14ac:dyDescent="0.3">
      <c r="B55" s="59"/>
      <c r="C55" s="351" t="s">
        <v>59</v>
      </c>
      <c r="D55" s="352"/>
      <c r="E55" s="352"/>
      <c r="F55" s="352"/>
      <c r="G55" s="352"/>
      <c r="H55" s="352"/>
      <c r="I55" s="352"/>
      <c r="J55" s="352"/>
      <c r="K55" s="352"/>
      <c r="L55" s="352"/>
      <c r="M55" s="352"/>
    </row>
    <row r="64" spans="1:14" x14ac:dyDescent="0.25">
      <c r="A64" s="337" t="s">
        <v>60</v>
      </c>
      <c r="B64" s="337"/>
      <c r="C64" s="337"/>
      <c r="D64" s="337"/>
      <c r="E64" s="337"/>
      <c r="F64" s="337"/>
      <c r="G64" s="337"/>
      <c r="H64" s="337"/>
      <c r="I64" s="337"/>
      <c r="J64" s="337"/>
      <c r="K64" s="337"/>
      <c r="L64" s="337"/>
      <c r="M64" s="337"/>
    </row>
    <row r="91" spans="1:12" x14ac:dyDescent="0.25">
      <c r="A91" s="60"/>
      <c r="B91" s="289" t="s">
        <v>61</v>
      </c>
      <c r="C91" s="60"/>
      <c r="D91" s="332" t="s">
        <v>62</v>
      </c>
      <c r="E91" s="333"/>
      <c r="F91" s="333"/>
      <c r="G91" s="334"/>
      <c r="H91" s="335" t="s">
        <v>310</v>
      </c>
      <c r="I91" s="335"/>
      <c r="J91" s="335"/>
      <c r="K91" s="335"/>
      <c r="L91" s="336"/>
    </row>
    <row r="92" spans="1:12" x14ac:dyDescent="0.25">
      <c r="A92" s="60"/>
      <c r="B92" s="61"/>
      <c r="C92" s="60" t="s">
        <v>1</v>
      </c>
      <c r="D92" s="290">
        <v>1</v>
      </c>
      <c r="E92" s="290">
        <v>2</v>
      </c>
      <c r="F92" s="290">
        <v>3</v>
      </c>
      <c r="G92" s="290">
        <v>4</v>
      </c>
      <c r="H92" s="292">
        <v>5</v>
      </c>
      <c r="I92" s="291">
        <v>6</v>
      </c>
      <c r="J92" s="291">
        <v>7</v>
      </c>
      <c r="K92" s="291">
        <v>8</v>
      </c>
      <c r="L92" s="291">
        <v>9</v>
      </c>
    </row>
    <row r="93" spans="1:12" x14ac:dyDescent="0.25">
      <c r="A93" s="60" t="s">
        <v>63</v>
      </c>
      <c r="B93" s="62">
        <f>K26</f>
        <v>2019</v>
      </c>
      <c r="C93" s="63" t="s">
        <v>64</v>
      </c>
      <c r="D93" s="64">
        <f>K26</f>
        <v>2019</v>
      </c>
      <c r="E93" s="64">
        <f>D93</f>
        <v>2019</v>
      </c>
      <c r="F93" s="64">
        <f t="shared" ref="F93:H93" si="0">E93</f>
        <v>2019</v>
      </c>
      <c r="G93" s="64">
        <f t="shared" si="0"/>
        <v>2019</v>
      </c>
      <c r="H93" s="65">
        <f t="shared" si="0"/>
        <v>2019</v>
      </c>
      <c r="I93" s="65">
        <v>2020</v>
      </c>
      <c r="J93" s="65">
        <v>2021</v>
      </c>
      <c r="K93" s="65">
        <v>2022</v>
      </c>
      <c r="L93" s="65">
        <v>2023</v>
      </c>
    </row>
    <row r="94" spans="1:12" x14ac:dyDescent="0.25">
      <c r="A94" s="60" t="s">
        <v>65</v>
      </c>
      <c r="B94" s="62">
        <f>B93-2</f>
        <v>2017</v>
      </c>
      <c r="C94" s="63" t="s">
        <v>66</v>
      </c>
      <c r="D94" s="62">
        <f>D93-2</f>
        <v>2017</v>
      </c>
      <c r="E94" s="62">
        <f t="shared" ref="E94:G94" si="1">E93-2</f>
        <v>2017</v>
      </c>
      <c r="F94" s="62">
        <f t="shared" si="1"/>
        <v>2017</v>
      </c>
      <c r="G94" s="62">
        <f t="shared" si="1"/>
        <v>2017</v>
      </c>
      <c r="H94" s="65">
        <f t="shared" ref="H94" si="2">H93-2</f>
        <v>2017</v>
      </c>
      <c r="I94" s="65">
        <f>I93-2</f>
        <v>2018</v>
      </c>
      <c r="J94" s="65">
        <f>J93-2</f>
        <v>2019</v>
      </c>
      <c r="K94" s="65">
        <f>K93-2</f>
        <v>2020</v>
      </c>
      <c r="L94" s="65">
        <f>L93-2</f>
        <v>2021</v>
      </c>
    </row>
    <row r="95" spans="1:12" x14ac:dyDescent="0.25">
      <c r="A95" s="60" t="s">
        <v>67</v>
      </c>
      <c r="B95" s="62"/>
      <c r="C95" s="63"/>
      <c r="D95" s="64">
        <f>D93-D92</f>
        <v>2018</v>
      </c>
      <c r="E95" s="64">
        <f t="shared" ref="E95:H95" si="3">E93-E92</f>
        <v>2017</v>
      </c>
      <c r="F95" s="64">
        <f t="shared" si="3"/>
        <v>2016</v>
      </c>
      <c r="G95" s="64">
        <f t="shared" si="3"/>
        <v>2015</v>
      </c>
      <c r="H95" s="65">
        <f t="shared" si="3"/>
        <v>2014</v>
      </c>
      <c r="I95" s="65">
        <f>I93-I92</f>
        <v>2014</v>
      </c>
      <c r="J95" s="65">
        <f t="shared" ref="J95:L95" si="4">J93-J92</f>
        <v>2014</v>
      </c>
      <c r="K95" s="65">
        <f t="shared" si="4"/>
        <v>2014</v>
      </c>
      <c r="L95" s="65">
        <f t="shared" si="4"/>
        <v>2014</v>
      </c>
    </row>
    <row r="96" spans="1:12" x14ac:dyDescent="0.25">
      <c r="A96" s="60"/>
      <c r="B96" s="62"/>
      <c r="C96" s="63"/>
      <c r="D96" s="64"/>
      <c r="E96" s="64"/>
      <c r="F96" s="64"/>
      <c r="G96" s="64"/>
      <c r="H96" s="65"/>
      <c r="I96" s="65"/>
      <c r="J96" s="65"/>
      <c r="K96" s="65"/>
      <c r="L96" s="65"/>
    </row>
    <row r="97" spans="1:14" x14ac:dyDescent="0.25">
      <c r="A97" s="60" t="s">
        <v>68</v>
      </c>
      <c r="B97" s="62"/>
      <c r="C97" s="63"/>
      <c r="D97" s="64"/>
      <c r="E97" s="64"/>
      <c r="F97" s="64"/>
      <c r="G97" s="64"/>
      <c r="H97" s="65"/>
      <c r="I97" s="65"/>
      <c r="J97" s="65"/>
      <c r="K97" s="65"/>
      <c r="L97" s="65"/>
    </row>
    <row r="98" spans="1:14" x14ac:dyDescent="0.25">
      <c r="A98" s="60" t="s">
        <v>69</v>
      </c>
      <c r="B98" s="66" t="str">
        <f>B93&amp;" Test Year Distribution Revenues"</f>
        <v>2019 Test Year Distribution Revenues</v>
      </c>
      <c r="C98" s="67" t="s">
        <v>70</v>
      </c>
      <c r="D98" s="68" t="str">
        <f>D95&amp;" Board-Approved Distribution Revenues"</f>
        <v>2018 Board-Approved Distribution Revenues</v>
      </c>
      <c r="E98" s="68" t="str">
        <f>E95&amp;" Board-Approved Distribution Revenues"</f>
        <v>2017 Board-Approved Distribution Revenues</v>
      </c>
      <c r="F98" s="68" t="str">
        <f>F95+1&amp;" Actual Distribution Revenues"</f>
        <v>2017 Actual Distribution Revenues</v>
      </c>
      <c r="G98" s="68" t="str">
        <f>G95+2&amp;" Actual Distribution Revenues"</f>
        <v>2017 Actual Distribution Revenues</v>
      </c>
      <c r="H98" s="69" t="str">
        <f>H95+3&amp;" Actual Distribution Revenues"</f>
        <v>2017 Actual Distribution Revenues</v>
      </c>
      <c r="I98" s="69" t="str">
        <f>I95+3&amp;" Actual Distribution Revenues"</f>
        <v>2017 Actual Distribution Revenues</v>
      </c>
      <c r="J98" s="69" t="str">
        <f>J95+4&amp;" Actual Distribution Revenues"</f>
        <v>2018 Actual Distribution Revenues</v>
      </c>
      <c r="K98" s="69" t="str">
        <f>K95+5&amp;" Actual Distribution Revenues"</f>
        <v>2019 Actual Distribution Revenues</v>
      </c>
      <c r="L98" s="69" t="str">
        <f>L95+6&amp;" Actual Distribution Revenues"</f>
        <v>2020 Actual Distribution Revenues</v>
      </c>
    </row>
    <row r="99" spans="1:14" x14ac:dyDescent="0.25">
      <c r="A99" s="60" t="s">
        <v>71</v>
      </c>
      <c r="B99" s="66" t="str">
        <f>B94&amp;" Actual Distribution Revenues"</f>
        <v>2017 Actual Distribution Revenues</v>
      </c>
      <c r="C99" s="67" t="s">
        <v>70</v>
      </c>
      <c r="D99" s="68" t="str">
        <f>D94&amp;" Actual Distribution Revenues"</f>
        <v>2017 Actual Distribution Revenues</v>
      </c>
      <c r="E99" s="68" t="str">
        <f>E94-1&amp;" Actual Distribution Revenues"</f>
        <v>2016 Actual Distribution Revenues</v>
      </c>
      <c r="F99" s="68" t="str">
        <f t="shared" ref="F99:G99" si="5">F95&amp;" Board-Approved Distribution Revenues"</f>
        <v>2016 Board-Approved Distribution Revenues</v>
      </c>
      <c r="G99" s="68" t="str">
        <f t="shared" si="5"/>
        <v>2015 Board-Approved Distribution Revenues</v>
      </c>
      <c r="H99" s="69" t="str">
        <f t="shared" ref="H99" si="6">H95&amp;" Board-Approved Distribution Revenues"</f>
        <v>2014 Board-Approved Distribution Revenues</v>
      </c>
      <c r="I99" s="69" t="str">
        <f>I95&amp;" Board-Approved Distribution Revenues"</f>
        <v>2014 Board-Approved Distribution Revenues</v>
      </c>
      <c r="J99" s="69" t="str">
        <f>J95&amp;" Board-Approved Distribution Revenues"</f>
        <v>2014 Board-Approved Distribution Revenues</v>
      </c>
      <c r="K99" s="69" t="str">
        <f>K95&amp;" Board-Approved Distribution Revenues"</f>
        <v>2014 Board-Approved Distribution Revenues</v>
      </c>
      <c r="L99" s="69" t="str">
        <f>L95&amp;" Board-Approved Distribution Revenues"</f>
        <v>2014 Board-Approved Distribution Revenues</v>
      </c>
    </row>
    <row r="100" spans="1:14" x14ac:dyDescent="0.25">
      <c r="A100" s="60" t="s">
        <v>72</v>
      </c>
      <c r="B100" s="62" t="s">
        <v>73</v>
      </c>
      <c r="C100" s="63"/>
      <c r="D100" s="64" t="s">
        <v>74</v>
      </c>
      <c r="E100" s="64" t="s">
        <v>74</v>
      </c>
      <c r="F100" s="64" t="s">
        <v>74</v>
      </c>
      <c r="G100" s="64" t="s">
        <v>73</v>
      </c>
      <c r="H100" s="65" t="s">
        <v>73</v>
      </c>
      <c r="I100" s="65" t="s">
        <v>73</v>
      </c>
      <c r="J100" s="65" t="s">
        <v>73</v>
      </c>
      <c r="K100" s="65" t="s">
        <v>73</v>
      </c>
      <c r="L100" s="65" t="s">
        <v>73</v>
      </c>
    </row>
    <row r="101" spans="1:14" x14ac:dyDescent="0.25">
      <c r="A101" s="60" t="s">
        <v>311</v>
      </c>
      <c r="B101" s="62">
        <f>B104</f>
        <v>2</v>
      </c>
      <c r="C101" s="63"/>
      <c r="D101" s="64">
        <v>1</v>
      </c>
      <c r="E101" s="64">
        <v>1</v>
      </c>
      <c r="F101" s="64">
        <v>1</v>
      </c>
      <c r="G101" s="64">
        <v>2</v>
      </c>
      <c r="H101" s="65">
        <v>3</v>
      </c>
      <c r="I101" s="65">
        <v>3</v>
      </c>
      <c r="J101" s="65">
        <v>4</v>
      </c>
      <c r="K101" s="65">
        <v>5</v>
      </c>
      <c r="L101" s="65">
        <v>6</v>
      </c>
    </row>
    <row r="102" spans="1:14" x14ac:dyDescent="0.25">
      <c r="A102" s="60"/>
      <c r="B102" s="62" t="str">
        <f>LEFT(B98,4)</f>
        <v>2019</v>
      </c>
      <c r="C102" s="63"/>
      <c r="D102" s="64" t="str">
        <f t="shared" ref="D102:G103" si="7">LEFT(D98,4)</f>
        <v>2018</v>
      </c>
      <c r="E102" s="64" t="str">
        <f t="shared" si="7"/>
        <v>2017</v>
      </c>
      <c r="F102" s="64" t="str">
        <f t="shared" si="7"/>
        <v>2017</v>
      </c>
      <c r="G102" s="64" t="str">
        <f t="shared" si="7"/>
        <v>2017</v>
      </c>
      <c r="H102" s="65" t="str">
        <f t="shared" ref="H102" si="8">LEFT(H98,4)</f>
        <v>2017</v>
      </c>
      <c r="I102" s="65" t="str">
        <f t="shared" ref="I102:L103" si="9">LEFT(I98,4)</f>
        <v>2017</v>
      </c>
      <c r="J102" s="65" t="str">
        <f t="shared" si="9"/>
        <v>2018</v>
      </c>
      <c r="K102" s="65" t="str">
        <f t="shared" si="9"/>
        <v>2019</v>
      </c>
      <c r="L102" s="65" t="str">
        <f t="shared" si="9"/>
        <v>2020</v>
      </c>
    </row>
    <row r="103" spans="1:14" x14ac:dyDescent="0.25">
      <c r="A103" s="60"/>
      <c r="B103" s="62" t="str">
        <f>LEFT(B99,4)</f>
        <v>2017</v>
      </c>
      <c r="C103" s="63"/>
      <c r="D103" s="64" t="str">
        <f t="shared" si="7"/>
        <v>2017</v>
      </c>
      <c r="E103" s="64" t="str">
        <f t="shared" si="7"/>
        <v>2016</v>
      </c>
      <c r="F103" s="64" t="str">
        <f t="shared" si="7"/>
        <v>2016</v>
      </c>
      <c r="G103" s="64" t="str">
        <f t="shared" si="7"/>
        <v>2015</v>
      </c>
      <c r="H103" s="65" t="str">
        <f t="shared" ref="H103" si="10">LEFT(H99,4)</f>
        <v>2014</v>
      </c>
      <c r="I103" s="65" t="str">
        <f t="shared" si="9"/>
        <v>2014</v>
      </c>
      <c r="J103" s="65" t="str">
        <f t="shared" si="9"/>
        <v>2014</v>
      </c>
      <c r="K103" s="65" t="str">
        <f t="shared" si="9"/>
        <v>2014</v>
      </c>
      <c r="L103" s="65" t="str">
        <f t="shared" si="9"/>
        <v>2014</v>
      </c>
    </row>
    <row r="104" spans="1:14" x14ac:dyDescent="0.25">
      <c r="A104" s="60"/>
      <c r="B104" s="62">
        <f>B102-B103</f>
        <v>2</v>
      </c>
      <c r="C104" s="63"/>
      <c r="D104" s="64">
        <f t="shared" ref="D104:G104" si="11">D102-D103</f>
        <v>1</v>
      </c>
      <c r="E104" s="64">
        <f t="shared" si="11"/>
        <v>1</v>
      </c>
      <c r="F104" s="64">
        <f t="shared" si="11"/>
        <v>1</v>
      </c>
      <c r="G104" s="64">
        <f t="shared" si="11"/>
        <v>2</v>
      </c>
      <c r="H104" s="65">
        <f t="shared" ref="H104" si="12">H102-H103</f>
        <v>3</v>
      </c>
      <c r="I104" s="65">
        <f>I102-I103</f>
        <v>3</v>
      </c>
      <c r="J104" s="65">
        <f>J102-J103</f>
        <v>4</v>
      </c>
      <c r="K104" s="65">
        <f>K102-K103</f>
        <v>5</v>
      </c>
      <c r="L104" s="65">
        <f>L102-L103</f>
        <v>6</v>
      </c>
    </row>
    <row r="106" spans="1:14" x14ac:dyDescent="0.25">
      <c r="A106" s="70"/>
      <c r="B106" s="70"/>
      <c r="C106" s="70"/>
      <c r="D106" s="70"/>
      <c r="E106" s="70"/>
      <c r="F106" s="70"/>
      <c r="G106" s="70"/>
      <c r="H106" s="70"/>
      <c r="I106" s="70"/>
      <c r="J106" s="70"/>
      <c r="K106" s="70"/>
      <c r="L106" s="70"/>
      <c r="M106" s="70"/>
      <c r="N106" s="70"/>
    </row>
    <row r="107" spans="1:14" x14ac:dyDescent="0.25">
      <c r="A107" s="70"/>
      <c r="B107" s="70"/>
      <c r="C107" s="70"/>
      <c r="D107" s="297" t="s">
        <v>62</v>
      </c>
      <c r="E107" s="297" t="s">
        <v>75</v>
      </c>
      <c r="F107" s="298" t="s">
        <v>69</v>
      </c>
      <c r="G107" s="299"/>
      <c r="H107" s="299"/>
      <c r="I107" s="300"/>
      <c r="J107" s="298" t="s">
        <v>71</v>
      </c>
      <c r="K107" s="299"/>
      <c r="L107" s="299"/>
      <c r="M107" s="300"/>
      <c r="N107" s="70"/>
    </row>
    <row r="108" spans="1:14" x14ac:dyDescent="0.25">
      <c r="A108" s="70"/>
      <c r="B108" s="70"/>
      <c r="C108" s="70"/>
      <c r="D108" s="301">
        <v>1</v>
      </c>
      <c r="E108" s="293">
        <f>D95</f>
        <v>2018</v>
      </c>
      <c r="F108" s="294" t="str">
        <f>D98</f>
        <v>2018 Board-Approved Distribution Revenues</v>
      </c>
      <c r="G108" s="295"/>
      <c r="H108" s="295"/>
      <c r="I108" s="296"/>
      <c r="J108" s="294" t="str">
        <f>D99</f>
        <v>2017 Actual Distribution Revenues</v>
      </c>
      <c r="K108" s="295"/>
      <c r="L108" s="295"/>
      <c r="M108" s="296"/>
      <c r="N108" s="70"/>
    </row>
    <row r="109" spans="1:14" x14ac:dyDescent="0.25">
      <c r="A109" s="70"/>
      <c r="B109" s="70"/>
      <c r="C109" s="70"/>
      <c r="D109" s="301">
        <v>2</v>
      </c>
      <c r="E109" s="293">
        <f>E95</f>
        <v>2017</v>
      </c>
      <c r="F109" s="294" t="str">
        <f>E98</f>
        <v>2017 Board-Approved Distribution Revenues</v>
      </c>
      <c r="G109" s="295"/>
      <c r="H109" s="295"/>
      <c r="I109" s="296"/>
      <c r="J109" s="294" t="str">
        <f>E99</f>
        <v>2016 Actual Distribution Revenues</v>
      </c>
      <c r="K109" s="295"/>
      <c r="L109" s="295"/>
      <c r="M109" s="296"/>
      <c r="N109" s="70"/>
    </row>
    <row r="110" spans="1:14" x14ac:dyDescent="0.25">
      <c r="A110" s="70"/>
      <c r="B110" s="70"/>
      <c r="C110" s="70"/>
      <c r="D110" s="301">
        <v>3</v>
      </c>
      <c r="E110" s="293">
        <f>F95</f>
        <v>2016</v>
      </c>
      <c r="F110" s="294" t="str">
        <f>F98</f>
        <v>2017 Actual Distribution Revenues</v>
      </c>
      <c r="G110" s="295"/>
      <c r="H110" s="295"/>
      <c r="I110" s="296"/>
      <c r="J110" s="294" t="str">
        <f>F99</f>
        <v>2016 Board-Approved Distribution Revenues</v>
      </c>
      <c r="K110" s="295"/>
      <c r="L110" s="295"/>
      <c r="M110" s="296"/>
      <c r="N110" s="70"/>
    </row>
    <row r="111" spans="1:14" x14ac:dyDescent="0.25">
      <c r="A111" s="70"/>
      <c r="B111" s="70"/>
      <c r="C111" s="70"/>
      <c r="D111" s="301">
        <v>4</v>
      </c>
      <c r="E111" s="293">
        <f>G95</f>
        <v>2015</v>
      </c>
      <c r="F111" s="294" t="str">
        <f>G98</f>
        <v>2017 Actual Distribution Revenues</v>
      </c>
      <c r="G111" s="295"/>
      <c r="H111" s="295"/>
      <c r="I111" s="296"/>
      <c r="J111" s="294" t="str">
        <f>G99</f>
        <v>2015 Board-Approved Distribution Revenues</v>
      </c>
      <c r="K111" s="295"/>
      <c r="L111" s="295"/>
      <c r="M111" s="296"/>
      <c r="N111" s="70"/>
    </row>
    <row r="112" spans="1:14" x14ac:dyDescent="0.25">
      <c r="A112" s="70"/>
      <c r="B112" s="70"/>
      <c r="C112" s="70"/>
      <c r="D112" s="301">
        <v>5</v>
      </c>
      <c r="E112" s="293">
        <f>+H95</f>
        <v>2014</v>
      </c>
      <c r="F112" s="294" t="str">
        <f>I98</f>
        <v>2017 Actual Distribution Revenues</v>
      </c>
      <c r="G112" s="295"/>
      <c r="H112" s="295"/>
      <c r="I112" s="296"/>
      <c r="J112" s="294" t="str">
        <f>I99</f>
        <v>2014 Board-Approved Distribution Revenues</v>
      </c>
      <c r="K112" s="295"/>
      <c r="L112" s="295"/>
      <c r="M112" s="296"/>
      <c r="N112" s="70"/>
    </row>
    <row r="113" spans="1:14" x14ac:dyDescent="0.25">
      <c r="A113" s="70"/>
      <c r="B113" s="70"/>
      <c r="C113" s="70"/>
      <c r="D113" s="301">
        <v>6</v>
      </c>
      <c r="E113" s="293">
        <f>J95</f>
        <v>2014</v>
      </c>
      <c r="F113" s="294" t="str">
        <f>J98</f>
        <v>2018 Actual Distribution Revenues</v>
      </c>
      <c r="G113" s="295"/>
      <c r="H113" s="295"/>
      <c r="I113" s="296"/>
      <c r="J113" s="294" t="str">
        <f>J99</f>
        <v>2014 Board-Approved Distribution Revenues</v>
      </c>
      <c r="K113" s="295"/>
      <c r="L113" s="295"/>
      <c r="M113" s="296"/>
      <c r="N113" s="70"/>
    </row>
    <row r="114" spans="1:14" x14ac:dyDescent="0.25">
      <c r="A114" s="70"/>
      <c r="B114" s="70"/>
      <c r="C114" s="70"/>
      <c r="D114" s="301">
        <v>7</v>
      </c>
      <c r="E114" s="293">
        <f>K95</f>
        <v>2014</v>
      </c>
      <c r="F114" s="294" t="str">
        <f>K98</f>
        <v>2019 Actual Distribution Revenues</v>
      </c>
      <c r="G114" s="295"/>
      <c r="H114" s="295"/>
      <c r="I114" s="296"/>
      <c r="J114" s="294" t="str">
        <f>K99</f>
        <v>2014 Board-Approved Distribution Revenues</v>
      </c>
      <c r="K114" s="295"/>
      <c r="L114" s="295"/>
      <c r="M114" s="296"/>
      <c r="N114" s="70"/>
    </row>
    <row r="115" spans="1:14" x14ac:dyDescent="0.25">
      <c r="A115" s="70"/>
      <c r="B115" s="70"/>
      <c r="C115" s="70"/>
      <c r="D115" s="301">
        <v>8</v>
      </c>
      <c r="E115" s="293">
        <f>L95</f>
        <v>2014</v>
      </c>
      <c r="F115" s="294" t="str">
        <f>L98</f>
        <v>2020 Actual Distribution Revenues</v>
      </c>
      <c r="G115" s="295"/>
      <c r="H115" s="295"/>
      <c r="I115" s="296"/>
      <c r="J115" s="294" t="str">
        <f>L99</f>
        <v>2014 Board-Approved Distribution Revenues</v>
      </c>
      <c r="K115" s="295"/>
      <c r="L115" s="295"/>
      <c r="M115" s="296"/>
      <c r="N115" s="70"/>
    </row>
    <row r="116" spans="1:14" x14ac:dyDescent="0.25">
      <c r="A116" s="70"/>
      <c r="B116" s="70"/>
      <c r="C116" s="70"/>
      <c r="D116" s="70"/>
      <c r="E116" s="70"/>
      <c r="F116" s="70"/>
      <c r="G116" s="70"/>
      <c r="H116" s="70"/>
      <c r="I116" s="70"/>
      <c r="J116" s="70"/>
      <c r="K116" s="70"/>
      <c r="L116" s="70"/>
      <c r="M116" s="70"/>
      <c r="N116" s="70"/>
    </row>
    <row r="117" spans="1:14" x14ac:dyDescent="0.25">
      <c r="A117" s="70"/>
      <c r="B117" s="70"/>
      <c r="C117" s="70"/>
      <c r="D117" s="70"/>
      <c r="E117" s="70"/>
      <c r="F117" s="70"/>
      <c r="G117" s="70"/>
      <c r="H117" s="70"/>
      <c r="I117" s="70"/>
      <c r="J117" s="70"/>
      <c r="K117" s="70"/>
      <c r="L117" s="70"/>
      <c r="M117" s="70"/>
      <c r="N117" s="70"/>
    </row>
  </sheetData>
  <mergeCells count="31">
    <mergeCell ref="F24:J24"/>
    <mergeCell ref="F14:L14"/>
    <mergeCell ref="F16:J16"/>
    <mergeCell ref="F18:J18"/>
    <mergeCell ref="F20:J20"/>
    <mergeCell ref="F22:J22"/>
    <mergeCell ref="A36:E36"/>
    <mergeCell ref="F36:H36"/>
    <mergeCell ref="A26:E26"/>
    <mergeCell ref="F26:H26"/>
    <mergeCell ref="A28:E28"/>
    <mergeCell ref="F28:H28"/>
    <mergeCell ref="F30:H30"/>
    <mergeCell ref="A32:E32"/>
    <mergeCell ref="F32:H32"/>
    <mergeCell ref="A34:E34"/>
    <mergeCell ref="F34:H34"/>
    <mergeCell ref="D91:G91"/>
    <mergeCell ref="H91:L91"/>
    <mergeCell ref="A64:M64"/>
    <mergeCell ref="F38:H38"/>
    <mergeCell ref="F40:H40"/>
    <mergeCell ref="F42:H42"/>
    <mergeCell ref="F44:H44"/>
    <mergeCell ref="A46:E47"/>
    <mergeCell ref="F46:H46"/>
    <mergeCell ref="J46:M50"/>
    <mergeCell ref="F47:H47"/>
    <mergeCell ref="C51:L51"/>
    <mergeCell ref="C53:N53"/>
    <mergeCell ref="C55:M55"/>
  </mergeCells>
  <dataValidations count="8">
    <dataValidation type="list" allowBlank="1" showInputMessage="1" showErrorMessage="1" sqref="F14:L14">
      <formula1>LDCNAMES</formula1>
    </dataValidation>
    <dataValidation allowBlank="1" showInputMessage="1" showErrorMessage="1" prompt="First and last name, title" sqref="F20:J20"/>
    <dataValidation showErrorMessage="1" errorTitle="Selection Needed" error="Please select an option from the drop-down list." prompt="Use the following format eg: January 1, 2013" sqref="F42:H42 F34:H34 F38:H38 F44:H44 F40:H40"/>
    <dataValidation type="whole" showErrorMessage="1" errorTitle="Incorrect Input" error="Please re-enter your last cost of service rebasing YEAR and ensure that it is in the following format: 20XX" prompt="Use the following format eg: January 1, 2013" sqref="F36:H36 F32:H32">
      <formula1>2000</formula1>
      <formula2>2100</formula2>
    </dataValidation>
    <dataValidation type="list" showErrorMessage="1" errorTitle="Selection Needed" error="Please select an option from the drop-down list." prompt="Use the following format eg: January 1, 2013" sqref="F26:H26">
      <formula1>"COS, Price-Cap IR"</formula1>
    </dataValidation>
    <dataValidation type="list" showErrorMessage="1" errorTitle="Incorrect Input" error="Please enter a number between 1 and 4." prompt="Use the following format eg: January 1, 2013" sqref="F28:H28">
      <formula1>"1, 2, 3,4,5,6,7,8,9,10"</formula1>
    </dataValidation>
    <dataValidation type="list" allowBlank="1" showInputMessage="1" showErrorMessage="1" sqref="K26">
      <formula1>"2016, 2017, 2018, 2019"</formula1>
    </dataValidation>
    <dataValidation type="list" showErrorMessage="1" sqref="F30:H30">
      <formula1>"ICM Approval, ACM and ICM Approval"</formula1>
    </dataValidation>
  </dataValidations>
  <hyperlinks>
    <hyperlink ref="F24" r:id="rId1"/>
  </hyperlinks>
  <pageMargins left="0.70866141732283472" right="0.70866141732283472" top="0.74803149606299213" bottom="0.74803149606299213" header="0.31496062992125984" footer="0.31496062992125984"/>
  <pageSetup scale="50" orientation="portrait" r:id="rId2"/>
  <headerFooter>
    <oddFooter>&amp;C&amp;A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L86"/>
  <sheetViews>
    <sheetView showGridLines="0" topLeftCell="C43" workbookViewId="0">
      <selection activeCell="G1" sqref="G1:L1048576"/>
    </sheetView>
  </sheetViews>
  <sheetFormatPr defaultRowHeight="15" x14ac:dyDescent="0.25"/>
  <cols>
    <col min="2" max="2" width="55" customWidth="1"/>
    <col min="3" max="3" width="11.28515625" style="72" customWidth="1"/>
    <col min="4" max="4" width="4.5703125" bestFit="1" customWidth="1"/>
    <col min="5" max="5" width="28.140625" customWidth="1"/>
    <col min="6" max="6" width="26.140625" bestFit="1" customWidth="1"/>
    <col min="7" max="12" width="15.7109375" hidden="1" customWidth="1"/>
  </cols>
  <sheetData>
    <row r="6" spans="2:6" ht="26.25" x14ac:dyDescent="0.4">
      <c r="B6" s="219"/>
      <c r="C6" s="46"/>
      <c r="D6" s="34"/>
      <c r="E6" s="34"/>
      <c r="F6" s="34"/>
    </row>
    <row r="7" spans="2:6" x14ac:dyDescent="0.25">
      <c r="B7" s="34"/>
      <c r="C7" s="46"/>
      <c r="D7" s="34"/>
      <c r="E7" s="34"/>
      <c r="F7" s="34"/>
    </row>
    <row r="8" spans="2:6" x14ac:dyDescent="0.25">
      <c r="B8" s="34"/>
      <c r="C8" s="46"/>
      <c r="D8" s="34"/>
      <c r="E8" s="34"/>
      <c r="F8" s="34"/>
    </row>
    <row r="9" spans="2:6" x14ac:dyDescent="0.25">
      <c r="B9" s="34"/>
      <c r="C9" s="46"/>
      <c r="D9" s="34"/>
      <c r="E9" s="34"/>
      <c r="F9" s="34"/>
    </row>
    <row r="10" spans="2:6" x14ac:dyDescent="0.25">
      <c r="B10" s="34"/>
      <c r="C10" s="46"/>
      <c r="D10" s="34"/>
      <c r="E10" s="34"/>
      <c r="F10" s="34"/>
    </row>
    <row r="11" spans="2:6" x14ac:dyDescent="0.25">
      <c r="B11" s="34"/>
      <c r="C11" s="46"/>
      <c r="D11" s="34"/>
      <c r="E11" s="34"/>
      <c r="F11" s="34"/>
    </row>
    <row r="12" spans="2:6" ht="18" x14ac:dyDescent="0.25">
      <c r="B12" s="220" t="s">
        <v>239</v>
      </c>
      <c r="C12" s="46"/>
      <c r="D12" s="34"/>
      <c r="E12" s="34"/>
      <c r="F12" s="221"/>
    </row>
    <row r="13" spans="2:6" x14ac:dyDescent="0.25">
      <c r="B13" s="222"/>
      <c r="C13" s="222"/>
      <c r="D13" s="222"/>
      <c r="E13" s="222"/>
    </row>
    <row r="14" spans="2:6" x14ac:dyDescent="0.25">
      <c r="C14"/>
    </row>
    <row r="15" spans="2:6" ht="15.75" thickBot="1" x14ac:dyDescent="0.3">
      <c r="B15" s="34"/>
      <c r="C15" s="46"/>
      <c r="D15" s="34"/>
      <c r="E15" s="34"/>
      <c r="F15" s="34"/>
    </row>
    <row r="16" spans="2:6" ht="18.75" thickBot="1" x14ac:dyDescent="0.3">
      <c r="B16" s="223" t="s">
        <v>240</v>
      </c>
      <c r="C16" s="46"/>
      <c r="D16" s="34"/>
      <c r="E16" s="221"/>
      <c r="F16" s="34"/>
    </row>
    <row r="17" spans="2:12" ht="15.75" x14ac:dyDescent="0.25">
      <c r="B17" s="224"/>
      <c r="C17" s="225"/>
      <c r="D17" s="226"/>
      <c r="E17" s="227"/>
      <c r="F17" s="228"/>
    </row>
    <row r="18" spans="2:12" ht="16.5" thickBot="1" x14ac:dyDescent="0.3">
      <c r="B18" s="229" t="s">
        <v>241</v>
      </c>
      <c r="C18" s="230"/>
      <c r="D18" s="231"/>
      <c r="E18" s="232">
        <f>'6. Rev_Requ_Check'!E62</f>
        <v>29406581.15257962</v>
      </c>
      <c r="F18" s="228" t="s">
        <v>103</v>
      </c>
    </row>
    <row r="19" spans="2:12" ht="16.5" thickBot="1" x14ac:dyDescent="0.3">
      <c r="B19" s="233"/>
      <c r="C19" s="234"/>
      <c r="D19" s="235"/>
      <c r="E19" s="236"/>
      <c r="F19" s="228"/>
    </row>
    <row r="20" spans="2:12" ht="16.5" thickBot="1" x14ac:dyDescent="0.3">
      <c r="B20" s="34"/>
      <c r="C20" s="237"/>
      <c r="D20" s="238"/>
      <c r="E20" s="14"/>
      <c r="F20" s="228"/>
    </row>
    <row r="21" spans="2:12" ht="18.75" thickBot="1" x14ac:dyDescent="0.3">
      <c r="B21" s="223" t="s">
        <v>144</v>
      </c>
      <c r="C21" s="237"/>
      <c r="D21" s="238"/>
      <c r="E21" s="14"/>
      <c r="F21" s="228"/>
      <c r="G21" s="306" t="s">
        <v>324</v>
      </c>
      <c r="H21" s="306" t="s">
        <v>325</v>
      </c>
      <c r="I21" s="306" t="s">
        <v>323</v>
      </c>
      <c r="J21" s="306"/>
      <c r="K21" s="306"/>
      <c r="L21" s="306" t="s">
        <v>326</v>
      </c>
    </row>
    <row r="22" spans="2:12" ht="15.75" x14ac:dyDescent="0.25">
      <c r="B22" s="229" t="s">
        <v>242</v>
      </c>
      <c r="C22" s="239"/>
      <c r="D22" s="240"/>
      <c r="E22" s="241">
        <f>+'10b. Proposed ACM ICM Projects'!J79+'10b. Proposed ACM ICM Projects'!M79</f>
        <v>4850000</v>
      </c>
      <c r="F22" s="228" t="s">
        <v>104</v>
      </c>
      <c r="G22" s="308">
        <f>+'10b. Proposed ACM ICM Projects'!J60+'10b. Proposed ACM ICM Projects'!M60</f>
        <v>2500000</v>
      </c>
      <c r="H22" s="309">
        <f>+'10b. Proposed ACM ICM Projects'!J61+'10b. Proposed ACM ICM Projects'!M61</f>
        <v>2000000</v>
      </c>
      <c r="I22" s="309">
        <f>+'10b. Proposed ACM ICM Projects'!M62</f>
        <v>350000</v>
      </c>
      <c r="J22" s="309">
        <f>+'10b. Proposed ACM ICM Projects'!M63</f>
        <v>0</v>
      </c>
      <c r="K22" s="309">
        <f>+'10b. Proposed ACM ICM Projects'!M64</f>
        <v>0</v>
      </c>
      <c r="L22" s="309">
        <f>SUM(G22:K22)-E22</f>
        <v>0</v>
      </c>
    </row>
    <row r="23" spans="2:12" ht="15.75" x14ac:dyDescent="0.25">
      <c r="B23" s="229" t="s">
        <v>17</v>
      </c>
      <c r="C23" s="237"/>
      <c r="D23" s="242"/>
      <c r="E23" s="243">
        <f>+'10b. Proposed ACM ICM Projects'!K79+'10b. Proposed ACM ICM Projects'!N79</f>
        <v>80833.333333333328</v>
      </c>
      <c r="F23" s="228" t="s">
        <v>105</v>
      </c>
      <c r="G23" s="310">
        <f>+'10b. Proposed ACM ICM Projects'!K60+'10b. Proposed ACM ICM Projects'!N60</f>
        <v>41666.666666666664</v>
      </c>
      <c r="H23" s="311">
        <f>+'10b. Proposed ACM ICM Projects'!K61+'10b. Proposed ACM ICM Projects'!N61</f>
        <v>33333.333333333336</v>
      </c>
      <c r="I23" s="311">
        <f>+'10b. Proposed ACM ICM Projects'!N62</f>
        <v>5833.333333333333</v>
      </c>
      <c r="J23" s="311">
        <f>+'10b. Proposed ACM ICM Projects'!N63</f>
        <v>0</v>
      </c>
      <c r="K23" s="311">
        <f>+'10b. Proposed ACM ICM Projects'!N64</f>
        <v>0</v>
      </c>
      <c r="L23" s="311">
        <f>SUM(G23:K23)-E23</f>
        <v>0</v>
      </c>
    </row>
    <row r="24" spans="2:12" ht="16.5" thickBot="1" x14ac:dyDescent="0.3">
      <c r="B24" s="229" t="s">
        <v>243</v>
      </c>
      <c r="C24" s="230"/>
      <c r="D24" s="242"/>
      <c r="E24" s="232">
        <f>E22-E23</f>
        <v>4769166.666666667</v>
      </c>
      <c r="F24" s="228" t="s">
        <v>244</v>
      </c>
      <c r="G24" s="312">
        <f>+G22-G23</f>
        <v>2458333.3333333335</v>
      </c>
      <c r="H24" s="312">
        <f t="shared" ref="H24:K24" si="0">+H22-H23</f>
        <v>1966666.6666666667</v>
      </c>
      <c r="I24" s="312">
        <f t="shared" si="0"/>
        <v>344166.66666666669</v>
      </c>
      <c r="J24" s="312">
        <f t="shared" si="0"/>
        <v>0</v>
      </c>
      <c r="K24" s="312">
        <f t="shared" si="0"/>
        <v>0</v>
      </c>
      <c r="L24" s="312">
        <f>SUM(G24:K24)-E24</f>
        <v>0</v>
      </c>
    </row>
    <row r="25" spans="2:12" ht="15.75" x14ac:dyDescent="0.25">
      <c r="B25" s="229"/>
      <c r="C25" s="230"/>
      <c r="D25" s="242"/>
      <c r="E25" s="243"/>
      <c r="F25" s="228"/>
      <c r="G25" s="310"/>
      <c r="H25" s="311"/>
      <c r="I25" s="311"/>
      <c r="J25" s="311"/>
      <c r="K25" s="311"/>
      <c r="L25" s="311"/>
    </row>
    <row r="26" spans="2:12" ht="15.75" x14ac:dyDescent="0.25">
      <c r="B26" s="229" t="s">
        <v>145</v>
      </c>
      <c r="C26" s="244">
        <f>'6. Rev_Requ_Check'!C36</f>
        <v>0.04</v>
      </c>
      <c r="D26" s="242" t="s">
        <v>107</v>
      </c>
      <c r="E26" s="243">
        <f>E24*C26</f>
        <v>190766.66666666669</v>
      </c>
      <c r="F26" s="228" t="s">
        <v>245</v>
      </c>
      <c r="G26" s="310">
        <f>G24*$C26</f>
        <v>98333.333333333343</v>
      </c>
      <c r="H26" s="310">
        <f t="shared" ref="H26:K26" si="1">H24*$C26</f>
        <v>78666.666666666672</v>
      </c>
      <c r="I26" s="310">
        <f t="shared" si="1"/>
        <v>13766.666666666668</v>
      </c>
      <c r="J26" s="310">
        <f t="shared" si="1"/>
        <v>0</v>
      </c>
      <c r="K26" s="310">
        <f t="shared" si="1"/>
        <v>0</v>
      </c>
      <c r="L26" s="310">
        <f>SUM(G26:K26)-E26</f>
        <v>0</v>
      </c>
    </row>
    <row r="27" spans="2:12" ht="15.75" x14ac:dyDescent="0.25">
      <c r="B27" s="229" t="s">
        <v>148</v>
      </c>
      <c r="C27" s="244">
        <f>'6. Rev_Requ_Check'!C37</f>
        <v>0.56000000000000005</v>
      </c>
      <c r="D27" s="242" t="s">
        <v>108</v>
      </c>
      <c r="E27" s="243">
        <f>E24*C27</f>
        <v>2670733.333333334</v>
      </c>
      <c r="F27" s="228" t="s">
        <v>246</v>
      </c>
      <c r="G27" s="310">
        <f>G24*$C27</f>
        <v>1376666.666666667</v>
      </c>
      <c r="H27" s="310">
        <f t="shared" ref="H27:K27" si="2">H24*$C27</f>
        <v>1101333.3333333335</v>
      </c>
      <c r="I27" s="310">
        <f t="shared" si="2"/>
        <v>192733.33333333337</v>
      </c>
      <c r="J27" s="310">
        <f t="shared" si="2"/>
        <v>0</v>
      </c>
      <c r="K27" s="310">
        <f t="shared" si="2"/>
        <v>0</v>
      </c>
      <c r="L27" s="310">
        <f>SUM(G27:K27)-E27</f>
        <v>0</v>
      </c>
    </row>
    <row r="28" spans="2:12" ht="15.75" x14ac:dyDescent="0.25">
      <c r="B28" s="229"/>
      <c r="C28" s="245"/>
      <c r="D28" s="242"/>
      <c r="E28" s="243"/>
      <c r="F28" s="228"/>
      <c r="G28" s="310"/>
      <c r="H28" s="310"/>
      <c r="I28" s="310"/>
      <c r="J28" s="310"/>
      <c r="K28" s="310"/>
      <c r="L28" s="310"/>
    </row>
    <row r="29" spans="2:12" ht="15.75" x14ac:dyDescent="0.25">
      <c r="B29" s="229" t="s">
        <v>154</v>
      </c>
      <c r="C29" s="246">
        <f>'6. Rev_Requ_Check'!C40</f>
        <v>2.1100000000000001E-2</v>
      </c>
      <c r="D29" s="242" t="s">
        <v>129</v>
      </c>
      <c r="E29" s="243">
        <f>E26*C29</f>
        <v>4025.1766666666672</v>
      </c>
      <c r="F29" s="228" t="s">
        <v>247</v>
      </c>
      <c r="G29" s="310">
        <f>G26*$C29</f>
        <v>2074.8333333333335</v>
      </c>
      <c r="H29" s="310">
        <f t="shared" ref="H29:K29" si="3">H26*$C29</f>
        <v>1659.8666666666668</v>
      </c>
      <c r="I29" s="310">
        <f t="shared" si="3"/>
        <v>290.47666666666669</v>
      </c>
      <c r="J29" s="310">
        <f t="shared" si="3"/>
        <v>0</v>
      </c>
      <c r="K29" s="310">
        <f t="shared" si="3"/>
        <v>0</v>
      </c>
      <c r="L29" s="310">
        <f>SUM(G29:K29)-E29</f>
        <v>0</v>
      </c>
    </row>
    <row r="30" spans="2:12" ht="15.75" x14ac:dyDescent="0.25">
      <c r="B30" s="229" t="s">
        <v>157</v>
      </c>
      <c r="C30" s="246">
        <f>'6. Rev_Requ_Check'!C41</f>
        <v>4.7300000000000002E-2</v>
      </c>
      <c r="D30" s="242" t="s">
        <v>131</v>
      </c>
      <c r="E30" s="243">
        <f>E27*C30</f>
        <v>126325.6866666667</v>
      </c>
      <c r="F30" s="228" t="s">
        <v>248</v>
      </c>
      <c r="G30" s="310">
        <f>G27*$C30</f>
        <v>65116.33333333335</v>
      </c>
      <c r="H30" s="310">
        <f t="shared" ref="H30:K30" si="4">H27*$C30</f>
        <v>52093.066666666673</v>
      </c>
      <c r="I30" s="310">
        <f t="shared" si="4"/>
        <v>9116.2866666666687</v>
      </c>
      <c r="J30" s="310">
        <f t="shared" si="4"/>
        <v>0</v>
      </c>
      <c r="K30" s="310">
        <f t="shared" si="4"/>
        <v>0</v>
      </c>
      <c r="L30" s="310">
        <f>SUM(G30:K30)-E30</f>
        <v>0</v>
      </c>
    </row>
    <row r="31" spans="2:12" ht="15.75" x14ac:dyDescent="0.25">
      <c r="B31" s="229"/>
      <c r="C31" s="230"/>
      <c r="D31" s="242"/>
      <c r="E31" s="243"/>
      <c r="F31" s="228"/>
      <c r="G31" s="310"/>
      <c r="H31" s="310"/>
      <c r="I31" s="310"/>
      <c r="J31" s="310"/>
      <c r="K31" s="310"/>
      <c r="L31" s="310"/>
    </row>
    <row r="32" spans="2:12" ht="16.5" thickBot="1" x14ac:dyDescent="0.3">
      <c r="B32" s="229" t="s">
        <v>249</v>
      </c>
      <c r="C32" s="230"/>
      <c r="D32" s="242"/>
      <c r="E32" s="232">
        <f>SUM(E29:E30)</f>
        <v>130350.86333333337</v>
      </c>
      <c r="F32" s="228" t="s">
        <v>250</v>
      </c>
      <c r="G32" s="312">
        <f>SUM(G29:G30)</f>
        <v>67191.166666666686</v>
      </c>
      <c r="H32" s="312">
        <f t="shared" ref="H32:K32" si="5">SUM(H29:H30)</f>
        <v>53752.933333333342</v>
      </c>
      <c r="I32" s="312">
        <f t="shared" si="5"/>
        <v>9406.763333333336</v>
      </c>
      <c r="J32" s="312">
        <f t="shared" si="5"/>
        <v>0</v>
      </c>
      <c r="K32" s="312">
        <f t="shared" si="5"/>
        <v>0</v>
      </c>
      <c r="L32" s="312">
        <f>SUM(G32:K32)-E32</f>
        <v>0</v>
      </c>
    </row>
    <row r="33" spans="2:12" ht="15.75" x14ac:dyDescent="0.25">
      <c r="B33" s="229"/>
      <c r="C33" s="230"/>
      <c r="D33" s="242"/>
      <c r="E33" s="243"/>
      <c r="F33" s="228"/>
      <c r="G33" s="310"/>
      <c r="H33" s="310"/>
      <c r="I33" s="310"/>
      <c r="J33" s="310"/>
      <c r="K33" s="310"/>
      <c r="L33" s="310"/>
    </row>
    <row r="34" spans="2:12" ht="15.75" x14ac:dyDescent="0.25">
      <c r="B34" s="229"/>
      <c r="C34" s="230"/>
      <c r="D34" s="242"/>
      <c r="E34" s="243"/>
      <c r="F34" s="228"/>
      <c r="G34" s="310"/>
      <c r="H34" s="310"/>
      <c r="I34" s="310"/>
      <c r="J34" s="310"/>
      <c r="K34" s="310"/>
      <c r="L34" s="310"/>
    </row>
    <row r="35" spans="2:12" ht="15.75" x14ac:dyDescent="0.25">
      <c r="B35" s="229" t="s">
        <v>151</v>
      </c>
      <c r="C35" s="246">
        <f>'6. Rev_Requ_Check'!C38</f>
        <v>0.39999999999999991</v>
      </c>
      <c r="D35" s="242" t="s">
        <v>251</v>
      </c>
      <c r="E35" s="243">
        <f>E24*C35</f>
        <v>1907666.6666666663</v>
      </c>
      <c r="F35" s="228" t="s">
        <v>252</v>
      </c>
      <c r="G35" s="319">
        <f>G24* $C35</f>
        <v>983333.33333333314</v>
      </c>
      <c r="H35" s="319">
        <f t="shared" ref="H35:K35" si="6">H24* $C35</f>
        <v>786666.66666666651</v>
      </c>
      <c r="I35" s="319">
        <f t="shared" si="6"/>
        <v>137666.66666666666</v>
      </c>
      <c r="J35" s="319">
        <f t="shared" si="6"/>
        <v>0</v>
      </c>
      <c r="K35" s="319">
        <f t="shared" si="6"/>
        <v>0</v>
      </c>
      <c r="L35" s="319">
        <f>SUM(G35:K35)-E35</f>
        <v>0</v>
      </c>
    </row>
    <row r="36" spans="2:12" ht="15.75" x14ac:dyDescent="0.25">
      <c r="B36" s="229"/>
      <c r="C36" s="230"/>
      <c r="D36" s="242"/>
      <c r="E36" s="243"/>
      <c r="F36" s="228"/>
      <c r="G36" s="310"/>
      <c r="H36" s="310"/>
      <c r="I36" s="310"/>
      <c r="J36" s="310"/>
      <c r="K36" s="310"/>
      <c r="L36" s="310"/>
    </row>
    <row r="37" spans="2:12" ht="15.75" x14ac:dyDescent="0.25">
      <c r="B37" s="229" t="s">
        <v>253</v>
      </c>
      <c r="C37" s="246">
        <f>'6. Rev_Requ_Check'!C42</f>
        <v>9.3600000000000003E-2</v>
      </c>
      <c r="D37" s="242" t="s">
        <v>254</v>
      </c>
      <c r="E37" s="243">
        <f>E35*C37</f>
        <v>178557.59999999998</v>
      </c>
      <c r="F37" s="228" t="s">
        <v>255</v>
      </c>
      <c r="G37" s="310">
        <f>G35*$C37</f>
        <v>92039.999999999985</v>
      </c>
      <c r="H37" s="310">
        <f t="shared" ref="H37:K37" si="7">H35*$C37</f>
        <v>73631.999999999985</v>
      </c>
      <c r="I37" s="310">
        <f t="shared" si="7"/>
        <v>12885.6</v>
      </c>
      <c r="J37" s="310">
        <f t="shared" si="7"/>
        <v>0</v>
      </c>
      <c r="K37" s="310">
        <f t="shared" si="7"/>
        <v>0</v>
      </c>
      <c r="L37" s="310">
        <f>SUM(G37:K37)-E37</f>
        <v>0</v>
      </c>
    </row>
    <row r="38" spans="2:12" ht="15.75" x14ac:dyDescent="0.25">
      <c r="B38" s="229"/>
      <c r="C38" s="230"/>
      <c r="D38" s="231"/>
      <c r="E38" s="243"/>
      <c r="F38" s="228"/>
      <c r="G38" s="310"/>
      <c r="H38" s="310"/>
      <c r="I38" s="310"/>
      <c r="J38" s="310"/>
      <c r="K38" s="310"/>
      <c r="L38" s="310"/>
    </row>
    <row r="39" spans="2:12" ht="16.5" thickBot="1" x14ac:dyDescent="0.3">
      <c r="B39" s="229" t="s">
        <v>256</v>
      </c>
      <c r="C39" s="237"/>
      <c r="D39" s="231"/>
      <c r="E39" s="232">
        <f>E32+E37</f>
        <v>308908.46333333338</v>
      </c>
      <c r="F39" s="228" t="s">
        <v>257</v>
      </c>
      <c r="G39" s="312">
        <f>G32+G37</f>
        <v>159231.16666666669</v>
      </c>
      <c r="H39" s="312">
        <f t="shared" ref="H39:K39" si="8">H32+H37</f>
        <v>127384.93333333332</v>
      </c>
      <c r="I39" s="312">
        <f t="shared" si="8"/>
        <v>22292.363333333335</v>
      </c>
      <c r="J39" s="312">
        <f t="shared" si="8"/>
        <v>0</v>
      </c>
      <c r="K39" s="312">
        <f t="shared" si="8"/>
        <v>0</v>
      </c>
      <c r="L39" s="312">
        <f>SUM(G39:K39)-E39</f>
        <v>0</v>
      </c>
    </row>
    <row r="40" spans="2:12" ht="16.5" thickBot="1" x14ac:dyDescent="0.3">
      <c r="B40" s="247"/>
      <c r="C40" s="234"/>
      <c r="D40" s="235"/>
      <c r="E40" s="236"/>
      <c r="F40" s="228"/>
      <c r="G40" s="320"/>
      <c r="H40" s="320"/>
      <c r="I40" s="320"/>
      <c r="J40" s="320"/>
      <c r="K40" s="320"/>
      <c r="L40" s="320"/>
    </row>
    <row r="41" spans="2:12" ht="15.75" x14ac:dyDescent="0.25">
      <c r="B41" s="34"/>
      <c r="C41" s="237"/>
      <c r="D41" s="238"/>
      <c r="E41" s="14"/>
      <c r="F41" s="228"/>
      <c r="G41" s="321"/>
      <c r="H41" s="321"/>
      <c r="I41" s="321"/>
      <c r="J41" s="321"/>
      <c r="K41" s="321"/>
      <c r="L41" s="310"/>
    </row>
    <row r="42" spans="2:12" ht="16.5" thickBot="1" x14ac:dyDescent="0.3">
      <c r="B42" s="34"/>
      <c r="C42" s="46"/>
      <c r="D42" s="34"/>
      <c r="E42" s="248"/>
      <c r="F42" s="228"/>
      <c r="G42" s="322"/>
      <c r="H42" s="322"/>
      <c r="I42" s="322"/>
      <c r="J42" s="322"/>
      <c r="K42" s="322"/>
      <c r="L42" s="324"/>
    </row>
    <row r="43" spans="2:12" ht="18.75" thickBot="1" x14ac:dyDescent="0.3">
      <c r="B43" s="249" t="s">
        <v>236</v>
      </c>
      <c r="C43" s="225"/>
      <c r="D43" s="226"/>
      <c r="E43" s="227"/>
      <c r="F43" s="228"/>
      <c r="G43" s="323"/>
      <c r="H43" s="323"/>
      <c r="I43" s="323"/>
      <c r="J43" s="323"/>
      <c r="K43" s="323"/>
      <c r="L43" s="323"/>
    </row>
    <row r="44" spans="2:12" ht="18" x14ac:dyDescent="0.25">
      <c r="B44" s="250"/>
      <c r="C44" s="251"/>
      <c r="D44" s="252"/>
      <c r="E44" s="253"/>
      <c r="F44" s="228"/>
      <c r="G44" s="324"/>
      <c r="H44" s="324"/>
      <c r="I44" s="324"/>
      <c r="J44" s="324"/>
      <c r="K44" s="324"/>
      <c r="L44" s="324"/>
    </row>
    <row r="45" spans="2:12" ht="15.75" x14ac:dyDescent="0.25">
      <c r="B45" s="229" t="s">
        <v>258</v>
      </c>
      <c r="C45" s="251"/>
      <c r="D45" s="228" t="s">
        <v>105</v>
      </c>
      <c r="E45" s="243">
        <f>E23</f>
        <v>80833.333333333328</v>
      </c>
      <c r="F45" s="228" t="s">
        <v>259</v>
      </c>
      <c r="G45" s="310">
        <f>G23</f>
        <v>41666.666666666664</v>
      </c>
      <c r="H45" s="310">
        <f t="shared" ref="H45:K45" si="9">H23</f>
        <v>33333.333333333336</v>
      </c>
      <c r="I45" s="310">
        <f t="shared" si="9"/>
        <v>5833.333333333333</v>
      </c>
      <c r="J45" s="310">
        <f t="shared" si="9"/>
        <v>0</v>
      </c>
      <c r="K45" s="310">
        <f t="shared" si="9"/>
        <v>0</v>
      </c>
      <c r="L45" s="310">
        <f>SUM(G45:K45)-E45</f>
        <v>0</v>
      </c>
    </row>
    <row r="46" spans="2:12" ht="16.5" thickBot="1" x14ac:dyDescent="0.3">
      <c r="B46" s="233"/>
      <c r="C46" s="254"/>
      <c r="D46" s="255"/>
      <c r="E46" s="236"/>
      <c r="F46" s="228"/>
      <c r="G46" s="320"/>
      <c r="H46" s="320"/>
      <c r="I46" s="320"/>
      <c r="J46" s="320"/>
      <c r="K46" s="320"/>
      <c r="L46" s="320"/>
    </row>
    <row r="47" spans="2:12" ht="16.5" thickBot="1" x14ac:dyDescent="0.3">
      <c r="B47" s="34"/>
      <c r="C47" s="46"/>
      <c r="D47" s="34"/>
      <c r="E47" s="14"/>
      <c r="F47" s="228"/>
      <c r="G47" s="321"/>
      <c r="H47" s="321"/>
      <c r="I47" s="321"/>
      <c r="J47" s="321"/>
      <c r="K47" s="321"/>
      <c r="L47" s="310"/>
    </row>
    <row r="48" spans="2:12" ht="18.75" thickBot="1" x14ac:dyDescent="0.3">
      <c r="B48" s="223" t="s">
        <v>260</v>
      </c>
      <c r="C48" s="225"/>
      <c r="D48" s="226"/>
      <c r="E48" s="241"/>
      <c r="F48" s="228"/>
      <c r="G48" s="308"/>
      <c r="H48" s="308"/>
      <c r="I48" s="308"/>
      <c r="J48" s="308"/>
      <c r="K48" s="308"/>
      <c r="L48" s="308"/>
    </row>
    <row r="49" spans="2:12" ht="18" x14ac:dyDescent="0.25">
      <c r="B49" s="256"/>
      <c r="C49" s="251"/>
      <c r="D49" s="252"/>
      <c r="E49" s="243"/>
      <c r="F49" s="228"/>
      <c r="G49" s="310"/>
      <c r="H49" s="310"/>
      <c r="I49" s="310"/>
      <c r="J49" s="310"/>
      <c r="K49" s="310"/>
      <c r="L49" s="310"/>
    </row>
    <row r="50" spans="2:12" ht="15.75" x14ac:dyDescent="0.25">
      <c r="B50" s="229" t="s">
        <v>261</v>
      </c>
      <c r="C50" s="251"/>
      <c r="D50" s="228" t="s">
        <v>254</v>
      </c>
      <c r="E50" s="243">
        <f>E37</f>
        <v>178557.59999999998</v>
      </c>
      <c r="F50" s="228" t="s">
        <v>262</v>
      </c>
      <c r="G50" s="310">
        <f>G37</f>
        <v>92039.999999999985</v>
      </c>
      <c r="H50" s="310">
        <f t="shared" ref="H50:K50" si="10">H37</f>
        <v>73631.999999999985</v>
      </c>
      <c r="I50" s="310">
        <f t="shared" si="10"/>
        <v>12885.6</v>
      </c>
      <c r="J50" s="310">
        <f t="shared" si="10"/>
        <v>0</v>
      </c>
      <c r="K50" s="310">
        <f t="shared" si="10"/>
        <v>0</v>
      </c>
      <c r="L50" s="310">
        <f>SUM(G50:K50)-E50</f>
        <v>0</v>
      </c>
    </row>
    <row r="51" spans="2:12" ht="15.75" x14ac:dyDescent="0.25">
      <c r="B51" s="229"/>
      <c r="C51" s="251"/>
      <c r="D51" s="252"/>
      <c r="E51" s="243"/>
      <c r="F51" s="228"/>
      <c r="G51" s="310"/>
      <c r="H51" s="310"/>
      <c r="I51" s="310"/>
      <c r="J51" s="310"/>
      <c r="K51" s="310"/>
      <c r="L51" s="310"/>
    </row>
    <row r="52" spans="2:12" ht="15.75" x14ac:dyDescent="0.25">
      <c r="B52" s="229" t="s">
        <v>263</v>
      </c>
      <c r="C52" s="251"/>
      <c r="D52" s="228" t="s">
        <v>259</v>
      </c>
      <c r="E52" s="243">
        <f>E45</f>
        <v>80833.333333333328</v>
      </c>
      <c r="F52" s="228" t="s">
        <v>149</v>
      </c>
      <c r="G52" s="310">
        <f>G45</f>
        <v>41666.666666666664</v>
      </c>
      <c r="H52" s="310">
        <f t="shared" ref="H52:K52" si="11">H45</f>
        <v>33333.333333333336</v>
      </c>
      <c r="I52" s="310">
        <f t="shared" si="11"/>
        <v>5833.333333333333</v>
      </c>
      <c r="J52" s="310">
        <f t="shared" si="11"/>
        <v>0</v>
      </c>
      <c r="K52" s="310">
        <f t="shared" si="11"/>
        <v>0</v>
      </c>
      <c r="L52" s="310">
        <f>SUM(G52:K52)-E52</f>
        <v>0</v>
      </c>
    </row>
    <row r="53" spans="2:12" ht="15.75" x14ac:dyDescent="0.25">
      <c r="B53" s="229"/>
      <c r="C53" s="251"/>
      <c r="D53" s="252"/>
      <c r="E53" s="243"/>
      <c r="F53" s="228"/>
      <c r="G53" s="310"/>
      <c r="H53" s="311"/>
      <c r="I53" s="311"/>
      <c r="J53" s="311"/>
      <c r="K53" s="311"/>
      <c r="L53" s="311"/>
    </row>
    <row r="54" spans="2:12" ht="15.75" x14ac:dyDescent="0.25">
      <c r="B54" s="229" t="s">
        <v>264</v>
      </c>
      <c r="C54" s="251"/>
      <c r="D54" s="257"/>
      <c r="E54" s="243">
        <f>+'10b. Proposed ACM ICM Projects'!L79+'10b. Proposed ACM ICM Projects'!O79</f>
        <v>339500.00000000006</v>
      </c>
      <c r="F54" s="228" t="s">
        <v>152</v>
      </c>
      <c r="G54" s="310">
        <f>+'10b. Proposed ACM ICM Projects'!L60+'10b. Proposed ACM ICM Projects'!O60</f>
        <v>175000.00000000003</v>
      </c>
      <c r="H54" s="311">
        <f>+'10b. Proposed ACM ICM Projects'!L61+'10b. Proposed ACM ICM Projects'!O61</f>
        <v>140000</v>
      </c>
      <c r="I54" s="311">
        <f>+'10b. Proposed ACM ICM Projects'!$O62</f>
        <v>24500.000000000004</v>
      </c>
      <c r="J54" s="311">
        <f>+'10b. Proposed ACM ICM Projects'!$O63</f>
        <v>0</v>
      </c>
      <c r="K54" s="311">
        <f>+'10b. Proposed ACM ICM Projects'!$O64</f>
        <v>0</v>
      </c>
      <c r="L54" s="311">
        <f>SUM(G54:K54)-E54</f>
        <v>0</v>
      </c>
    </row>
    <row r="55" spans="2:12" ht="15.75" x14ac:dyDescent="0.25">
      <c r="B55" s="229"/>
      <c r="C55" s="251"/>
      <c r="D55" s="257"/>
      <c r="E55" s="243"/>
      <c r="F55" s="228"/>
      <c r="G55" s="310"/>
      <c r="H55" s="311"/>
      <c r="I55" s="311"/>
      <c r="J55" s="311"/>
      <c r="K55" s="311"/>
      <c r="L55" s="311"/>
    </row>
    <row r="56" spans="2:12" ht="16.5" thickBot="1" x14ac:dyDescent="0.3">
      <c r="B56" s="229" t="s">
        <v>265</v>
      </c>
      <c r="C56" s="251"/>
      <c r="D56" s="257"/>
      <c r="E56" s="232">
        <f>E50+E52-E54</f>
        <v>-80109.066666666768</v>
      </c>
      <c r="F56" s="228" t="s">
        <v>266</v>
      </c>
      <c r="G56" s="312">
        <f>G50+G52-G54</f>
        <v>-41293.333333333372</v>
      </c>
      <c r="H56" s="313">
        <f t="shared" ref="H56:K56" si="12">H50+H52-H54</f>
        <v>-33034.666666666686</v>
      </c>
      <c r="I56" s="313">
        <f t="shared" si="12"/>
        <v>-5781.0666666666693</v>
      </c>
      <c r="J56" s="313">
        <f t="shared" si="12"/>
        <v>0</v>
      </c>
      <c r="K56" s="313">
        <f t="shared" si="12"/>
        <v>0</v>
      </c>
      <c r="L56" s="313">
        <f>SUM(G56:K56)-E56</f>
        <v>0</v>
      </c>
    </row>
    <row r="57" spans="2:12" ht="15.75" x14ac:dyDescent="0.25">
      <c r="B57" s="229"/>
      <c r="C57" s="251"/>
      <c r="D57" s="257"/>
      <c r="E57" s="253"/>
      <c r="F57" s="228"/>
      <c r="G57" s="324"/>
      <c r="H57" s="315"/>
      <c r="I57" s="315"/>
      <c r="J57" s="315"/>
      <c r="K57" s="315"/>
      <c r="L57" s="315"/>
    </row>
    <row r="58" spans="2:12" ht="15.75" x14ac:dyDescent="0.25">
      <c r="B58" s="229" t="s">
        <v>267</v>
      </c>
      <c r="C58" s="258">
        <v>0.26500000000000001</v>
      </c>
      <c r="D58" s="257" t="s">
        <v>268</v>
      </c>
      <c r="E58" s="253"/>
      <c r="F58" s="228"/>
      <c r="G58" s="324"/>
      <c r="H58" s="315"/>
      <c r="I58" s="315"/>
      <c r="J58" s="315"/>
      <c r="K58" s="315"/>
      <c r="L58" s="315"/>
    </row>
    <row r="59" spans="2:12" ht="15.75" x14ac:dyDescent="0.25">
      <c r="B59" s="229"/>
      <c r="C59" s="251"/>
      <c r="D59" s="252"/>
      <c r="E59" s="253"/>
      <c r="F59" s="228"/>
      <c r="G59" s="324"/>
      <c r="H59" s="315"/>
      <c r="I59" s="315"/>
      <c r="J59" s="315"/>
      <c r="K59" s="315"/>
      <c r="L59" s="315"/>
    </row>
    <row r="60" spans="2:12" ht="15.75" x14ac:dyDescent="0.25">
      <c r="B60" s="229" t="s">
        <v>269</v>
      </c>
      <c r="C60" s="251"/>
      <c r="D60" s="252"/>
      <c r="E60" s="243">
        <f>E56*C58</f>
        <v>-21228.902666666694</v>
      </c>
      <c r="F60" s="228" t="s">
        <v>270</v>
      </c>
      <c r="G60" s="310">
        <f>G56*$C58</f>
        <v>-10942.733333333344</v>
      </c>
      <c r="H60" s="310">
        <f t="shared" ref="H60:K60" si="13">H56*$C58</f>
        <v>-8754.186666666672</v>
      </c>
      <c r="I60" s="310">
        <f t="shared" si="13"/>
        <v>-1531.9826666666675</v>
      </c>
      <c r="J60" s="310">
        <f t="shared" si="13"/>
        <v>0</v>
      </c>
      <c r="K60" s="310">
        <f t="shared" si="13"/>
        <v>0</v>
      </c>
      <c r="L60" s="310">
        <f>SUM(G60:K60)-E60</f>
        <v>0</v>
      </c>
    </row>
    <row r="61" spans="2:12" ht="15.75" x14ac:dyDescent="0.25">
      <c r="B61" s="229"/>
      <c r="C61" s="251"/>
      <c r="D61" s="252"/>
      <c r="E61" s="243"/>
      <c r="F61" s="228"/>
      <c r="G61" s="310"/>
      <c r="H61" s="310"/>
      <c r="I61" s="310"/>
      <c r="J61" s="310"/>
      <c r="K61" s="310"/>
      <c r="L61" s="310"/>
    </row>
    <row r="62" spans="2:12" ht="15.75" x14ac:dyDescent="0.25">
      <c r="B62" s="229" t="s">
        <v>271</v>
      </c>
      <c r="C62" s="251"/>
      <c r="D62" s="252"/>
      <c r="E62" s="243">
        <f>E60/(1-C58)</f>
        <v>-28882.860770975094</v>
      </c>
      <c r="F62" s="228" t="s">
        <v>272</v>
      </c>
      <c r="G62" s="310">
        <f>G60/(1-$C58)</f>
        <v>-14888.072562358293</v>
      </c>
      <c r="H62" s="310">
        <f t="shared" ref="H62:K62" si="14">H60/(1-$C58)</f>
        <v>-11910.458049886629</v>
      </c>
      <c r="I62" s="310">
        <f t="shared" si="14"/>
        <v>-2084.3301587301598</v>
      </c>
      <c r="J62" s="310">
        <f t="shared" si="14"/>
        <v>0</v>
      </c>
      <c r="K62" s="310">
        <f t="shared" si="14"/>
        <v>0</v>
      </c>
      <c r="L62" s="310">
        <f>SUM(G62:K62)-E62</f>
        <v>0</v>
      </c>
    </row>
    <row r="63" spans="2:12" ht="16.5" thickBot="1" x14ac:dyDescent="0.3">
      <c r="B63" s="247"/>
      <c r="C63" s="254"/>
      <c r="D63" s="255"/>
      <c r="E63" s="259"/>
      <c r="F63" s="228"/>
      <c r="G63" s="325"/>
      <c r="H63" s="325"/>
      <c r="I63" s="325"/>
      <c r="J63" s="325"/>
      <c r="K63" s="325"/>
      <c r="L63" s="325"/>
    </row>
    <row r="64" spans="2:12" ht="15.75" hidden="1" x14ac:dyDescent="0.25">
      <c r="B64" s="34"/>
      <c r="C64" s="46"/>
      <c r="D64" s="34"/>
      <c r="E64" s="248"/>
      <c r="F64" s="228"/>
      <c r="G64" s="322"/>
      <c r="H64" s="314"/>
      <c r="I64" s="314"/>
      <c r="J64" s="314"/>
      <c r="K64" s="315"/>
      <c r="L64" s="315"/>
    </row>
    <row r="65" spans="2:12" ht="18" hidden="1" x14ac:dyDescent="0.25">
      <c r="B65" s="223" t="s">
        <v>169</v>
      </c>
      <c r="C65" s="46"/>
      <c r="D65" s="34"/>
      <c r="E65" s="248"/>
      <c r="F65" s="228"/>
      <c r="G65" s="322"/>
      <c r="H65" s="314"/>
      <c r="I65" s="314"/>
      <c r="J65" s="314"/>
      <c r="K65" s="315"/>
      <c r="L65" s="315"/>
    </row>
    <row r="66" spans="2:12" ht="15.75" hidden="1" x14ac:dyDescent="0.25">
      <c r="B66" s="229" t="s">
        <v>273</v>
      </c>
      <c r="C66" s="225"/>
      <c r="D66" s="226"/>
      <c r="E66" s="241"/>
      <c r="F66" s="228" t="s">
        <v>158</v>
      </c>
      <c r="G66" s="308"/>
      <c r="H66" s="309"/>
      <c r="I66" s="309"/>
      <c r="J66" s="309"/>
      <c r="K66" s="309"/>
      <c r="L66" s="309"/>
    </row>
    <row r="67" spans="2:12" ht="15.75" hidden="1" x14ac:dyDescent="0.25">
      <c r="B67" s="229"/>
      <c r="C67" s="251"/>
      <c r="D67" s="252"/>
      <c r="E67" s="253"/>
      <c r="F67" s="228"/>
      <c r="G67" s="324"/>
      <c r="H67" s="315"/>
      <c r="I67" s="315"/>
      <c r="J67" s="315"/>
      <c r="K67" s="315"/>
      <c r="L67" s="315"/>
    </row>
    <row r="68" spans="2:12" ht="15.75" hidden="1" x14ac:dyDescent="0.25">
      <c r="B68" s="229" t="s">
        <v>274</v>
      </c>
      <c r="C68" s="251"/>
      <c r="D68" s="252"/>
      <c r="E68" s="260"/>
      <c r="F68" s="228" t="s">
        <v>161</v>
      </c>
      <c r="G68" s="326"/>
      <c r="H68" s="317"/>
      <c r="I68" s="317"/>
      <c r="J68" s="317"/>
      <c r="K68" s="317"/>
      <c r="L68" s="317"/>
    </row>
    <row r="69" spans="2:12" ht="15.75" hidden="1" x14ac:dyDescent="0.25">
      <c r="B69" s="229"/>
      <c r="C69" s="251"/>
      <c r="D69" s="252"/>
      <c r="E69" s="253"/>
      <c r="F69" s="228"/>
      <c r="G69" s="324"/>
      <c r="H69" s="315"/>
      <c r="I69" s="315"/>
      <c r="J69" s="315"/>
      <c r="K69" s="315"/>
      <c r="L69" s="315"/>
    </row>
    <row r="70" spans="2:12" ht="15.75" hidden="1" x14ac:dyDescent="0.25">
      <c r="B70" s="229" t="s">
        <v>275</v>
      </c>
      <c r="C70" s="251"/>
      <c r="D70" s="252"/>
      <c r="E70" s="261"/>
      <c r="F70" s="228" t="s">
        <v>276</v>
      </c>
      <c r="G70" s="327"/>
      <c r="H70" s="318"/>
      <c r="I70" s="318"/>
      <c r="J70" s="318"/>
      <c r="K70" s="318"/>
      <c r="L70" s="318"/>
    </row>
    <row r="71" spans="2:12" ht="15.75" hidden="1" x14ac:dyDescent="0.25">
      <c r="B71" s="229"/>
      <c r="C71" s="251"/>
      <c r="D71" s="252"/>
      <c r="E71" s="253"/>
      <c r="F71" s="228"/>
      <c r="G71" s="324"/>
      <c r="H71" s="315"/>
      <c r="I71" s="315"/>
      <c r="J71" s="315"/>
      <c r="K71" s="315"/>
      <c r="L71" s="315"/>
    </row>
    <row r="72" spans="2:12" ht="15.75" hidden="1" x14ac:dyDescent="0.25">
      <c r="B72" s="229" t="s">
        <v>277</v>
      </c>
      <c r="C72" s="258"/>
      <c r="D72" s="228" t="s">
        <v>278</v>
      </c>
      <c r="E72" s="253"/>
      <c r="F72" s="228"/>
      <c r="G72" s="324"/>
      <c r="H72" s="315"/>
      <c r="I72" s="315"/>
      <c r="J72" s="315"/>
      <c r="K72" s="315"/>
      <c r="L72" s="315"/>
    </row>
    <row r="73" spans="2:12" ht="15.75" hidden="1" x14ac:dyDescent="0.25">
      <c r="B73" s="262"/>
      <c r="C73" s="251"/>
      <c r="D73" s="252"/>
      <c r="E73" s="253"/>
      <c r="F73" s="228"/>
      <c r="G73" s="324"/>
      <c r="H73" s="315"/>
      <c r="I73" s="315"/>
      <c r="J73" s="315"/>
      <c r="K73" s="315"/>
      <c r="L73" s="315"/>
    </row>
    <row r="74" spans="2:12" ht="16.5" hidden="1" thickBot="1" x14ac:dyDescent="0.3">
      <c r="B74" s="229" t="s">
        <v>279</v>
      </c>
      <c r="C74" s="251"/>
      <c r="D74" s="252"/>
      <c r="E74" s="232"/>
      <c r="F74" s="228" t="s">
        <v>280</v>
      </c>
      <c r="G74" s="312"/>
      <c r="H74" s="313"/>
      <c r="I74" s="313"/>
      <c r="J74" s="313"/>
      <c r="K74" s="313"/>
      <c r="L74" s="313"/>
    </row>
    <row r="75" spans="2:12" ht="16.5" hidden="1" thickBot="1" x14ac:dyDescent="0.3">
      <c r="B75" s="247"/>
      <c r="C75" s="254"/>
      <c r="D75" s="255"/>
      <c r="E75" s="259"/>
      <c r="F75" s="228"/>
      <c r="G75" s="325"/>
      <c r="H75" s="316"/>
      <c r="I75" s="316"/>
      <c r="J75" s="316"/>
      <c r="K75" s="316"/>
      <c r="L75" s="316"/>
    </row>
    <row r="76" spans="2:12" ht="16.5" thickBot="1" x14ac:dyDescent="0.3">
      <c r="B76" s="34"/>
      <c r="C76" s="46"/>
      <c r="D76" s="34"/>
      <c r="E76" s="248"/>
      <c r="F76" s="228"/>
      <c r="G76" s="322"/>
      <c r="H76" s="314"/>
      <c r="I76" s="314"/>
      <c r="J76" s="314"/>
      <c r="K76" s="315"/>
      <c r="L76" s="315"/>
    </row>
    <row r="77" spans="2:12" ht="18.75" thickBot="1" x14ac:dyDescent="0.3">
      <c r="B77" s="223" t="s">
        <v>281</v>
      </c>
      <c r="C77" s="46"/>
      <c r="D77" s="34"/>
      <c r="E77" s="248"/>
      <c r="F77" s="228"/>
      <c r="G77" s="322"/>
      <c r="H77" s="314"/>
      <c r="I77" s="314"/>
      <c r="J77" s="314"/>
      <c r="K77" s="315"/>
      <c r="L77" s="315"/>
    </row>
    <row r="78" spans="2:12" ht="15.75" x14ac:dyDescent="0.25">
      <c r="B78" s="263" t="s">
        <v>256</v>
      </c>
      <c r="C78" s="225"/>
      <c r="D78" s="264" t="s">
        <v>141</v>
      </c>
      <c r="E78" s="265">
        <f>E39</f>
        <v>308908.46333333338</v>
      </c>
      <c r="F78" s="228" t="s">
        <v>158</v>
      </c>
      <c r="G78" s="328">
        <f>G39</f>
        <v>159231.16666666669</v>
      </c>
      <c r="H78" s="328">
        <f t="shared" ref="H78:K78" si="15">H39</f>
        <v>127384.93333333332</v>
      </c>
      <c r="I78" s="328">
        <f t="shared" si="15"/>
        <v>22292.363333333335</v>
      </c>
      <c r="J78" s="328">
        <f t="shared" si="15"/>
        <v>0</v>
      </c>
      <c r="K78" s="328">
        <f t="shared" si="15"/>
        <v>0</v>
      </c>
      <c r="L78" s="328">
        <f>SUM(G78:K78)-E78</f>
        <v>0</v>
      </c>
    </row>
    <row r="79" spans="2:12" ht="15.75" x14ac:dyDescent="0.25">
      <c r="B79" s="229" t="s">
        <v>282</v>
      </c>
      <c r="C79" s="251"/>
      <c r="D79" s="257" t="s">
        <v>259</v>
      </c>
      <c r="E79" s="266">
        <f>E45</f>
        <v>80833.333333333328</v>
      </c>
      <c r="F79" s="228" t="s">
        <v>161</v>
      </c>
      <c r="G79" s="329">
        <f>G45</f>
        <v>41666.666666666664</v>
      </c>
      <c r="H79" s="329">
        <f t="shared" ref="H79:K79" si="16">H45</f>
        <v>33333.333333333336</v>
      </c>
      <c r="I79" s="329">
        <f t="shared" si="16"/>
        <v>5833.333333333333</v>
      </c>
      <c r="J79" s="329">
        <f t="shared" si="16"/>
        <v>0</v>
      </c>
      <c r="K79" s="329">
        <f t="shared" si="16"/>
        <v>0</v>
      </c>
      <c r="L79" s="329">
        <f>SUM(G79:K79)-E79</f>
        <v>0</v>
      </c>
    </row>
    <row r="80" spans="2:12" ht="15.75" x14ac:dyDescent="0.25">
      <c r="B80" s="229" t="s">
        <v>271</v>
      </c>
      <c r="C80" s="251"/>
      <c r="D80" s="257" t="s">
        <v>155</v>
      </c>
      <c r="E80" s="266">
        <f>E62</f>
        <v>-28882.860770975094</v>
      </c>
      <c r="F80" s="228" t="s">
        <v>283</v>
      </c>
      <c r="G80" s="329">
        <f>G62</f>
        <v>-14888.072562358293</v>
      </c>
      <c r="H80" s="329">
        <f t="shared" ref="H80:K80" si="17">H62</f>
        <v>-11910.458049886629</v>
      </c>
      <c r="I80" s="329">
        <f t="shared" si="17"/>
        <v>-2084.3301587301598</v>
      </c>
      <c r="J80" s="329">
        <f t="shared" si="17"/>
        <v>0</v>
      </c>
      <c r="K80" s="329">
        <f t="shared" si="17"/>
        <v>0</v>
      </c>
      <c r="L80" s="329">
        <f>SUM(G80:K80)-E80</f>
        <v>0</v>
      </c>
    </row>
    <row r="81" spans="2:12" ht="15.75" x14ac:dyDescent="0.25">
      <c r="B81" s="229"/>
      <c r="C81" s="251"/>
      <c r="D81" s="257"/>
      <c r="E81" s="253"/>
      <c r="F81" s="228"/>
      <c r="G81" s="324"/>
      <c r="H81" s="324"/>
      <c r="I81" s="324"/>
      <c r="J81" s="324"/>
      <c r="K81" s="324"/>
      <c r="L81" s="324"/>
    </row>
    <row r="82" spans="2:12" ht="15.75" x14ac:dyDescent="0.25">
      <c r="B82" s="229"/>
      <c r="C82" s="251"/>
      <c r="D82" s="252"/>
      <c r="E82" s="253"/>
      <c r="F82" s="228"/>
      <c r="G82" s="324"/>
      <c r="H82" s="324"/>
      <c r="I82" s="324"/>
      <c r="J82" s="324"/>
      <c r="K82" s="324"/>
      <c r="L82" s="324"/>
    </row>
    <row r="83" spans="2:12" ht="16.5" thickBot="1" x14ac:dyDescent="0.3">
      <c r="B83" s="229" t="s">
        <v>281</v>
      </c>
      <c r="C83" s="251"/>
      <c r="D83" s="252"/>
      <c r="E83" s="267">
        <f>SUM(E78:E81)</f>
        <v>360858.93589569163</v>
      </c>
      <c r="F83" s="228" t="s">
        <v>284</v>
      </c>
      <c r="G83" s="330">
        <f>SUM(G78:G81)</f>
        <v>186009.76077097506</v>
      </c>
      <c r="H83" s="330">
        <f t="shared" ref="H83:K83" si="18">SUM(H78:H81)</f>
        <v>148807.80861678004</v>
      </c>
      <c r="I83" s="330">
        <f t="shared" si="18"/>
        <v>26041.366507936506</v>
      </c>
      <c r="J83" s="330">
        <f t="shared" si="18"/>
        <v>0</v>
      </c>
      <c r="K83" s="330">
        <f t="shared" si="18"/>
        <v>0</v>
      </c>
      <c r="L83" s="330">
        <f>SUM(G83:K83)-E83</f>
        <v>0</v>
      </c>
    </row>
    <row r="84" spans="2:12" ht="16.5" thickBot="1" x14ac:dyDescent="0.3">
      <c r="B84" s="247"/>
      <c r="C84" s="254"/>
      <c r="D84" s="255"/>
      <c r="E84" s="259"/>
      <c r="F84" s="228"/>
      <c r="G84" s="307"/>
      <c r="H84" s="259"/>
      <c r="I84" s="259"/>
      <c r="J84" s="259"/>
      <c r="K84" s="259"/>
      <c r="L84" s="259"/>
    </row>
    <row r="85" spans="2:12" ht="15.75" x14ac:dyDescent="0.25">
      <c r="E85" s="268"/>
    </row>
    <row r="86" spans="2:12" ht="15.75" x14ac:dyDescent="0.25">
      <c r="E86" s="268"/>
    </row>
  </sheetData>
  <pageMargins left="0.70866141732283472" right="0.70866141732283472" top="0.74803149606299213" bottom="0.74803149606299213" header="0.31496062992125984" footer="0.31496062992125984"/>
  <pageSetup scale="60"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topLeftCell="I4" workbookViewId="0">
      <selection activeCell="O17" sqref="O17"/>
    </sheetView>
  </sheetViews>
  <sheetFormatPr defaultRowHeight="15" x14ac:dyDescent="0.25"/>
  <cols>
    <col min="1" max="1" width="49.28515625" customWidth="1"/>
    <col min="2" max="2" width="4.140625" customWidth="1"/>
    <col min="3" max="3" width="19.85546875" customWidth="1"/>
    <col min="4" max="4" width="22" customWidth="1"/>
    <col min="5" max="5" width="18.28515625" customWidth="1"/>
    <col min="6" max="7" width="22" customWidth="1"/>
    <col min="8" max="8" width="27.7109375" customWidth="1"/>
    <col min="9" max="9" width="15.42578125" bestFit="1" customWidth="1"/>
    <col min="10" max="10" width="3.42578125" customWidth="1"/>
    <col min="11" max="11" width="22" customWidth="1"/>
    <col min="12" max="12" width="17.42578125" customWidth="1"/>
    <col min="13" max="13" width="11.5703125" customWidth="1"/>
    <col min="14" max="14" width="2.28515625" customWidth="1"/>
    <col min="15" max="15" width="18" customWidth="1"/>
    <col min="16" max="16" width="24.7109375" customWidth="1"/>
    <col min="17" max="17" width="22.5703125" customWidth="1"/>
    <col min="18" max="18" width="18.7109375" customWidth="1"/>
    <col min="19" max="20" width="20" customWidth="1"/>
    <col min="26" max="26" width="9.140625" hidden="1" customWidth="1"/>
  </cols>
  <sheetData>
    <row r="1" spans="1:26" x14ac:dyDescent="0.25">
      <c r="Z1" s="92" t="b">
        <v>1</v>
      </c>
    </row>
    <row r="2" spans="1:26" x14ac:dyDescent="0.25">
      <c r="Z2" s="92" t="b">
        <v>0</v>
      </c>
    </row>
    <row r="3" spans="1:26" x14ac:dyDescent="0.25">
      <c r="Z3" s="92" t="b">
        <v>0</v>
      </c>
    </row>
    <row r="13" spans="1:26" ht="21" x14ac:dyDescent="0.25">
      <c r="A13" s="406" t="s">
        <v>285</v>
      </c>
      <c r="B13" s="406"/>
      <c r="C13" s="406"/>
      <c r="D13" s="406"/>
      <c r="E13" s="407"/>
      <c r="F13" s="407"/>
    </row>
    <row r="14" spans="1:26" ht="43.5" customHeight="1" x14ac:dyDescent="0.25">
      <c r="A14" s="288"/>
    </row>
    <row r="15" spans="1:26" s="129" customFormat="1" ht="47.25" x14ac:dyDescent="0.25">
      <c r="A15" s="269" t="s">
        <v>85</v>
      </c>
      <c r="B15" s="126"/>
      <c r="C15" s="126" t="s">
        <v>99</v>
      </c>
      <c r="D15" s="126" t="s">
        <v>286</v>
      </c>
      <c r="E15" s="126" t="s">
        <v>287</v>
      </c>
      <c r="F15" s="126" t="s">
        <v>95</v>
      </c>
      <c r="G15" s="126" t="s">
        <v>288</v>
      </c>
      <c r="H15" s="126" t="s">
        <v>289</v>
      </c>
      <c r="I15" s="126" t="s">
        <v>290</v>
      </c>
      <c r="J15" s="126"/>
      <c r="K15" s="126" t="s">
        <v>87</v>
      </c>
      <c r="L15" s="126" t="s">
        <v>88</v>
      </c>
      <c r="M15" s="126" t="s">
        <v>201</v>
      </c>
      <c r="N15" s="126"/>
      <c r="O15" s="126" t="s">
        <v>291</v>
      </c>
      <c r="P15" s="126" t="s">
        <v>292</v>
      </c>
      <c r="Q15" s="126" t="s">
        <v>293</v>
      </c>
      <c r="R15" s="126"/>
      <c r="S15" s="126"/>
      <c r="T15" s="126"/>
    </row>
    <row r="16" spans="1:26" s="129" customFormat="1" ht="17.25" customHeight="1" x14ac:dyDescent="0.25">
      <c r="A16" s="126"/>
      <c r="B16" s="126"/>
      <c r="C16" s="270" t="s">
        <v>294</v>
      </c>
      <c r="D16" s="270" t="s">
        <v>294</v>
      </c>
      <c r="E16" s="270" t="s">
        <v>294</v>
      </c>
      <c r="F16" s="271" t="s">
        <v>295</v>
      </c>
      <c r="G16" s="271" t="s">
        <v>296</v>
      </c>
      <c r="H16" s="271" t="s">
        <v>297</v>
      </c>
      <c r="I16" s="272"/>
      <c r="J16" s="273"/>
      <c r="K16" s="270" t="s">
        <v>298</v>
      </c>
      <c r="L16" s="270" t="s">
        <v>298</v>
      </c>
      <c r="M16" s="270" t="s">
        <v>298</v>
      </c>
      <c r="N16" s="273"/>
      <c r="O16" s="271" t="s">
        <v>301</v>
      </c>
      <c r="P16" s="271" t="s">
        <v>302</v>
      </c>
      <c r="Q16" s="271" t="s">
        <v>303</v>
      </c>
      <c r="R16"/>
      <c r="S16"/>
      <c r="T16" s="274"/>
    </row>
    <row r="17" spans="1:26" x14ac:dyDescent="0.25">
      <c r="A17" s="130" t="str">
        <f>+'4. Growth Factor - NUM_CALC1'!A17</f>
        <v>RESIDENTIAL</v>
      </c>
      <c r="B17" s="130"/>
      <c r="C17" s="187">
        <f>'8. Revenue Proportions'!P17</f>
        <v>0.53038071441475709</v>
      </c>
      <c r="D17" s="187">
        <f>'8. Revenue Proportions'!Q17</f>
        <v>6.8215920359293414E-2</v>
      </c>
      <c r="E17" s="187">
        <f>'8. Revenue Proportions'!R17</f>
        <v>0</v>
      </c>
      <c r="F17" s="280">
        <f>C17*$I$25</f>
        <v>191392.62022330594</v>
      </c>
      <c r="G17" s="280">
        <f>D17*$I$25</f>
        <v>24616.324431999867</v>
      </c>
      <c r="H17" s="280">
        <f>E17*$I$25</f>
        <v>0</v>
      </c>
      <c r="I17" s="280">
        <f>SUM(F17:H17)</f>
        <v>216008.94465530582</v>
      </c>
      <c r="J17" s="132"/>
      <c r="K17" s="131">
        <f>'4. Growth Factor - NUM_CALC1'!C17</f>
        <v>60593</v>
      </c>
      <c r="L17" s="131">
        <f>'4. Growth Factor - NUM_CALC1'!D17</f>
        <v>499660804</v>
      </c>
      <c r="M17" s="131">
        <v>0</v>
      </c>
      <c r="N17" s="132"/>
      <c r="O17" s="281">
        <f>IFERROR(I17/K17/12,"")</f>
        <v>0.2970763188477572</v>
      </c>
      <c r="P17" s="282">
        <v>0</v>
      </c>
      <c r="Q17" s="284" t="str">
        <f t="shared" ref="Q17:Q18" si="0">IFERROR(H17/M17,"")</f>
        <v/>
      </c>
      <c r="R17" s="283" t="s">
        <v>304</v>
      </c>
    </row>
    <row r="18" spans="1:26" x14ac:dyDescent="0.25">
      <c r="A18" s="130" t="str">
        <f>+'4. Growth Factor - NUM_CALC1'!A18</f>
        <v>GENERAL SERVICE LESS THAN 50 KW</v>
      </c>
      <c r="B18" s="137"/>
      <c r="C18" s="187">
        <f>'8. Revenue Proportions'!P18</f>
        <v>5.6487212861568041E-2</v>
      </c>
      <c r="D18" s="187">
        <f>'8. Revenue Proportions'!Q18</f>
        <v>7.5529322495463999E-2</v>
      </c>
      <c r="E18" s="187">
        <f>'8. Revenue Proportions'!R18</f>
        <v>0</v>
      </c>
      <c r="F18" s="280">
        <f t="shared" ref="F18:H23" si="1">C18*$I$25</f>
        <v>20383.915524938868</v>
      </c>
      <c r="G18" s="280">
        <f t="shared" si="1"/>
        <v>27255.430944635664</v>
      </c>
      <c r="H18" s="280">
        <f t="shared" si="1"/>
        <v>0</v>
      </c>
      <c r="I18" s="280">
        <f t="shared" ref="I18:I23" si="2">SUM(F18:H18)</f>
        <v>47639.346469574535</v>
      </c>
      <c r="J18" s="139"/>
      <c r="K18" s="131">
        <f>'4. Growth Factor - NUM_CALC1'!C18</f>
        <v>5523</v>
      </c>
      <c r="L18" s="131">
        <f>'4. Growth Factor - NUM_CALC1'!D18</f>
        <v>165968773</v>
      </c>
      <c r="M18" s="138">
        <v>0</v>
      </c>
      <c r="N18" s="139"/>
      <c r="O18" s="281">
        <f>IFERROR(F18/K18/12,"")</f>
        <v>0.30756104057183398</v>
      </c>
      <c r="P18" s="284">
        <f>IFERROR(G18/L18,"")</f>
        <v>1.6422023524049106E-4</v>
      </c>
      <c r="Q18" s="284" t="str">
        <f t="shared" si="0"/>
        <v/>
      </c>
    </row>
    <row r="19" spans="1:26" x14ac:dyDescent="0.25">
      <c r="A19" s="130" t="str">
        <f>+'4. Growth Factor - NUM_CALC1'!A19</f>
        <v>GENERAL SERVICE GREATER THAN 50 KW</v>
      </c>
      <c r="B19" s="137"/>
      <c r="C19" s="187">
        <f>'8. Revenue Proportions'!P19</f>
        <v>2.4117536961699475E-2</v>
      </c>
      <c r="D19" s="187">
        <f>'8. Revenue Proportions'!Q19</f>
        <v>0</v>
      </c>
      <c r="E19" s="187">
        <f>'8. Revenue Proportions'!R19</f>
        <v>0.23368597248901496</v>
      </c>
      <c r="F19" s="280">
        <f t="shared" si="1"/>
        <v>8703.0287244238843</v>
      </c>
      <c r="G19" s="280">
        <f t="shared" si="1"/>
        <v>0</v>
      </c>
      <c r="H19" s="280">
        <f t="shared" si="1"/>
        <v>84327.671366135808</v>
      </c>
      <c r="I19" s="280">
        <f t="shared" si="2"/>
        <v>93030.700090559694</v>
      </c>
      <c r="J19" s="139"/>
      <c r="K19" s="131">
        <f>'4. Growth Factor - NUM_CALC1'!C19</f>
        <v>1006</v>
      </c>
      <c r="L19" s="131">
        <f>'4. Growth Factor - NUM_CALC1'!D19</f>
        <v>0</v>
      </c>
      <c r="M19" s="131">
        <f>'4. Growth Factor - NUM_CALC1'!E19</f>
        <v>2376074</v>
      </c>
      <c r="N19" s="139"/>
      <c r="O19" s="281">
        <f t="shared" ref="O19:O21" si="3">IFERROR(F19/K19/12,"")</f>
        <v>0.72092683270575586</v>
      </c>
      <c r="P19" s="284" t="str">
        <f t="shared" ref="P19:P23" si="4">IFERROR(G19/L19,"")</f>
        <v/>
      </c>
      <c r="Q19" s="284">
        <f>IFERROR(H19/M19,"")</f>
        <v>3.5490338838830696E-2</v>
      </c>
    </row>
    <row r="20" spans="1:26" x14ac:dyDescent="0.25">
      <c r="A20" s="130" t="str">
        <f>+'4. Growth Factor - NUM_CALC1'!A20</f>
        <v>UNMETERED SCATTERED LOAD</v>
      </c>
      <c r="B20" s="137"/>
      <c r="C20" s="187">
        <f>'8. Revenue Proportions'!P20</f>
        <v>2.138534710065343E-3</v>
      </c>
      <c r="D20" s="187">
        <f>'8. Revenue Proportions'!Q20</f>
        <v>1.6687552469259225E-3</v>
      </c>
      <c r="E20" s="187">
        <f>'8. Revenue Proportions'!R20</f>
        <v>0</v>
      </c>
      <c r="F20" s="280">
        <f t="shared" si="1"/>
        <v>771.70935985018104</v>
      </c>
      <c r="G20" s="280">
        <f t="shared" si="1"/>
        <v>602.1852426760405</v>
      </c>
      <c r="H20" s="280">
        <f t="shared" si="1"/>
        <v>0</v>
      </c>
      <c r="I20" s="280">
        <f t="shared" si="2"/>
        <v>1373.8946025262217</v>
      </c>
      <c r="J20" s="139"/>
      <c r="K20" s="131">
        <f>'4. Growth Factor - NUM_CALC1'!C20</f>
        <v>582</v>
      </c>
      <c r="L20" s="131">
        <f>'4. Growth Factor - NUM_CALC1'!D20</f>
        <v>3130312</v>
      </c>
      <c r="M20" s="131">
        <f>'4. Growth Factor - NUM_CALC1'!E20</f>
        <v>0</v>
      </c>
      <c r="N20" s="139"/>
      <c r="O20" s="281">
        <f t="shared" si="3"/>
        <v>0.11049675828324472</v>
      </c>
      <c r="P20" s="284">
        <f t="shared" si="4"/>
        <v>1.9237227556743241E-4</v>
      </c>
      <c r="Q20" s="284" t="str">
        <f t="shared" ref="Q20:Q23" si="5">IFERROR(H20/M20,"")</f>
        <v/>
      </c>
    </row>
    <row r="21" spans="1:26" x14ac:dyDescent="0.25">
      <c r="A21" s="130" t="str">
        <f>+'4. Growth Factor - NUM_CALC1'!A21</f>
        <v>STREET LIGHTING</v>
      </c>
      <c r="B21" s="137"/>
      <c r="C21" s="187">
        <f>'8. Revenue Proportions'!P21</f>
        <v>3.7810175543938796E-3</v>
      </c>
      <c r="D21" s="187">
        <f>'8. Revenue Proportions'!Q21</f>
        <v>0</v>
      </c>
      <c r="E21" s="187">
        <f>'8. Revenue Proportions'!R21</f>
        <v>3.9950129068179107E-3</v>
      </c>
      <c r="F21" s="280">
        <f t="shared" si="1"/>
        <v>1364.4139712815056</v>
      </c>
      <c r="G21" s="280">
        <f t="shared" si="1"/>
        <v>0</v>
      </c>
      <c r="H21" s="280">
        <f t="shared" si="1"/>
        <v>1441.6361064438652</v>
      </c>
      <c r="I21" s="280">
        <f t="shared" si="2"/>
        <v>2806.050077725371</v>
      </c>
      <c r="J21" s="139"/>
      <c r="K21" s="131">
        <f>'4. Growth Factor - NUM_CALC1'!C21</f>
        <v>15386</v>
      </c>
      <c r="L21" s="131">
        <f>'4. Growth Factor - NUM_CALC1'!D21</f>
        <v>0</v>
      </c>
      <c r="M21" s="131">
        <f>'4. Growth Factor - NUM_CALC1'!E21</f>
        <v>26971</v>
      </c>
      <c r="N21" s="139"/>
      <c r="O21" s="281">
        <f t="shared" si="3"/>
        <v>7.3899105858220978E-3</v>
      </c>
      <c r="P21" s="284" t="str">
        <f t="shared" si="4"/>
        <v/>
      </c>
      <c r="Q21" s="284">
        <f t="shared" si="5"/>
        <v>5.3451340567419271E-2</v>
      </c>
    </row>
    <row r="22" spans="1:26" x14ac:dyDescent="0.25">
      <c r="A22" s="137"/>
      <c r="B22" s="137"/>
      <c r="C22" s="187">
        <f>'8. Revenue Proportions'!P22</f>
        <v>0</v>
      </c>
      <c r="D22" s="187">
        <f>'8. Revenue Proportions'!Q22</f>
        <v>0</v>
      </c>
      <c r="E22" s="187">
        <f>'8. Revenue Proportions'!R22</f>
        <v>0</v>
      </c>
      <c r="F22" s="280">
        <f t="shared" si="1"/>
        <v>0</v>
      </c>
      <c r="G22" s="280">
        <f t="shared" si="1"/>
        <v>0</v>
      </c>
      <c r="H22" s="280">
        <f t="shared" si="1"/>
        <v>0</v>
      </c>
      <c r="I22" s="280">
        <f t="shared" si="2"/>
        <v>0</v>
      </c>
      <c r="J22" s="139"/>
      <c r="K22" s="131">
        <f>'4. Growth Factor - NUM_CALC1'!C22</f>
        <v>0</v>
      </c>
      <c r="L22" s="131">
        <f>'4. Growth Factor - NUM_CALC1'!D22</f>
        <v>0</v>
      </c>
      <c r="M22" s="138">
        <v>0</v>
      </c>
      <c r="N22" s="139"/>
      <c r="O22" s="281" t="str">
        <f t="shared" ref="O22:O23" si="6">IFERROR(I22/K22/12,"")</f>
        <v/>
      </c>
      <c r="P22" s="284" t="str">
        <f t="shared" si="4"/>
        <v/>
      </c>
      <c r="Q22" s="284" t="str">
        <f t="shared" si="5"/>
        <v/>
      </c>
    </row>
    <row r="23" spans="1:26" x14ac:dyDescent="0.25">
      <c r="A23" s="137"/>
      <c r="B23" s="137"/>
      <c r="C23" s="187">
        <f>'8. Revenue Proportions'!P23</f>
        <v>0</v>
      </c>
      <c r="D23" s="187">
        <f>'8. Revenue Proportions'!Q23</f>
        <v>0</v>
      </c>
      <c r="E23" s="187">
        <f>'8. Revenue Proportions'!R23</f>
        <v>0</v>
      </c>
      <c r="F23" s="280">
        <f t="shared" si="1"/>
        <v>0</v>
      </c>
      <c r="G23" s="280">
        <f t="shared" si="1"/>
        <v>0</v>
      </c>
      <c r="H23" s="280">
        <f t="shared" si="1"/>
        <v>0</v>
      </c>
      <c r="I23" s="280">
        <f t="shared" si="2"/>
        <v>0</v>
      </c>
      <c r="J23" s="139"/>
      <c r="K23" s="131">
        <f>'4. Growth Factor - NUM_CALC1'!C23</f>
        <v>0</v>
      </c>
      <c r="L23" s="131">
        <f>'4. Growth Factor - NUM_CALC1'!D23</f>
        <v>0</v>
      </c>
      <c r="M23" s="131">
        <f>'4. Growth Factor - NUM_CALC1'!E23</f>
        <v>0</v>
      </c>
      <c r="N23" s="139"/>
      <c r="O23" s="281" t="str">
        <f t="shared" si="6"/>
        <v/>
      </c>
      <c r="P23" s="284" t="str">
        <f t="shared" si="4"/>
        <v/>
      </c>
      <c r="Q23" s="284" t="str">
        <f t="shared" si="5"/>
        <v/>
      </c>
    </row>
    <row r="24" spans="1:26" x14ac:dyDescent="0.25">
      <c r="A24" s="143" t="s">
        <v>117</v>
      </c>
      <c r="B24" s="143"/>
      <c r="C24" s="275">
        <f t="shared" ref="C24:I24" si="7">SUM(C17:C23)</f>
        <v>0.61690501650248375</v>
      </c>
      <c r="D24" s="275">
        <f t="shared" si="7"/>
        <v>0.14541399810168334</v>
      </c>
      <c r="E24" s="275">
        <f t="shared" si="7"/>
        <v>0.23768098539583288</v>
      </c>
      <c r="F24" s="276">
        <f t="shared" si="7"/>
        <v>222615.68780380036</v>
      </c>
      <c r="G24" s="276">
        <f t="shared" si="7"/>
        <v>52473.940619311565</v>
      </c>
      <c r="H24" s="276">
        <f t="shared" si="7"/>
        <v>85769.307472579676</v>
      </c>
      <c r="I24" s="276">
        <f t="shared" si="7"/>
        <v>360858.93589569168</v>
      </c>
      <c r="J24" s="145"/>
      <c r="K24" s="276">
        <f>SUM(K17:K23)</f>
        <v>83090</v>
      </c>
      <c r="L24" s="276">
        <f>SUM(L17:L23)</f>
        <v>668759889</v>
      </c>
      <c r="M24" s="276">
        <f>SUM(M17:M23)</f>
        <v>2403045</v>
      </c>
      <c r="N24" s="145"/>
      <c r="O24" s="145"/>
      <c r="P24" s="145"/>
      <c r="Q24" s="145"/>
      <c r="R24" s="148"/>
      <c r="S24" s="148"/>
      <c r="T24" s="148"/>
      <c r="U24" s="148"/>
      <c r="V24" s="148"/>
      <c r="W24" s="148"/>
      <c r="X24" s="148"/>
      <c r="Y24" s="148"/>
      <c r="Z24" s="148"/>
    </row>
    <row r="25" spans="1:26" x14ac:dyDescent="0.25">
      <c r="C25" s="279"/>
      <c r="D25" s="279"/>
      <c r="E25" s="279"/>
      <c r="F25" s="279"/>
      <c r="G25" s="279"/>
      <c r="H25" s="279"/>
      <c r="I25" s="277">
        <f>'11. Incremental Capital Adj.'!E83</f>
        <v>360858.93589569163</v>
      </c>
      <c r="J25" s="279"/>
      <c r="K25" s="279"/>
      <c r="L25" s="279"/>
      <c r="M25" s="279"/>
      <c r="N25" s="279"/>
      <c r="O25" s="279"/>
      <c r="P25" s="279"/>
      <c r="Q25" s="279"/>
    </row>
    <row r="26" spans="1:26" x14ac:dyDescent="0.25">
      <c r="C26" s="149"/>
      <c r="D26" s="149"/>
      <c r="E26" s="149"/>
      <c r="F26" s="149"/>
      <c r="G26" s="149"/>
      <c r="H26" s="149"/>
      <c r="I26" s="278" t="s">
        <v>299</v>
      </c>
      <c r="J26" s="149"/>
      <c r="K26" s="149"/>
      <c r="L26" s="149"/>
      <c r="M26" s="149"/>
      <c r="N26" s="149"/>
      <c r="O26" s="331"/>
      <c r="P26" s="149"/>
      <c r="Q26" s="149"/>
    </row>
    <row r="27" spans="1:26" x14ac:dyDescent="0.25">
      <c r="C27" s="149"/>
      <c r="D27" s="149"/>
      <c r="E27" s="149"/>
      <c r="F27" s="149"/>
      <c r="G27" s="149"/>
      <c r="H27" s="149"/>
      <c r="I27" s="149"/>
      <c r="J27" s="149"/>
      <c r="K27" s="149"/>
      <c r="L27" s="149"/>
      <c r="M27" s="149"/>
      <c r="N27" s="149"/>
      <c r="O27" s="331"/>
      <c r="P27" s="149"/>
      <c r="Q27" s="149"/>
    </row>
    <row r="28" spans="1:26" x14ac:dyDescent="0.25">
      <c r="C28" s="149"/>
      <c r="D28" s="149"/>
      <c r="E28" s="149"/>
      <c r="F28" s="149"/>
      <c r="G28" s="149"/>
      <c r="H28" s="149"/>
      <c r="I28" s="149"/>
      <c r="J28" s="149"/>
      <c r="K28" s="149"/>
      <c r="L28" s="149"/>
      <c r="M28" s="149"/>
      <c r="N28" s="149"/>
      <c r="O28" s="331"/>
      <c r="P28" s="149"/>
      <c r="Q28" s="149"/>
    </row>
    <row r="29" spans="1:26" x14ac:dyDescent="0.25">
      <c r="C29" s="149"/>
      <c r="D29" s="149"/>
      <c r="E29" s="149"/>
      <c r="F29" s="149"/>
      <c r="G29" s="149"/>
      <c r="H29" s="149"/>
      <c r="I29" s="149"/>
      <c r="J29" s="149"/>
      <c r="K29" s="149"/>
      <c r="L29" s="149"/>
      <c r="M29" s="149"/>
      <c r="N29" s="149"/>
      <c r="O29" s="331"/>
      <c r="P29" s="149"/>
      <c r="Q29" s="149"/>
    </row>
    <row r="30" spans="1:26" x14ac:dyDescent="0.25">
      <c r="C30" s="149"/>
      <c r="D30" s="149"/>
      <c r="E30" s="149"/>
      <c r="F30" s="149"/>
      <c r="G30" s="149"/>
      <c r="H30" s="149"/>
      <c r="I30" s="149"/>
      <c r="J30" s="149"/>
      <c r="K30" s="149"/>
      <c r="L30" s="149"/>
      <c r="M30" s="149"/>
      <c r="N30" s="149"/>
      <c r="O30" s="149"/>
      <c r="P30" s="149"/>
      <c r="Q30" s="149"/>
    </row>
    <row r="31" spans="1:26" x14ac:dyDescent="0.25">
      <c r="C31" s="149"/>
      <c r="D31" s="149"/>
      <c r="E31" s="149"/>
      <c r="F31" s="149"/>
      <c r="G31" s="149"/>
      <c r="H31" s="149"/>
      <c r="I31" s="149"/>
      <c r="J31" s="149"/>
      <c r="K31" s="149"/>
      <c r="L31" s="149"/>
      <c r="M31" s="149"/>
      <c r="N31" s="149"/>
      <c r="O31" s="149"/>
      <c r="P31" s="149"/>
      <c r="Q31" s="149"/>
    </row>
    <row r="32" spans="1:26" x14ac:dyDescent="0.25">
      <c r="C32" s="149"/>
      <c r="D32" s="149"/>
      <c r="E32" s="149"/>
      <c r="F32" s="149"/>
      <c r="G32" s="149"/>
      <c r="H32" s="149"/>
      <c r="I32" s="149"/>
      <c r="J32" s="149"/>
      <c r="K32" s="149"/>
      <c r="L32" s="149"/>
      <c r="M32" s="149"/>
      <c r="N32" s="149"/>
      <c r="O32" s="149"/>
      <c r="P32" s="149"/>
      <c r="Q32" s="149"/>
    </row>
    <row r="33" spans="3:17" x14ac:dyDescent="0.25">
      <c r="C33" s="149"/>
      <c r="D33" s="149"/>
      <c r="E33" s="149"/>
      <c r="F33" s="149"/>
      <c r="G33" s="149"/>
      <c r="H33" s="149"/>
      <c r="I33" s="149"/>
      <c r="J33" s="149"/>
      <c r="K33" s="149"/>
      <c r="L33" s="149"/>
      <c r="M33" s="149"/>
      <c r="N33" s="149"/>
      <c r="O33" s="149"/>
      <c r="P33" s="149"/>
      <c r="Q33" s="149"/>
    </row>
    <row r="34" spans="3:17" x14ac:dyDescent="0.25">
      <c r="C34" s="149"/>
      <c r="D34" s="149"/>
      <c r="E34" s="149"/>
      <c r="F34" s="149"/>
      <c r="G34" s="149"/>
      <c r="H34" s="149"/>
      <c r="I34" s="149"/>
      <c r="J34" s="149"/>
      <c r="K34" s="149"/>
      <c r="L34" s="149"/>
      <c r="M34" s="149"/>
      <c r="N34" s="149"/>
      <c r="O34" s="149"/>
      <c r="P34" s="149"/>
      <c r="Q34" s="149"/>
    </row>
    <row r="35" spans="3:17" x14ac:dyDescent="0.25">
      <c r="C35" s="149"/>
      <c r="D35" s="149"/>
      <c r="E35" s="149"/>
      <c r="F35" s="149"/>
      <c r="G35" s="149"/>
      <c r="H35" s="149"/>
      <c r="I35" s="149"/>
      <c r="J35" s="149"/>
      <c r="K35" s="149"/>
      <c r="L35" s="149"/>
      <c r="M35" s="149"/>
      <c r="N35" s="149"/>
      <c r="O35" s="149"/>
      <c r="P35" s="149"/>
      <c r="Q35" s="149"/>
    </row>
    <row r="36" spans="3:17" x14ac:dyDescent="0.25">
      <c r="C36" s="149"/>
      <c r="D36" s="149"/>
      <c r="E36" s="149"/>
      <c r="F36" s="149"/>
      <c r="G36" s="149"/>
      <c r="H36" s="149"/>
      <c r="I36" s="149"/>
      <c r="J36" s="149"/>
      <c r="K36" s="149"/>
      <c r="L36" s="149"/>
      <c r="M36" s="149"/>
      <c r="N36" s="149"/>
      <c r="O36" s="149"/>
      <c r="P36" s="149"/>
      <c r="Q36" s="149"/>
    </row>
    <row r="37" spans="3:17" x14ac:dyDescent="0.25">
      <c r="C37" s="149"/>
      <c r="D37" s="149"/>
      <c r="E37" s="149"/>
      <c r="F37" s="149"/>
      <c r="G37" s="149"/>
      <c r="H37" s="149"/>
      <c r="I37" s="149"/>
      <c r="J37" s="149"/>
      <c r="K37" s="149"/>
      <c r="L37" s="149"/>
      <c r="M37" s="149"/>
      <c r="N37" s="149"/>
      <c r="O37" s="149"/>
      <c r="P37" s="149"/>
      <c r="Q37" s="149"/>
    </row>
    <row r="38" spans="3:17" x14ac:dyDescent="0.25">
      <c r="C38" s="149"/>
      <c r="D38" s="149"/>
      <c r="E38" s="149"/>
      <c r="F38" s="149"/>
      <c r="G38" s="149"/>
      <c r="H38" s="149"/>
      <c r="I38" s="149"/>
      <c r="J38" s="149"/>
      <c r="K38" s="149"/>
      <c r="L38" s="149"/>
      <c r="M38" s="149"/>
      <c r="N38" s="149"/>
      <c r="O38" s="149"/>
      <c r="P38" s="149"/>
      <c r="Q38" s="149"/>
    </row>
    <row r="39" spans="3:17" x14ac:dyDescent="0.25">
      <c r="C39" s="149"/>
      <c r="D39" s="149"/>
      <c r="E39" s="149"/>
      <c r="F39" s="149"/>
      <c r="G39" s="149"/>
      <c r="H39" s="149"/>
      <c r="I39" s="149"/>
      <c r="J39" s="149"/>
      <c r="K39" s="149"/>
      <c r="L39" s="149"/>
      <c r="M39" s="149"/>
      <c r="N39" s="149"/>
      <c r="O39" s="149"/>
      <c r="P39" s="149"/>
      <c r="Q39" s="149"/>
    </row>
  </sheetData>
  <mergeCells count="2">
    <mergeCell ref="A13:D13"/>
    <mergeCell ref="E13:F13"/>
  </mergeCells>
  <pageMargins left="0.70866141732283472" right="0.70866141732283472" top="0.74803149606299213" bottom="0.74803149606299213" header="0.31496062992125984" footer="0.31496062992125984"/>
  <pageSetup scale="37"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50"/>
  <sheetViews>
    <sheetView showGridLines="0" workbookViewId="0">
      <selection activeCell="E71" sqref="E71"/>
    </sheetView>
  </sheetViews>
  <sheetFormatPr defaultRowHeight="15" x14ac:dyDescent="0.25"/>
  <cols>
    <col min="1" max="1" width="13.28515625" customWidth="1"/>
    <col min="5" max="5" width="9.140625" customWidth="1"/>
    <col min="16" max="18" width="0" hidden="1" customWidth="1"/>
  </cols>
  <sheetData>
    <row r="11" spans="1:14" x14ac:dyDescent="0.25">
      <c r="G11" s="71"/>
    </row>
    <row r="12" spans="1:14" x14ac:dyDescent="0.25">
      <c r="A12" s="386" t="s">
        <v>76</v>
      </c>
      <c r="B12" s="386"/>
      <c r="C12" s="386"/>
      <c r="D12" s="386"/>
      <c r="E12" s="386"/>
      <c r="F12" s="386"/>
      <c r="G12" s="386"/>
      <c r="H12" s="386"/>
      <c r="I12" s="386"/>
      <c r="J12" s="386"/>
      <c r="K12" s="386"/>
      <c r="L12" s="386"/>
      <c r="M12" s="386"/>
      <c r="N12" s="386"/>
    </row>
    <row r="13" spans="1:14" x14ac:dyDescent="0.25">
      <c r="A13" s="72"/>
      <c r="B13" s="72"/>
      <c r="C13" s="72"/>
      <c r="D13" s="72"/>
      <c r="E13" s="72"/>
      <c r="F13" s="72"/>
      <c r="G13" s="73"/>
      <c r="H13" s="72"/>
      <c r="I13" s="72"/>
      <c r="J13" s="72"/>
      <c r="K13" s="72"/>
      <c r="L13" s="72"/>
      <c r="M13" s="72"/>
      <c r="N13" s="72"/>
    </row>
    <row r="14" spans="1:14" x14ac:dyDescent="0.25">
      <c r="A14" s="72" t="s">
        <v>77</v>
      </c>
      <c r="B14" s="72"/>
      <c r="C14" s="74"/>
      <c r="D14" s="74"/>
      <c r="E14" s="74"/>
      <c r="F14" s="74"/>
      <c r="G14" s="74"/>
      <c r="H14" s="74"/>
      <c r="I14" s="74"/>
      <c r="J14" s="75">
        <v>5</v>
      </c>
      <c r="K14" s="74"/>
      <c r="L14" s="74"/>
      <c r="M14" s="72"/>
      <c r="N14" s="72"/>
    </row>
    <row r="15" spans="1:14" x14ac:dyDescent="0.25">
      <c r="A15" s="72"/>
      <c r="B15" s="72"/>
      <c r="C15" s="74"/>
      <c r="D15" s="74"/>
      <c r="E15" s="74"/>
      <c r="F15" s="74"/>
      <c r="G15" s="74"/>
      <c r="H15" s="74"/>
      <c r="I15" s="74"/>
      <c r="J15" s="74"/>
      <c r="K15" s="74"/>
      <c r="L15" s="74"/>
      <c r="M15" s="72"/>
      <c r="N15" s="72"/>
    </row>
    <row r="16" spans="1:14" x14ac:dyDescent="0.25">
      <c r="A16" s="72" t="s">
        <v>78</v>
      </c>
      <c r="B16" s="72"/>
      <c r="C16" s="74"/>
      <c r="D16" s="74"/>
      <c r="E16" s="76"/>
      <c r="F16" s="77"/>
      <c r="G16" s="77"/>
      <c r="H16" s="77"/>
      <c r="I16" s="77"/>
      <c r="J16" s="77"/>
      <c r="K16" s="74"/>
      <c r="L16" s="74"/>
      <c r="M16" s="72"/>
      <c r="N16" s="72"/>
    </row>
    <row r="17" spans="1:17" x14ac:dyDescent="0.25">
      <c r="A17" s="71"/>
      <c r="B17" s="78"/>
      <c r="C17" s="78"/>
      <c r="D17" s="78"/>
      <c r="E17" s="79"/>
      <c r="F17" s="80"/>
      <c r="G17" s="80"/>
      <c r="I17" s="80"/>
      <c r="J17" s="80"/>
      <c r="K17" s="78"/>
      <c r="L17" s="78"/>
    </row>
    <row r="18" spans="1:17" x14ac:dyDescent="0.25">
      <c r="A18" s="71"/>
      <c r="B18" s="387" t="s">
        <v>79</v>
      </c>
      <c r="C18" s="387"/>
      <c r="D18" s="387"/>
      <c r="E18" s="387"/>
      <c r="F18" s="387"/>
      <c r="G18" s="387"/>
      <c r="H18" s="387"/>
      <c r="I18" s="387"/>
      <c r="J18" s="387"/>
      <c r="K18" s="78"/>
      <c r="L18" s="78"/>
      <c r="Q18" t="s">
        <v>80</v>
      </c>
    </row>
    <row r="19" spans="1:17" x14ac:dyDescent="0.25">
      <c r="A19" s="81">
        <v>1</v>
      </c>
      <c r="B19" s="383" t="s">
        <v>81</v>
      </c>
      <c r="C19" s="384"/>
      <c r="D19" s="384"/>
      <c r="E19" s="384"/>
      <c r="F19" s="384"/>
      <c r="G19" s="384"/>
      <c r="H19" s="384"/>
      <c r="I19" s="384"/>
      <c r="J19" s="385"/>
      <c r="K19" s="78"/>
      <c r="L19" s="78"/>
      <c r="P19">
        <f>COUNTIF($B$19:$J$40, B19)</f>
        <v>1</v>
      </c>
      <c r="Q19">
        <f>COUNTIF(P19:P40, 2)/2</f>
        <v>0</v>
      </c>
    </row>
    <row r="20" spans="1:17" x14ac:dyDescent="0.25">
      <c r="A20" s="81">
        <v>2</v>
      </c>
      <c r="B20" s="380" t="s">
        <v>82</v>
      </c>
      <c r="C20" s="381"/>
      <c r="D20" s="381"/>
      <c r="E20" s="381"/>
      <c r="F20" s="381"/>
      <c r="G20" s="381"/>
      <c r="H20" s="381"/>
      <c r="I20" s="381"/>
      <c r="J20" s="382"/>
      <c r="K20" s="78"/>
      <c r="L20" s="78"/>
      <c r="P20">
        <f t="shared" ref="P20:P33" si="0">COUNTIF($B$19:$J$40, B20)</f>
        <v>1</v>
      </c>
    </row>
    <row r="21" spans="1:17" x14ac:dyDescent="0.25">
      <c r="A21" s="81">
        <v>3</v>
      </c>
      <c r="B21" s="380" t="s">
        <v>312</v>
      </c>
      <c r="C21" s="381"/>
      <c r="D21" s="381"/>
      <c r="E21" s="381"/>
      <c r="F21" s="381"/>
      <c r="G21" s="381"/>
      <c r="H21" s="381"/>
      <c r="I21" s="381"/>
      <c r="J21" s="382"/>
      <c r="K21" s="78"/>
      <c r="L21" s="78"/>
      <c r="P21">
        <f t="shared" si="0"/>
        <v>1</v>
      </c>
    </row>
    <row r="22" spans="1:17" x14ac:dyDescent="0.25">
      <c r="A22" s="81">
        <v>4</v>
      </c>
      <c r="B22" s="383" t="s">
        <v>83</v>
      </c>
      <c r="C22" s="384"/>
      <c r="D22" s="384"/>
      <c r="E22" s="384"/>
      <c r="F22" s="384"/>
      <c r="G22" s="384"/>
      <c r="H22" s="384"/>
      <c r="I22" s="384"/>
      <c r="J22" s="385"/>
      <c r="K22" s="78"/>
      <c r="L22" s="78"/>
      <c r="P22">
        <f t="shared" si="0"/>
        <v>1</v>
      </c>
    </row>
    <row r="23" spans="1:17" x14ac:dyDescent="0.25">
      <c r="A23" s="81">
        <v>5</v>
      </c>
      <c r="B23" s="380" t="s">
        <v>84</v>
      </c>
      <c r="C23" s="381"/>
      <c r="D23" s="381"/>
      <c r="E23" s="381"/>
      <c r="F23" s="381"/>
      <c r="G23" s="381"/>
      <c r="H23" s="381"/>
      <c r="I23" s="381"/>
      <c r="J23" s="382"/>
      <c r="K23" s="78"/>
      <c r="L23" s="78"/>
      <c r="P23">
        <f t="shared" si="0"/>
        <v>1</v>
      </c>
    </row>
    <row r="24" spans="1:17" x14ac:dyDescent="0.25">
      <c r="A24" s="81">
        <v>6</v>
      </c>
      <c r="B24" s="380"/>
      <c r="C24" s="381"/>
      <c r="D24" s="381"/>
      <c r="E24" s="381"/>
      <c r="F24" s="381"/>
      <c r="G24" s="381"/>
      <c r="H24" s="381"/>
      <c r="I24" s="381"/>
      <c r="J24" s="382"/>
      <c r="K24" s="78"/>
      <c r="L24" s="78"/>
      <c r="P24">
        <f t="shared" si="0"/>
        <v>0</v>
      </c>
    </row>
    <row r="25" spans="1:17" x14ac:dyDescent="0.25">
      <c r="A25" s="82">
        <v>7</v>
      </c>
      <c r="B25" s="383"/>
      <c r="C25" s="384"/>
      <c r="D25" s="384"/>
      <c r="E25" s="384"/>
      <c r="F25" s="384"/>
      <c r="G25" s="384"/>
      <c r="H25" s="384"/>
      <c r="I25" s="384"/>
      <c r="J25" s="385"/>
      <c r="K25" s="78"/>
      <c r="L25" s="78"/>
      <c r="P25">
        <f t="shared" si="0"/>
        <v>0</v>
      </c>
    </row>
    <row r="26" spans="1:17" x14ac:dyDescent="0.25">
      <c r="A26" s="82"/>
      <c r="B26" s="83"/>
      <c r="C26" s="84"/>
      <c r="D26" s="84"/>
      <c r="E26" s="84"/>
      <c r="F26" s="84"/>
      <c r="G26" s="84"/>
      <c r="H26" s="84"/>
      <c r="I26" s="84"/>
      <c r="J26" s="85"/>
      <c r="K26" s="78"/>
      <c r="L26" s="78"/>
      <c r="P26">
        <f t="shared" si="0"/>
        <v>0</v>
      </c>
    </row>
    <row r="27" spans="1:17" x14ac:dyDescent="0.25">
      <c r="A27" s="82"/>
      <c r="B27" s="83"/>
      <c r="C27" s="84"/>
      <c r="D27" s="84"/>
      <c r="E27" s="84"/>
      <c r="F27" s="84"/>
      <c r="G27" s="84"/>
      <c r="H27" s="84"/>
      <c r="I27" s="84"/>
      <c r="J27" s="85"/>
      <c r="K27" s="78"/>
      <c r="L27" s="78"/>
      <c r="P27">
        <f t="shared" si="0"/>
        <v>0</v>
      </c>
    </row>
    <row r="28" spans="1:17" x14ac:dyDescent="0.25">
      <c r="A28" s="82"/>
      <c r="B28" s="86"/>
      <c r="C28" s="87"/>
      <c r="D28" s="87"/>
      <c r="E28" s="87"/>
      <c r="F28" s="87"/>
      <c r="G28" s="87"/>
      <c r="H28" s="87"/>
      <c r="I28" s="87"/>
      <c r="J28" s="88"/>
      <c r="P28">
        <f t="shared" si="0"/>
        <v>0</v>
      </c>
    </row>
    <row r="29" spans="1:17" x14ac:dyDescent="0.25">
      <c r="A29" s="82"/>
      <c r="B29" s="89"/>
      <c r="C29" s="90"/>
      <c r="D29" s="90"/>
      <c r="E29" s="90"/>
      <c r="F29" s="90"/>
      <c r="G29" s="90"/>
      <c r="H29" s="90"/>
      <c r="I29" s="90"/>
      <c r="J29" s="91"/>
      <c r="P29">
        <f t="shared" si="0"/>
        <v>0</v>
      </c>
    </row>
    <row r="30" spans="1:17" x14ac:dyDescent="0.25">
      <c r="A30" s="82"/>
      <c r="B30" s="89"/>
      <c r="C30" s="90"/>
      <c r="D30" s="90"/>
      <c r="E30" s="90"/>
      <c r="F30" s="90"/>
      <c r="G30" s="90"/>
      <c r="H30" s="90"/>
      <c r="I30" s="90"/>
      <c r="J30" s="91"/>
      <c r="P30">
        <f t="shared" si="0"/>
        <v>0</v>
      </c>
    </row>
    <row r="31" spans="1:17" x14ac:dyDescent="0.25">
      <c r="A31" s="82"/>
      <c r="B31" s="86"/>
      <c r="C31" s="87"/>
      <c r="D31" s="87"/>
      <c r="E31" s="87"/>
      <c r="F31" s="87"/>
      <c r="G31" s="87"/>
      <c r="H31" s="87"/>
      <c r="I31" s="87"/>
      <c r="J31" s="88"/>
      <c r="P31">
        <f t="shared" si="0"/>
        <v>0</v>
      </c>
    </row>
    <row r="32" spans="1:17" x14ac:dyDescent="0.25">
      <c r="A32" s="82"/>
      <c r="B32" s="89"/>
      <c r="C32" s="90"/>
      <c r="D32" s="90"/>
      <c r="E32" s="90"/>
      <c r="F32" s="90"/>
      <c r="G32" s="90"/>
      <c r="H32" s="90"/>
      <c r="I32" s="90"/>
      <c r="J32" s="91"/>
      <c r="P32">
        <f t="shared" si="0"/>
        <v>0</v>
      </c>
    </row>
    <row r="33" spans="1:16" x14ac:dyDescent="0.25">
      <c r="A33" s="82"/>
      <c r="B33" s="89"/>
      <c r="C33" s="90"/>
      <c r="D33" s="90"/>
      <c r="E33" s="90"/>
      <c r="F33" s="90"/>
      <c r="G33" s="90"/>
      <c r="H33" s="90"/>
      <c r="I33" s="90"/>
      <c r="J33" s="91"/>
      <c r="P33">
        <f t="shared" si="0"/>
        <v>0</v>
      </c>
    </row>
    <row r="34" spans="1:16" x14ac:dyDescent="0.25">
      <c r="A34" s="92"/>
      <c r="B34" s="93"/>
      <c r="C34" s="93"/>
      <c r="D34" s="93"/>
      <c r="E34" s="93"/>
      <c r="F34" s="93"/>
      <c r="G34" s="93"/>
      <c r="H34" s="93"/>
      <c r="I34" s="93"/>
      <c r="J34" s="93"/>
    </row>
    <row r="35" spans="1:16" x14ac:dyDescent="0.25">
      <c r="A35" s="92"/>
      <c r="B35" s="94"/>
      <c r="C35" s="94"/>
      <c r="D35" s="94"/>
      <c r="E35" s="94"/>
      <c r="F35" s="95"/>
      <c r="G35" s="95"/>
      <c r="H35" s="95"/>
      <c r="I35" s="95"/>
      <c r="J35" s="95"/>
    </row>
    <row r="36" spans="1:16" x14ac:dyDescent="0.25">
      <c r="A36" s="92"/>
      <c r="B36" s="96"/>
      <c r="C36" s="96"/>
      <c r="D36" s="96"/>
      <c r="E36" s="96"/>
      <c r="F36" s="92"/>
      <c r="G36" s="92"/>
      <c r="H36" s="92"/>
      <c r="I36" s="92"/>
      <c r="J36" s="92"/>
    </row>
    <row r="37" spans="1:16" x14ac:dyDescent="0.25">
      <c r="A37" s="92"/>
      <c r="B37" s="96"/>
      <c r="C37" s="96"/>
      <c r="D37" s="96"/>
      <c r="E37" s="96"/>
      <c r="F37" s="92"/>
      <c r="G37" s="92"/>
      <c r="H37" s="92"/>
      <c r="I37" s="92"/>
      <c r="J37" s="92"/>
    </row>
    <row r="38" spans="1:16" x14ac:dyDescent="0.25">
      <c r="A38" s="92"/>
      <c r="B38" s="96"/>
      <c r="C38" s="96"/>
      <c r="D38" s="96"/>
      <c r="E38" s="96"/>
      <c r="F38" s="92"/>
      <c r="G38" s="92"/>
      <c r="H38" s="92"/>
      <c r="I38" s="92"/>
      <c r="J38" s="92"/>
    </row>
    <row r="39" spans="1:16" x14ac:dyDescent="0.25">
      <c r="A39" s="92"/>
      <c r="B39" s="96"/>
      <c r="C39" s="96"/>
      <c r="D39" s="96"/>
      <c r="E39" s="96"/>
      <c r="F39" s="92"/>
      <c r="G39" s="92"/>
      <c r="H39" s="92"/>
      <c r="I39" s="92"/>
      <c r="J39" s="92"/>
    </row>
    <row r="40" spans="1:16" x14ac:dyDescent="0.25">
      <c r="A40" s="92"/>
      <c r="B40" s="92"/>
      <c r="C40" s="92"/>
      <c r="D40" s="92"/>
      <c r="E40" s="92"/>
      <c r="F40" s="92"/>
      <c r="G40" s="92"/>
      <c r="H40" s="92"/>
      <c r="I40" s="92"/>
      <c r="J40" s="92"/>
    </row>
    <row r="41" spans="1:16" x14ac:dyDescent="0.25">
      <c r="A41" s="92"/>
      <c r="B41" s="92"/>
      <c r="C41" s="92"/>
      <c r="D41" s="92"/>
      <c r="E41" s="92"/>
      <c r="F41" s="92"/>
      <c r="G41" s="92"/>
      <c r="H41" s="92"/>
      <c r="I41" s="92"/>
      <c r="J41" s="92"/>
    </row>
    <row r="42" spans="1:16" x14ac:dyDescent="0.25">
      <c r="A42" s="92"/>
      <c r="B42" s="92"/>
      <c r="C42" s="92"/>
      <c r="D42" s="92"/>
      <c r="E42" s="92"/>
      <c r="F42" s="92"/>
      <c r="G42" s="92"/>
      <c r="H42" s="92"/>
      <c r="I42" s="92"/>
      <c r="J42" s="92"/>
    </row>
    <row r="43" spans="1:16" x14ac:dyDescent="0.25">
      <c r="A43" s="92"/>
      <c r="B43" s="92"/>
      <c r="C43" s="92"/>
      <c r="D43" s="92"/>
      <c r="E43" s="92"/>
      <c r="F43" s="92"/>
      <c r="G43" s="92"/>
      <c r="H43" s="92"/>
      <c r="I43" s="92"/>
      <c r="J43" s="92"/>
    </row>
    <row r="44" spans="1:16" x14ac:dyDescent="0.25">
      <c r="A44" s="92"/>
      <c r="B44" s="92"/>
      <c r="C44" s="92"/>
      <c r="D44" s="92"/>
      <c r="E44" s="92"/>
      <c r="F44" s="92"/>
      <c r="G44" s="92"/>
      <c r="H44" s="92"/>
      <c r="I44" s="92"/>
      <c r="J44" s="92"/>
    </row>
    <row r="45" spans="1:16" x14ac:dyDescent="0.25">
      <c r="A45" s="92"/>
      <c r="B45" s="92"/>
      <c r="C45" s="92"/>
      <c r="D45" s="92"/>
      <c r="E45" s="92"/>
      <c r="F45" s="92"/>
      <c r="G45" s="92"/>
      <c r="H45" s="92"/>
      <c r="I45" s="92"/>
      <c r="J45" s="92"/>
    </row>
    <row r="46" spans="1:16" x14ac:dyDescent="0.25">
      <c r="A46" s="92"/>
      <c r="B46" s="92"/>
      <c r="C46" s="92"/>
      <c r="D46" s="92"/>
      <c r="E46" s="92"/>
      <c r="F46" s="92"/>
      <c r="G46" s="92"/>
      <c r="H46" s="92"/>
      <c r="I46" s="92"/>
      <c r="J46" s="92"/>
    </row>
    <row r="47" spans="1:16" x14ac:dyDescent="0.25">
      <c r="A47" s="92"/>
      <c r="B47" s="92"/>
      <c r="C47" s="92"/>
      <c r="D47" s="92"/>
      <c r="E47" s="92"/>
      <c r="F47" s="92"/>
      <c r="G47" s="92"/>
      <c r="H47" s="92"/>
      <c r="I47" s="92"/>
      <c r="J47" s="92"/>
    </row>
    <row r="48" spans="1:16" x14ac:dyDescent="0.25">
      <c r="A48" s="92"/>
      <c r="B48" s="92"/>
      <c r="C48" s="92"/>
      <c r="D48" s="92"/>
      <c r="E48" s="92"/>
      <c r="F48" s="92"/>
      <c r="G48" s="92"/>
      <c r="H48" s="92"/>
      <c r="I48" s="92"/>
      <c r="J48" s="92"/>
    </row>
    <row r="49" spans="1:10" x14ac:dyDescent="0.25">
      <c r="A49" s="92"/>
      <c r="B49" s="92"/>
      <c r="C49" s="92"/>
      <c r="D49" s="92"/>
      <c r="E49" s="92"/>
      <c r="F49" s="92"/>
      <c r="G49" s="92"/>
      <c r="H49" s="92"/>
      <c r="I49" s="92"/>
      <c r="J49" s="92"/>
    </row>
    <row r="50" spans="1:10" x14ac:dyDescent="0.25">
      <c r="A50" s="92"/>
      <c r="B50" s="92"/>
      <c r="C50" s="92"/>
      <c r="D50" s="92"/>
      <c r="E50" s="92"/>
      <c r="F50" s="92"/>
      <c r="G50" s="92"/>
      <c r="H50" s="92"/>
      <c r="I50" s="92"/>
      <c r="J50" s="92"/>
    </row>
  </sheetData>
  <mergeCells count="9">
    <mergeCell ref="B23:J23"/>
    <mergeCell ref="B24:J24"/>
    <mergeCell ref="B25:J25"/>
    <mergeCell ref="A12:N12"/>
    <mergeCell ref="B18:J18"/>
    <mergeCell ref="B19:J19"/>
    <mergeCell ref="B20:J20"/>
    <mergeCell ref="B21:J21"/>
    <mergeCell ref="B22:J22"/>
  </mergeCells>
  <dataValidations count="3">
    <dataValidation type="list" allowBlank="1" showInputMessage="1" showErrorMessage="1" sqref="B19:J25">
      <formula1>Rate_Class</formula1>
    </dataValidation>
    <dataValidation allowBlank="1" showInputMessage="1" showErrorMessage="1" sqref="B26:J34"/>
    <dataValidation type="list" allowBlank="1" showInputMessage="1" showErrorMessage="1" sqref="J14">
      <formula1>"1,2,3,4,5,6,7,8, 9, 10,11,12,13,14,15"</formula1>
    </dataValidation>
  </dataValidations>
  <pageMargins left="0.70866141732283472" right="0.70866141732283472" top="0.74803149606299213" bottom="0.74803149606299213" header="0.31496062992125984" footer="0.31496062992125984"/>
  <pageSetup scale="64"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topLeftCell="B1" workbookViewId="0">
      <selection activeCell="E71" sqref="E71"/>
    </sheetView>
  </sheetViews>
  <sheetFormatPr defaultColWidth="9.140625" defaultRowHeight="15" x14ac:dyDescent="0.25"/>
  <cols>
    <col min="1" max="1" width="65.85546875" style="34" customWidth="1"/>
    <col min="2" max="2" width="21.85546875" style="34" customWidth="1"/>
    <col min="3" max="4" width="21.85546875" style="92" customWidth="1"/>
    <col min="5" max="5" width="20.85546875" style="92" customWidth="1"/>
    <col min="6" max="6" width="3.28515625" style="92" customWidth="1"/>
    <col min="7" max="7" width="15.42578125" style="92" bestFit="1" customWidth="1"/>
    <col min="8" max="9" width="18.140625" style="92" bestFit="1" customWidth="1"/>
    <col min="10" max="11" width="28" style="34" customWidth="1"/>
    <col min="12" max="16384" width="9.140625" style="34"/>
  </cols>
  <sheetData>
    <row r="1" spans="1:9" x14ac:dyDescent="0.25">
      <c r="A1" s="97"/>
      <c r="C1" s="34"/>
      <c r="D1" s="34"/>
      <c r="E1" s="34"/>
      <c r="F1" s="34"/>
      <c r="G1" s="34"/>
      <c r="H1" s="34"/>
      <c r="I1" s="34"/>
    </row>
    <row r="2" spans="1:9" x14ac:dyDescent="0.25">
      <c r="C2" s="34"/>
      <c r="D2" s="34"/>
      <c r="E2" s="34"/>
      <c r="F2" s="34"/>
      <c r="G2" s="34"/>
      <c r="H2" s="34"/>
      <c r="I2" s="34"/>
    </row>
    <row r="3" spans="1:9" x14ac:dyDescent="0.25">
      <c r="C3" s="34"/>
      <c r="D3" s="34"/>
      <c r="E3" s="34"/>
      <c r="F3" s="34"/>
      <c r="G3" s="34"/>
      <c r="H3" s="34"/>
      <c r="I3" s="34"/>
    </row>
    <row r="4" spans="1:9" x14ac:dyDescent="0.25">
      <c r="C4" s="34"/>
      <c r="D4" s="34"/>
      <c r="E4" s="34"/>
      <c r="F4" s="34"/>
      <c r="G4" s="34"/>
      <c r="H4" s="34"/>
      <c r="I4" s="34"/>
    </row>
    <row r="5" spans="1:9" ht="15.75" x14ac:dyDescent="0.25">
      <c r="C5" s="34"/>
      <c r="D5" s="34"/>
      <c r="E5" s="34"/>
      <c r="F5" s="34"/>
      <c r="G5" s="34"/>
      <c r="H5" s="98"/>
      <c r="I5" s="34"/>
    </row>
    <row r="6" spans="1:9" x14ac:dyDescent="0.25">
      <c r="C6" s="34"/>
      <c r="D6" s="34"/>
      <c r="E6" s="34"/>
      <c r="F6" s="34"/>
      <c r="G6" s="34"/>
      <c r="H6" s="34"/>
      <c r="I6" s="34"/>
    </row>
    <row r="7" spans="1:9" x14ac:dyDescent="0.25">
      <c r="C7" s="34"/>
      <c r="D7" s="34"/>
      <c r="E7" s="34"/>
      <c r="F7" s="34"/>
      <c r="G7" s="34"/>
      <c r="H7" s="34"/>
      <c r="I7" s="34"/>
    </row>
    <row r="8" spans="1:9" x14ac:dyDescent="0.25">
      <c r="C8" s="34"/>
      <c r="D8" s="34"/>
      <c r="E8" s="34"/>
      <c r="F8" s="34"/>
      <c r="G8" s="34"/>
      <c r="H8" s="34"/>
      <c r="I8" s="34"/>
    </row>
    <row r="9" spans="1:9" x14ac:dyDescent="0.25">
      <c r="C9" s="34"/>
      <c r="D9" s="34"/>
      <c r="E9" s="34"/>
      <c r="F9" s="34"/>
      <c r="G9" s="34"/>
      <c r="H9" s="34"/>
      <c r="I9" s="34"/>
    </row>
    <row r="10" spans="1:9" x14ac:dyDescent="0.25">
      <c r="C10" s="34"/>
      <c r="D10" s="34"/>
      <c r="E10" s="34"/>
      <c r="F10" s="34"/>
      <c r="G10" s="34"/>
      <c r="H10" s="34"/>
      <c r="I10" s="34"/>
    </row>
    <row r="11" spans="1:9" ht="15.75" x14ac:dyDescent="0.25">
      <c r="A11" s="99"/>
      <c r="C11" s="34"/>
      <c r="D11" s="34"/>
      <c r="E11" s="34"/>
      <c r="F11" s="34"/>
      <c r="G11" s="34"/>
      <c r="H11" s="34"/>
      <c r="I11" s="34"/>
    </row>
    <row r="12" spans="1:9" x14ac:dyDescent="0.25">
      <c r="C12" s="34"/>
      <c r="D12" s="34"/>
      <c r="E12" s="34"/>
      <c r="F12" s="34"/>
      <c r="G12" s="34"/>
      <c r="H12" s="34"/>
      <c r="I12" s="34"/>
    </row>
    <row r="13" spans="1:9" ht="15.75" customHeight="1" x14ac:dyDescent="0.25">
      <c r="A13" s="388" t="str">
        <f>"Input the billing determinants and base distribution rates associated with " &amp; '1. Information Sheet'!F14 &amp; "'s " &amp; '1. Information Sheet'!F46 &amp; ".  Sheets 4 &amp; 5 calculate the NUMERATOR portion of the growth factor calculation."</f>
        <v>Input the billing determinants and base distribution rates associated with Burlington Hydro Inc's 2017 Actual Distribution Revenues.  Sheets 4 &amp; 5 calculate the NUMERATOR portion of the growth factor calculation.</v>
      </c>
      <c r="B13" s="388"/>
      <c r="C13" s="388"/>
      <c r="D13" s="388"/>
      <c r="E13" s="388"/>
      <c r="F13" s="34"/>
      <c r="G13" s="34"/>
      <c r="H13" s="34"/>
      <c r="I13" s="34"/>
    </row>
    <row r="14" spans="1:9" ht="15.75" customHeight="1" x14ac:dyDescent="0.25">
      <c r="A14" s="388"/>
      <c r="B14" s="388"/>
      <c r="C14" s="388"/>
      <c r="D14" s="388"/>
      <c r="E14" s="388"/>
      <c r="F14" s="34"/>
      <c r="G14" s="34"/>
      <c r="H14" s="34"/>
      <c r="I14" s="34"/>
    </row>
    <row r="15" spans="1:9" ht="19.5" thickBot="1" x14ac:dyDescent="0.3">
      <c r="A15" s="99"/>
      <c r="C15" s="389" t="s">
        <v>313</v>
      </c>
      <c r="D15" s="389"/>
      <c r="E15" s="389"/>
      <c r="F15" s="100"/>
      <c r="G15" s="389" t="s">
        <v>313</v>
      </c>
      <c r="H15" s="389"/>
      <c r="I15" s="389"/>
    </row>
    <row r="16" spans="1:9" ht="47.25" x14ac:dyDescent="0.25">
      <c r="A16" s="101" t="s">
        <v>85</v>
      </c>
      <c r="B16" s="102" t="s">
        <v>86</v>
      </c>
      <c r="C16" s="98" t="s">
        <v>87</v>
      </c>
      <c r="D16" s="98" t="s">
        <v>88</v>
      </c>
      <c r="E16" s="98" t="s">
        <v>89</v>
      </c>
      <c r="F16" s="98"/>
      <c r="G16" s="98" t="s">
        <v>90</v>
      </c>
      <c r="H16" s="98" t="s">
        <v>91</v>
      </c>
      <c r="I16" s="98" t="s">
        <v>92</v>
      </c>
    </row>
    <row r="17" spans="1:9" ht="15.75" thickBot="1" x14ac:dyDescent="0.3">
      <c r="A17" s="34" t="s">
        <v>81</v>
      </c>
      <c r="B17" s="103" t="s">
        <v>93</v>
      </c>
      <c r="C17" s="104">
        <v>60593</v>
      </c>
      <c r="D17" s="105">
        <v>499660804</v>
      </c>
      <c r="E17" s="105">
        <v>0</v>
      </c>
      <c r="F17" s="106"/>
      <c r="G17" s="107">
        <f>+'[2]2.1.5 OEB Schedule'!B39/C17/12</f>
        <v>17.832253904466413</v>
      </c>
      <c r="H17" s="108">
        <f>+'[2]2.1.5 OEB Schedule'!C39/D17</f>
        <v>9.9537655949494888E-3</v>
      </c>
      <c r="I17" s="109">
        <v>0</v>
      </c>
    </row>
    <row r="18" spans="1:9" ht="15.75" thickBot="1" x14ac:dyDescent="0.3">
      <c r="A18" s="34" t="s">
        <v>82</v>
      </c>
      <c r="B18" s="110" t="s">
        <v>93</v>
      </c>
      <c r="C18" s="111">
        <v>5523</v>
      </c>
      <c r="D18" s="112">
        <v>165968773</v>
      </c>
      <c r="E18" s="112">
        <v>0</v>
      </c>
      <c r="F18" s="113"/>
      <c r="G18" s="107">
        <f>+'[2]2.1.5 OEB Schedule'!B40/C18/12</f>
        <v>24.967278652906032</v>
      </c>
      <c r="H18" s="108">
        <f>+'[2]2.1.5 OEB Schedule'!C40/D18</f>
        <v>1.4672995021780393E-2</v>
      </c>
      <c r="I18" s="116">
        <v>0</v>
      </c>
    </row>
    <row r="19" spans="1:9" ht="15.75" thickBot="1" x14ac:dyDescent="0.3">
      <c r="A19" s="34" t="s">
        <v>312</v>
      </c>
      <c r="B19" s="110" t="s">
        <v>94</v>
      </c>
      <c r="C19" s="111">
        <v>1006</v>
      </c>
      <c r="D19" s="112"/>
      <c r="E19" s="112">
        <v>2376074</v>
      </c>
      <c r="F19" s="113"/>
      <c r="G19" s="107">
        <f>+'[2]2.1.5 OEB Schedule'!B42/C19/12</f>
        <v>59.487283797216698</v>
      </c>
      <c r="H19" s="108">
        <v>0</v>
      </c>
      <c r="I19" s="108">
        <f>+'[2]2.1.5 OEB Schedule'!C42/E19</f>
        <v>3.0168619748374841</v>
      </c>
    </row>
    <row r="20" spans="1:9" ht="15.75" thickBot="1" x14ac:dyDescent="0.3">
      <c r="A20" s="34" t="s">
        <v>83</v>
      </c>
      <c r="B20" s="110" t="s">
        <v>93</v>
      </c>
      <c r="C20" s="111">
        <v>582</v>
      </c>
      <c r="D20" s="112">
        <v>3130312</v>
      </c>
      <c r="E20" s="112">
        <v>0</v>
      </c>
      <c r="F20" s="113"/>
      <c r="G20" s="107">
        <f>+'[2]2.1.5 OEB Schedule'!B41/C20/12</f>
        <v>9.1978064146620842</v>
      </c>
      <c r="H20" s="108">
        <f>+'[2]2.1.5 OEB Schedule'!C41/D20</f>
        <v>1.597302121961006E-2</v>
      </c>
      <c r="I20" s="108">
        <v>0</v>
      </c>
    </row>
    <row r="21" spans="1:9" ht="15.75" thickBot="1" x14ac:dyDescent="0.3">
      <c r="A21" s="34" t="s">
        <v>84</v>
      </c>
      <c r="B21" s="110" t="s">
        <v>94</v>
      </c>
      <c r="C21" s="111">
        <v>15386</v>
      </c>
      <c r="D21" s="112"/>
      <c r="E21" s="112">
        <v>26971</v>
      </c>
      <c r="F21" s="113"/>
      <c r="G21" s="107">
        <f>+'[2]2.1.5 OEB Schedule'!B43/C21/12</f>
        <v>0.61249203821656051</v>
      </c>
      <c r="H21" s="108">
        <v>0</v>
      </c>
      <c r="I21" s="108">
        <f>+'[2]2.1.5 OEB Schedule'!C43/E21</f>
        <v>4.4599540246931886</v>
      </c>
    </row>
    <row r="22" spans="1:9" ht="15.75" thickBot="1" x14ac:dyDescent="0.3">
      <c r="B22" s="110"/>
      <c r="C22" s="111"/>
      <c r="D22" s="112"/>
      <c r="E22" s="112"/>
      <c r="F22" s="113"/>
      <c r="G22" s="114"/>
      <c r="H22" s="115"/>
      <c r="I22" s="116"/>
    </row>
    <row r="23" spans="1:9" ht="15.75" thickBot="1" x14ac:dyDescent="0.3">
      <c r="B23" s="110"/>
      <c r="C23" s="117"/>
      <c r="D23" s="118"/>
      <c r="E23" s="118"/>
      <c r="F23" s="119"/>
      <c r="G23" s="120"/>
      <c r="H23" s="121"/>
      <c r="I23" s="122"/>
    </row>
    <row r="24" spans="1:9" x14ac:dyDescent="0.25">
      <c r="G24" s="123"/>
      <c r="H24" s="123"/>
      <c r="I24" s="123"/>
    </row>
  </sheetData>
  <mergeCells count="3">
    <mergeCell ref="A13:E14"/>
    <mergeCell ref="C15:E15"/>
    <mergeCell ref="G15:I15"/>
  </mergeCells>
  <dataValidations disablePrompts="1" count="1">
    <dataValidation type="list" allowBlank="1" showInputMessage="1" showErrorMessage="1" sqref="B17:B23">
      <formula1>Units1</formula1>
    </dataValidation>
  </dataValidations>
  <pageMargins left="0.70866141732283472" right="0.70866141732283472" top="0.74803149606299213" bottom="0.74803149606299213" header="0.31496062992125984" footer="0.31496062992125984"/>
  <pageSetup scale="59" orientation="landscape" r:id="rId1"/>
  <headerFooter>
    <oddFooter>&amp;C&amp;A</oddFooter>
  </headerFooter>
  <ignoredErrors>
    <ignoredError sqref="G17:G21 H17 H18 H20 I19:I2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E71" sqref="E71"/>
    </sheetView>
  </sheetViews>
  <sheetFormatPr defaultRowHeight="15" x14ac:dyDescent="0.25"/>
  <cols>
    <col min="1" max="1" width="50" customWidth="1"/>
    <col min="3" max="4" width="16" bestFit="1" customWidth="1"/>
    <col min="5" max="5" width="18.85546875"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9.28515625" bestFit="1"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124" t="str">
        <f>IF('1. Information Sheet'!F26="COS", "Calculation of " &amp; '1. Information Sheet'!K26 &amp; " Revenue Requirement.  No input required.", "Calculation of " &amp; '1. Information Sheet'!F36 &amp; " Revenue Requirement.  No input required.")</f>
        <v>Calculation of 2017 Revenue Requirement.  No input required.</v>
      </c>
    </row>
    <row r="14" spans="1:19" ht="21.75" thickBot="1" x14ac:dyDescent="0.3">
      <c r="C14" s="390" t="str">
        <f>+'4. Growth Factor - NUM_CALC1'!C15:E15</f>
        <v>2017 Actual Distribution Revenues</v>
      </c>
      <c r="D14" s="390"/>
      <c r="E14" s="390"/>
      <c r="F14" s="390"/>
      <c r="G14" s="390"/>
      <c r="H14" s="390"/>
      <c r="I14" s="390"/>
    </row>
    <row r="15" spans="1:19" s="127" customFormat="1" ht="63" x14ac:dyDescent="0.25">
      <c r="A15" s="125" t="s">
        <v>85</v>
      </c>
      <c r="B15" s="126"/>
      <c r="C15" s="102" t="s">
        <v>87</v>
      </c>
      <c r="D15" s="102" t="s">
        <v>88</v>
      </c>
      <c r="E15" s="102" t="s">
        <v>89</v>
      </c>
      <c r="F15" s="102"/>
      <c r="G15" s="102" t="s">
        <v>90</v>
      </c>
      <c r="H15" s="102" t="s">
        <v>91</v>
      </c>
      <c r="I15" s="102" t="s">
        <v>92</v>
      </c>
      <c r="J15" s="102"/>
      <c r="K15" s="102" t="s">
        <v>95</v>
      </c>
      <c r="L15" s="102" t="s">
        <v>96</v>
      </c>
      <c r="M15" s="102" t="s">
        <v>97</v>
      </c>
      <c r="N15" s="102" t="s">
        <v>98</v>
      </c>
      <c r="O15" s="102"/>
      <c r="P15" s="102" t="s">
        <v>99</v>
      </c>
      <c r="Q15" s="102" t="s">
        <v>100</v>
      </c>
      <c r="R15" s="102" t="s">
        <v>101</v>
      </c>
      <c r="S15" s="102" t="s">
        <v>102</v>
      </c>
    </row>
    <row r="16" spans="1:19" s="129" customFormat="1" ht="15.75" x14ac:dyDescent="0.25">
      <c r="A16" s="128"/>
      <c r="B16" s="126"/>
      <c r="C16" s="126" t="s">
        <v>103</v>
      </c>
      <c r="D16" s="126" t="s">
        <v>104</v>
      </c>
      <c r="E16" s="126" t="s">
        <v>105</v>
      </c>
      <c r="F16" s="126"/>
      <c r="G16" s="126" t="s">
        <v>106</v>
      </c>
      <c r="H16" s="126" t="s">
        <v>107</v>
      </c>
      <c r="I16" s="126" t="s">
        <v>108</v>
      </c>
      <c r="J16" s="126"/>
      <c r="K16" s="126" t="s">
        <v>109</v>
      </c>
      <c r="L16" s="126" t="s">
        <v>110</v>
      </c>
      <c r="M16" s="302" t="s">
        <v>111</v>
      </c>
      <c r="N16" s="126" t="s">
        <v>112</v>
      </c>
      <c r="O16" s="126"/>
      <c r="P16" s="126" t="s">
        <v>113</v>
      </c>
      <c r="Q16" s="126" t="s">
        <v>114</v>
      </c>
      <c r="R16" s="126" t="s">
        <v>115</v>
      </c>
      <c r="S16" s="126" t="s">
        <v>116</v>
      </c>
    </row>
    <row r="17" spans="1:26" x14ac:dyDescent="0.25">
      <c r="A17" s="130" t="str">
        <f>+'4. Growth Factor - NUM_CALC1'!A17</f>
        <v>RESIDENTIAL</v>
      </c>
      <c r="B17" s="130"/>
      <c r="C17" s="131">
        <f>+'4. Growth Factor - NUM_CALC1'!C17</f>
        <v>60593</v>
      </c>
      <c r="D17" s="131">
        <f>+'4. Growth Factor - NUM_CALC1'!D17</f>
        <v>499660804</v>
      </c>
      <c r="E17" s="131">
        <f>+'4. Growth Factor - NUM_CALC1'!E17</f>
        <v>0</v>
      </c>
      <c r="F17" s="132"/>
      <c r="G17" s="133">
        <f>+'4. Growth Factor - NUM_CALC1'!G17</f>
        <v>17.832253904466413</v>
      </c>
      <c r="H17" s="134">
        <f>+'4. Growth Factor - NUM_CALC1'!H17</f>
        <v>9.9537655949494888E-3</v>
      </c>
      <c r="I17" s="134">
        <f>+'4. Growth Factor - NUM_CALC1'!I17</f>
        <v>0</v>
      </c>
      <c r="J17" s="130"/>
      <c r="K17" s="135">
        <f t="shared" ref="K17:K23" si="0">G17*C17*12</f>
        <v>12966117.129999999</v>
      </c>
      <c r="L17" s="135">
        <f>H17*D17</f>
        <v>4973506.5199999996</v>
      </c>
      <c r="M17" s="135">
        <f t="shared" ref="M17:M18" si="1">I17*E17</f>
        <v>0</v>
      </c>
      <c r="N17" s="135">
        <f t="shared" ref="N17:N23" si="2">SUM(K17,L17,M17)</f>
        <v>17939623.649999999</v>
      </c>
      <c r="O17" s="130"/>
      <c r="P17" s="136">
        <f t="shared" ref="P17:P23" si="3">IF(ISERROR(K17/N17),0,ROUND(K17/N17,3))</f>
        <v>0.72299999999999998</v>
      </c>
      <c r="Q17" s="136">
        <f t="shared" ref="Q17:Q23" si="4">IF(ISERROR(L17/N17),0,ROUND(L17/N17,3))</f>
        <v>0.27700000000000002</v>
      </c>
      <c r="R17" s="136">
        <f t="shared" ref="R17:R23" si="5">IF(ISERROR(M17/N17),0,ROUND(M17/N17,3))</f>
        <v>0</v>
      </c>
      <c r="S17" s="136">
        <f>N17/N24</f>
        <v>0.5927780258761528</v>
      </c>
    </row>
    <row r="18" spans="1:26" x14ac:dyDescent="0.25">
      <c r="A18" s="130" t="str">
        <f>+'4. Growth Factor - NUM_CALC1'!A18</f>
        <v>GENERAL SERVICE LESS THAN 50 KW</v>
      </c>
      <c r="B18" s="137"/>
      <c r="C18" s="131">
        <f>+'4. Growth Factor - NUM_CALC1'!C18</f>
        <v>5523</v>
      </c>
      <c r="D18" s="131">
        <f>+'4. Growth Factor - NUM_CALC1'!D18</f>
        <v>165968773</v>
      </c>
      <c r="E18" s="131">
        <f>+'4. Growth Factor - NUM_CALC1'!E18</f>
        <v>0</v>
      </c>
      <c r="F18" s="139"/>
      <c r="G18" s="133">
        <f>+'4. Growth Factor - NUM_CALC1'!G18</f>
        <v>24.967278652906032</v>
      </c>
      <c r="H18" s="140">
        <f>+'4. Growth Factor - NUM_CALC1'!H18</f>
        <v>1.4672995021780393E-2</v>
      </c>
      <c r="I18" s="140">
        <f>+'4. Growth Factor - NUM_CALC1'!I18</f>
        <v>0</v>
      </c>
      <c r="J18" s="137"/>
      <c r="K18" s="141">
        <f t="shared" si="0"/>
        <v>1654731.3600000003</v>
      </c>
      <c r="L18" s="135">
        <f t="shared" ref="L18:L23" si="6">H18*D18</f>
        <v>2435258.98</v>
      </c>
      <c r="M18" s="141">
        <f t="shared" si="1"/>
        <v>0</v>
      </c>
      <c r="N18" s="141">
        <f t="shared" si="2"/>
        <v>4089990.3400000003</v>
      </c>
      <c r="O18" s="137"/>
      <c r="P18" s="142">
        <f t="shared" si="3"/>
        <v>0.40500000000000003</v>
      </c>
      <c r="Q18" s="142">
        <f t="shared" si="4"/>
        <v>0.59499999999999997</v>
      </c>
      <c r="R18" s="142">
        <f t="shared" si="5"/>
        <v>0</v>
      </c>
      <c r="S18" s="142">
        <f>N18/N24</f>
        <v>0.13514533230454562</v>
      </c>
    </row>
    <row r="19" spans="1:26" x14ac:dyDescent="0.25">
      <c r="A19" s="130" t="str">
        <f>+'4. Growth Factor - NUM_CALC1'!A19</f>
        <v>GENERAL SERVICE GREATER THAN 50 KW</v>
      </c>
      <c r="B19" s="137"/>
      <c r="C19" s="131">
        <f>+'4. Growth Factor - NUM_CALC1'!C19</f>
        <v>1006</v>
      </c>
      <c r="D19" s="131">
        <f>+'4. Growth Factor - NUM_CALC1'!D19</f>
        <v>0</v>
      </c>
      <c r="E19" s="131">
        <f>+'4. Growth Factor - NUM_CALC1'!E19</f>
        <v>2376074</v>
      </c>
      <c r="F19" s="139"/>
      <c r="G19" s="133">
        <f>+'4. Growth Factor - NUM_CALC1'!G19</f>
        <v>59.487283797216698</v>
      </c>
      <c r="H19" s="140">
        <f>+'4. Growth Factor - NUM_CALC1'!H19</f>
        <v>0</v>
      </c>
      <c r="I19" s="140">
        <f>+'4. Growth Factor - NUM_CALC1'!I19</f>
        <v>3.0168619748374841</v>
      </c>
      <c r="J19" s="137"/>
      <c r="K19" s="141">
        <f t="shared" si="0"/>
        <v>718130.49</v>
      </c>
      <c r="L19" s="135">
        <f t="shared" si="6"/>
        <v>0</v>
      </c>
      <c r="M19" s="141">
        <f>I19*E19</f>
        <v>7168287.2999999998</v>
      </c>
      <c r="N19" s="141">
        <f t="shared" si="2"/>
        <v>7886417.79</v>
      </c>
      <c r="O19" s="137"/>
      <c r="P19" s="142">
        <f t="shared" si="3"/>
        <v>9.0999999999999998E-2</v>
      </c>
      <c r="Q19" s="142">
        <f t="shared" si="4"/>
        <v>0</v>
      </c>
      <c r="R19" s="142">
        <f t="shared" si="5"/>
        <v>0.90900000000000003</v>
      </c>
      <c r="S19" s="142">
        <f>N19/N24</f>
        <v>0.26059048171786886</v>
      </c>
    </row>
    <row r="20" spans="1:26" x14ac:dyDescent="0.25">
      <c r="A20" s="130" t="str">
        <f>+'4. Growth Factor - NUM_CALC1'!A20</f>
        <v>UNMETERED SCATTERED LOAD</v>
      </c>
      <c r="B20" s="137"/>
      <c r="C20" s="131">
        <f>+'4. Growth Factor - NUM_CALC1'!C20</f>
        <v>582</v>
      </c>
      <c r="D20" s="131">
        <f>+'4. Growth Factor - NUM_CALC1'!D20</f>
        <v>3130312</v>
      </c>
      <c r="E20" s="131">
        <f>+'4. Growth Factor - NUM_CALC1'!E20</f>
        <v>0</v>
      </c>
      <c r="F20" s="139"/>
      <c r="G20" s="133">
        <f>+'4. Growth Factor - NUM_CALC1'!G20</f>
        <v>9.1978064146620842</v>
      </c>
      <c r="H20" s="140">
        <f>+'4. Growth Factor - NUM_CALC1'!H20</f>
        <v>1.597302121961006E-2</v>
      </c>
      <c r="I20" s="140">
        <f>+'4. Growth Factor - NUM_CALC1'!I20</f>
        <v>0</v>
      </c>
      <c r="J20" s="137"/>
      <c r="K20" s="141">
        <f t="shared" si="0"/>
        <v>64237.479999999996</v>
      </c>
      <c r="L20" s="135">
        <f t="shared" si="6"/>
        <v>50000.540000000008</v>
      </c>
      <c r="M20" s="141">
        <f t="shared" ref="M20:M23" si="7">I20*E20</f>
        <v>0</v>
      </c>
      <c r="N20" s="141">
        <f t="shared" si="2"/>
        <v>114238.02</v>
      </c>
      <c r="O20" s="137"/>
      <c r="P20" s="142">
        <f t="shared" si="3"/>
        <v>0.56200000000000006</v>
      </c>
      <c r="Q20" s="142">
        <f t="shared" si="4"/>
        <v>0.438</v>
      </c>
      <c r="R20" s="142">
        <f t="shared" si="5"/>
        <v>0</v>
      </c>
      <c r="S20" s="142">
        <f>N20/N24</f>
        <v>3.7747607919077207E-3</v>
      </c>
    </row>
    <row r="21" spans="1:26" x14ac:dyDescent="0.25">
      <c r="A21" s="130" t="str">
        <f>+'4. Growth Factor - NUM_CALC1'!A21</f>
        <v>STREET LIGHTING</v>
      </c>
      <c r="B21" s="137"/>
      <c r="C21" s="131">
        <f>+'4. Growth Factor - NUM_CALC1'!C21</f>
        <v>15386</v>
      </c>
      <c r="D21" s="131">
        <f>+'4. Growth Factor - NUM_CALC1'!D21</f>
        <v>0</v>
      </c>
      <c r="E21" s="131">
        <f>+'4. Growth Factor - NUM_CALC1'!E21</f>
        <v>26971</v>
      </c>
      <c r="F21" s="139"/>
      <c r="G21" s="133">
        <f>+'4. Growth Factor - NUM_CALC1'!G21</f>
        <v>0.61249203821656051</v>
      </c>
      <c r="H21" s="140">
        <f>+'4. Growth Factor - NUM_CALC1'!H21</f>
        <v>0</v>
      </c>
      <c r="I21" s="140">
        <f>+'4. Growth Factor - NUM_CALC1'!I21</f>
        <v>4.4599540246931886</v>
      </c>
      <c r="J21" s="137"/>
      <c r="K21" s="141">
        <f t="shared" si="0"/>
        <v>113085.63</v>
      </c>
      <c r="L21" s="135">
        <f t="shared" si="6"/>
        <v>0</v>
      </c>
      <c r="M21" s="141">
        <f t="shared" si="7"/>
        <v>120289.41999999998</v>
      </c>
      <c r="N21" s="141">
        <f t="shared" si="2"/>
        <v>233375.05</v>
      </c>
      <c r="O21" s="137"/>
      <c r="P21" s="142">
        <f t="shared" si="3"/>
        <v>0.48499999999999999</v>
      </c>
      <c r="Q21" s="142">
        <f t="shared" si="4"/>
        <v>0</v>
      </c>
      <c r="R21" s="142">
        <f t="shared" si="5"/>
        <v>0.51500000000000001</v>
      </c>
      <c r="S21" s="142">
        <f>N21/N24</f>
        <v>7.7113993095250062E-3</v>
      </c>
    </row>
    <row r="22" spans="1:26" x14ac:dyDescent="0.25">
      <c r="A22" s="130"/>
      <c r="B22" s="137"/>
      <c r="C22" s="131">
        <f>+'4. Growth Factor - NUM_CALC1'!C22</f>
        <v>0</v>
      </c>
      <c r="D22" s="131">
        <f>+'4. Growth Factor - NUM_CALC1'!D22</f>
        <v>0</v>
      </c>
      <c r="E22" s="131">
        <f>+'4. Growth Factor - NUM_CALC1'!E22</f>
        <v>0</v>
      </c>
      <c r="F22" s="139"/>
      <c r="G22" s="133">
        <f>+'4. Growth Factor - NUM_CALC1'!G22</f>
        <v>0</v>
      </c>
      <c r="H22" s="140">
        <f>+'4. Growth Factor - NUM_CALC1'!H22</f>
        <v>0</v>
      </c>
      <c r="I22" s="140">
        <f>+'4. Growth Factor - NUM_CALC1'!I22</f>
        <v>0</v>
      </c>
      <c r="J22" s="137"/>
      <c r="K22" s="141">
        <f t="shared" si="0"/>
        <v>0</v>
      </c>
      <c r="L22" s="135">
        <f t="shared" si="6"/>
        <v>0</v>
      </c>
      <c r="M22" s="141">
        <f t="shared" si="7"/>
        <v>0</v>
      </c>
      <c r="N22" s="141">
        <f t="shared" si="2"/>
        <v>0</v>
      </c>
      <c r="O22" s="137"/>
      <c r="P22" s="142">
        <f t="shared" si="3"/>
        <v>0</v>
      </c>
      <c r="Q22" s="142">
        <f t="shared" si="4"/>
        <v>0</v>
      </c>
      <c r="R22" s="142">
        <f t="shared" si="5"/>
        <v>0</v>
      </c>
      <c r="S22" s="142">
        <f>N22/N24</f>
        <v>0</v>
      </c>
    </row>
    <row r="23" spans="1:26" x14ac:dyDescent="0.25">
      <c r="A23" s="130"/>
      <c r="B23" s="137"/>
      <c r="C23" s="131">
        <f>+'4. Growth Factor - NUM_CALC1'!C23</f>
        <v>0</v>
      </c>
      <c r="D23" s="131">
        <f>+'4. Growth Factor - NUM_CALC1'!D23</f>
        <v>0</v>
      </c>
      <c r="E23" s="131">
        <f>+'4. Growth Factor - NUM_CALC1'!E23</f>
        <v>0</v>
      </c>
      <c r="F23" s="139"/>
      <c r="G23" s="133">
        <f>+'4. Growth Factor - NUM_CALC1'!G23</f>
        <v>0</v>
      </c>
      <c r="H23" s="140">
        <f>+'4. Growth Factor - NUM_CALC1'!H23</f>
        <v>0</v>
      </c>
      <c r="I23" s="140">
        <f>+'4. Growth Factor - NUM_CALC1'!I23</f>
        <v>0</v>
      </c>
      <c r="J23" s="137"/>
      <c r="K23" s="141">
        <f t="shared" si="0"/>
        <v>0</v>
      </c>
      <c r="L23" s="135">
        <f t="shared" si="6"/>
        <v>0</v>
      </c>
      <c r="M23" s="141">
        <f t="shared" si="7"/>
        <v>0</v>
      </c>
      <c r="N23" s="141">
        <f t="shared" si="2"/>
        <v>0</v>
      </c>
      <c r="O23" s="137"/>
      <c r="P23" s="142">
        <f t="shared" si="3"/>
        <v>0</v>
      </c>
      <c r="Q23" s="142">
        <f t="shared" si="4"/>
        <v>0</v>
      </c>
      <c r="R23" s="142">
        <f t="shared" si="5"/>
        <v>0</v>
      </c>
      <c r="S23" s="142">
        <f>N23/N24</f>
        <v>0</v>
      </c>
    </row>
    <row r="24" spans="1:26" x14ac:dyDescent="0.25">
      <c r="A24" s="143" t="s">
        <v>117</v>
      </c>
      <c r="B24" s="143"/>
      <c r="C24" s="144">
        <f>SUM(C17:C23)</f>
        <v>83090</v>
      </c>
      <c r="D24" s="144">
        <f>SUM(D17:D23)</f>
        <v>668759889</v>
      </c>
      <c r="E24" s="144">
        <f>SUM(E17:E23)</f>
        <v>2403045</v>
      </c>
      <c r="F24" s="145"/>
      <c r="G24" s="145"/>
      <c r="H24" s="145"/>
      <c r="I24" s="145"/>
      <c r="J24" s="143"/>
      <c r="K24" s="146">
        <f>SUM(K17:K23)</f>
        <v>15516302.09</v>
      </c>
      <c r="L24" s="146">
        <f>SUM(L17:L23)</f>
        <v>7458766.04</v>
      </c>
      <c r="M24" s="146">
        <f>SUM(M17:M23)</f>
        <v>7288576.7199999997</v>
      </c>
      <c r="N24" s="146">
        <f>SUM(N17:N23)</f>
        <v>30263644.849999998</v>
      </c>
      <c r="O24" s="143"/>
      <c r="P24" s="147"/>
      <c r="Q24" s="147"/>
      <c r="R24" s="147"/>
      <c r="S24" s="147">
        <f>SUM(S17:S23)</f>
        <v>1</v>
      </c>
      <c r="T24" s="148"/>
      <c r="U24" s="148"/>
      <c r="V24" s="148"/>
      <c r="W24" s="148"/>
      <c r="X24" s="148"/>
      <c r="Y24" s="148"/>
      <c r="Z24" s="148"/>
    </row>
    <row r="25" spans="1:26" x14ac:dyDescent="0.25">
      <c r="C25" s="149"/>
      <c r="D25" s="149"/>
      <c r="E25" s="149"/>
      <c r="F25" s="149"/>
      <c r="G25" s="149"/>
      <c r="H25" s="149"/>
      <c r="I25" s="149"/>
    </row>
    <row r="26" spans="1:26" x14ac:dyDescent="0.25">
      <c r="C26" s="149"/>
      <c r="D26" s="149"/>
      <c r="E26" s="149"/>
      <c r="F26" s="149"/>
      <c r="G26" s="149"/>
      <c r="H26" s="149"/>
      <c r="I26" s="149"/>
    </row>
    <row r="27" spans="1:26" x14ac:dyDescent="0.25">
      <c r="C27" s="149"/>
      <c r="D27" s="149"/>
      <c r="E27" s="149"/>
      <c r="F27" s="149"/>
      <c r="G27" s="149"/>
      <c r="H27" s="149"/>
      <c r="I27" s="149"/>
    </row>
    <row r="28" spans="1:26" x14ac:dyDescent="0.25">
      <c r="C28" s="149"/>
      <c r="D28" s="149"/>
      <c r="E28" s="149"/>
      <c r="F28" s="149"/>
      <c r="G28" s="149"/>
      <c r="H28" s="149"/>
      <c r="I28" s="149"/>
    </row>
    <row r="29" spans="1:26" x14ac:dyDescent="0.25">
      <c r="C29" s="149"/>
      <c r="D29" s="149"/>
      <c r="E29" s="149"/>
      <c r="F29" s="149"/>
      <c r="G29" s="149"/>
      <c r="H29" s="149"/>
      <c r="I29" s="149"/>
    </row>
    <row r="30" spans="1:26" x14ac:dyDescent="0.25">
      <c r="C30" s="149"/>
      <c r="D30" s="149"/>
      <c r="E30" s="149"/>
      <c r="F30" s="149"/>
      <c r="G30" s="149"/>
      <c r="H30" s="149"/>
      <c r="I30" s="149"/>
    </row>
    <row r="31" spans="1:26" x14ac:dyDescent="0.25">
      <c r="C31" s="149"/>
      <c r="D31" s="149"/>
      <c r="E31" s="149"/>
      <c r="F31" s="149"/>
      <c r="G31" s="149"/>
      <c r="H31" s="149"/>
      <c r="I31" s="149"/>
    </row>
    <row r="32" spans="1:26" x14ac:dyDescent="0.25">
      <c r="C32" s="149"/>
      <c r="D32" s="149"/>
      <c r="E32" s="149"/>
      <c r="F32" s="149"/>
      <c r="G32" s="149"/>
      <c r="H32" s="149"/>
      <c r="I32" s="149"/>
    </row>
    <row r="33" spans="3:9" x14ac:dyDescent="0.25">
      <c r="C33" s="149"/>
      <c r="D33" s="149"/>
      <c r="E33" s="149"/>
      <c r="F33" s="149"/>
      <c r="G33" s="149"/>
      <c r="H33" s="149"/>
      <c r="I33" s="149"/>
    </row>
    <row r="34" spans="3:9" x14ac:dyDescent="0.25">
      <c r="C34" s="149"/>
      <c r="D34" s="149"/>
      <c r="E34" s="149"/>
      <c r="F34" s="149"/>
      <c r="G34" s="149"/>
      <c r="H34" s="149"/>
      <c r="I34" s="149"/>
    </row>
    <row r="35" spans="3:9" x14ac:dyDescent="0.25">
      <c r="C35" s="149"/>
      <c r="D35" s="149"/>
      <c r="E35" s="149"/>
      <c r="F35" s="149"/>
      <c r="G35" s="149"/>
      <c r="H35" s="149"/>
      <c r="I35" s="149"/>
    </row>
    <row r="36" spans="3:9" x14ac:dyDescent="0.25">
      <c r="C36" s="149"/>
      <c r="D36" s="149"/>
      <c r="E36" s="149"/>
      <c r="F36" s="149"/>
      <c r="G36" s="149"/>
      <c r="H36" s="149"/>
      <c r="I36" s="149"/>
    </row>
    <row r="37" spans="3:9" x14ac:dyDescent="0.25">
      <c r="C37" s="149"/>
      <c r="D37" s="149"/>
      <c r="E37" s="149"/>
      <c r="F37" s="149"/>
      <c r="G37" s="149"/>
      <c r="H37" s="149"/>
      <c r="I37" s="149"/>
    </row>
    <row r="38" spans="3:9" x14ac:dyDescent="0.25">
      <c r="C38" s="149"/>
      <c r="D38" s="149"/>
      <c r="E38" s="149"/>
      <c r="F38" s="149"/>
      <c r="G38" s="149"/>
      <c r="H38" s="149"/>
      <c r="I38" s="149"/>
    </row>
    <row r="39" spans="3:9" x14ac:dyDescent="0.25">
      <c r="C39" s="149"/>
      <c r="D39" s="149"/>
      <c r="E39" s="149"/>
      <c r="F39" s="149"/>
      <c r="G39" s="149"/>
      <c r="H39" s="149"/>
      <c r="I39" s="149"/>
    </row>
    <row r="40" spans="3:9" x14ac:dyDescent="0.25">
      <c r="C40" s="149"/>
      <c r="D40" s="149"/>
      <c r="E40" s="149"/>
      <c r="F40" s="149"/>
      <c r="G40" s="149"/>
      <c r="H40" s="149"/>
      <c r="I40" s="149"/>
    </row>
    <row r="41" spans="3:9" x14ac:dyDescent="0.25">
      <c r="C41" s="149"/>
      <c r="D41" s="149"/>
      <c r="E41" s="149"/>
      <c r="F41" s="149"/>
      <c r="G41" s="149"/>
      <c r="H41" s="149"/>
      <c r="I41" s="149"/>
    </row>
    <row r="42" spans="3:9" x14ac:dyDescent="0.25">
      <c r="C42" s="149"/>
      <c r="D42" s="149"/>
      <c r="E42" s="149"/>
      <c r="F42" s="149"/>
      <c r="G42" s="149"/>
      <c r="H42" s="149"/>
      <c r="I42" s="149"/>
    </row>
    <row r="43" spans="3:9" x14ac:dyDescent="0.25">
      <c r="C43" s="149"/>
      <c r="D43" s="149"/>
      <c r="E43" s="149"/>
      <c r="F43" s="149"/>
      <c r="G43" s="149"/>
      <c r="H43" s="149"/>
      <c r="I43" s="149"/>
    </row>
    <row r="44" spans="3:9" x14ac:dyDescent="0.25">
      <c r="C44" s="149"/>
      <c r="D44" s="149"/>
      <c r="E44" s="149"/>
      <c r="F44" s="149"/>
      <c r="G44" s="149"/>
      <c r="H44" s="149"/>
      <c r="I44" s="149"/>
    </row>
    <row r="45" spans="3:9" x14ac:dyDescent="0.25">
      <c r="C45" s="149"/>
      <c r="D45" s="149"/>
      <c r="E45" s="149"/>
      <c r="F45" s="149"/>
      <c r="G45" s="149"/>
      <c r="H45" s="149"/>
      <c r="I45" s="149"/>
    </row>
    <row r="46" spans="3:9" x14ac:dyDescent="0.25">
      <c r="C46" s="149"/>
      <c r="D46" s="149"/>
      <c r="E46" s="149"/>
      <c r="F46" s="149"/>
      <c r="G46" s="149"/>
      <c r="H46" s="149"/>
      <c r="I46" s="149"/>
    </row>
    <row r="47" spans="3:9" x14ac:dyDescent="0.25">
      <c r="C47" s="149"/>
      <c r="D47" s="149"/>
      <c r="E47" s="149"/>
      <c r="F47" s="149"/>
      <c r="G47" s="149"/>
      <c r="H47" s="149"/>
      <c r="I47" s="149"/>
    </row>
    <row r="48" spans="3:9" x14ac:dyDescent="0.25">
      <c r="C48" s="149"/>
      <c r="D48" s="149"/>
      <c r="E48" s="149"/>
      <c r="F48" s="149"/>
      <c r="G48" s="149"/>
      <c r="H48" s="149"/>
      <c r="I48" s="149"/>
    </row>
    <row r="49" spans="3:9" x14ac:dyDescent="0.25">
      <c r="C49" s="149"/>
      <c r="D49" s="149"/>
      <c r="E49" s="149"/>
      <c r="F49" s="149"/>
      <c r="G49" s="149"/>
      <c r="H49" s="149"/>
      <c r="I49" s="149"/>
    </row>
    <row r="50" spans="3:9" x14ac:dyDescent="0.25">
      <c r="C50" s="149"/>
      <c r="D50" s="149"/>
      <c r="E50" s="149"/>
      <c r="F50" s="149"/>
      <c r="G50" s="149"/>
      <c r="H50" s="149"/>
      <c r="I50" s="149"/>
    </row>
  </sheetData>
  <mergeCells count="1">
    <mergeCell ref="C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1"/>
  <sheetViews>
    <sheetView showGridLines="0" topLeftCell="A31" zoomScale="75" zoomScaleNormal="75" workbookViewId="0">
      <selection activeCell="G31" sqref="G1:H1048576"/>
    </sheetView>
  </sheetViews>
  <sheetFormatPr defaultColWidth="9.140625" defaultRowHeight="15" customHeight="1" zeroHeight="1" x14ac:dyDescent="0.2"/>
  <cols>
    <col min="1" max="1" width="70.140625" style="2" bestFit="1" customWidth="1"/>
    <col min="2" max="2" width="9.140625" style="2" customWidth="1"/>
    <col min="3" max="3" width="22.42578125" style="2" customWidth="1"/>
    <col min="4" max="4" width="3.5703125" style="2" customWidth="1"/>
    <col min="5" max="5" width="26.7109375" style="2" customWidth="1"/>
    <col min="6" max="6" width="23.7109375" style="179" bestFit="1" customWidth="1"/>
    <col min="7" max="7" width="26.7109375" style="2" hidden="1" customWidth="1"/>
    <col min="8" max="8" width="23.5703125" style="179" hidden="1" customWidth="1"/>
    <col min="9" max="9" width="11.85546875" style="179" customWidth="1"/>
    <col min="10" max="11" width="11.42578125" style="2" customWidth="1"/>
    <col min="12" max="16384" width="9.140625" style="2"/>
  </cols>
  <sheetData>
    <row r="1" spans="1:11" ht="33.75" customHeight="1" x14ac:dyDescent="0.2">
      <c r="A1" s="1"/>
      <c r="B1" s="1"/>
      <c r="C1" s="1"/>
      <c r="D1" s="1"/>
      <c r="E1" s="1"/>
      <c r="F1" s="1"/>
      <c r="G1" s="1"/>
      <c r="H1" s="1"/>
      <c r="I1" s="150"/>
      <c r="J1" s="1"/>
      <c r="K1" s="1"/>
    </row>
    <row r="2" spans="1:11" s="1" customFormat="1" ht="33.75" customHeight="1" x14ac:dyDescent="0.25">
      <c r="C2" s="3"/>
      <c r="F2" s="150"/>
      <c r="H2" s="150"/>
      <c r="I2" s="150"/>
    </row>
    <row r="3" spans="1:11" s="1" customFormat="1" ht="33.75" customHeight="1" x14ac:dyDescent="0.25">
      <c r="C3" s="3"/>
      <c r="F3" s="150"/>
      <c r="H3" s="150"/>
      <c r="I3" s="150"/>
    </row>
    <row r="4" spans="1:11" s="1" customFormat="1" ht="33.75" customHeight="1" x14ac:dyDescent="0.25">
      <c r="C4" s="3"/>
      <c r="F4" s="150"/>
      <c r="H4" s="150"/>
      <c r="I4" s="150"/>
    </row>
    <row r="5" spans="1:11" s="1" customFormat="1" ht="18" x14ac:dyDescent="0.25">
      <c r="C5" s="3"/>
      <c r="F5" s="150"/>
      <c r="H5" s="150"/>
      <c r="I5" s="150"/>
    </row>
    <row r="6" spans="1:11" s="1" customFormat="1" ht="15.75" x14ac:dyDescent="0.25">
      <c r="A6" s="6"/>
      <c r="F6" s="150"/>
      <c r="H6" s="150"/>
      <c r="I6" s="150"/>
    </row>
    <row r="7" spans="1:11" s="1" customFormat="1" x14ac:dyDescent="0.2">
      <c r="F7" s="150"/>
      <c r="H7" s="150"/>
      <c r="I7" s="150"/>
    </row>
    <row r="8" spans="1:11" s="1" customFormat="1" ht="21" thickBot="1" x14ac:dyDescent="0.35">
      <c r="A8" s="151" t="s">
        <v>118</v>
      </c>
      <c r="B8" s="152"/>
      <c r="C8" s="391" t="str">
        <f>+'4. Growth Factor - NUM_CALC1'!G15</f>
        <v>2017 Actual Distribution Revenues</v>
      </c>
      <c r="D8" s="391"/>
      <c r="E8" s="391"/>
      <c r="F8" s="391"/>
      <c r="G8" s="150"/>
    </row>
    <row r="9" spans="1:11" s="1" customFormat="1" ht="18" x14ac:dyDescent="0.25">
      <c r="A9" s="153" t="s">
        <v>7</v>
      </c>
      <c r="B9" s="152"/>
      <c r="C9" s="154"/>
      <c r="D9" s="154"/>
      <c r="E9" s="154"/>
      <c r="F9" s="154"/>
      <c r="G9" s="150"/>
    </row>
    <row r="10" spans="1:11" s="1" customFormat="1" x14ac:dyDescent="0.2">
      <c r="A10" s="15" t="s">
        <v>119</v>
      </c>
      <c r="B10" s="152"/>
      <c r="C10" s="155">
        <f>+'[3]App.2-BA1_Fix Asset Cont.CGAAP'!$D$59</f>
        <v>242255337</v>
      </c>
      <c r="D10" s="156" t="s">
        <v>103</v>
      </c>
      <c r="E10" s="157"/>
      <c r="F10" s="158"/>
      <c r="G10" s="150"/>
    </row>
    <row r="11" spans="1:11" s="1" customFormat="1" x14ac:dyDescent="0.2">
      <c r="A11" s="15" t="s">
        <v>120</v>
      </c>
      <c r="B11" s="152"/>
      <c r="C11" s="155"/>
      <c r="D11" s="156" t="s">
        <v>104</v>
      </c>
      <c r="E11" s="157"/>
      <c r="F11" s="158"/>
      <c r="G11" s="150"/>
    </row>
    <row r="12" spans="1:11" s="1" customFormat="1" x14ac:dyDescent="0.2">
      <c r="A12" s="15" t="s">
        <v>121</v>
      </c>
      <c r="B12" s="152"/>
      <c r="C12" s="155">
        <f>+'[3]App.2-BA1_Fix Asset Cont.CGAAP'!$E$59</f>
        <v>7730045</v>
      </c>
      <c r="D12" s="156" t="s">
        <v>105</v>
      </c>
      <c r="E12" s="157"/>
      <c r="F12" s="158"/>
      <c r="G12" s="150"/>
    </row>
    <row r="13" spans="1:11" s="1" customFormat="1" x14ac:dyDescent="0.2">
      <c r="A13" s="15" t="s">
        <v>122</v>
      </c>
      <c r="B13" s="152"/>
      <c r="C13" s="155">
        <f>+'[3]App.2-BA1_Fix Asset Cont.CGAAP'!$F$59</f>
        <v>0</v>
      </c>
      <c r="D13" s="156" t="s">
        <v>106</v>
      </c>
      <c r="E13" s="157"/>
      <c r="F13" s="158"/>
      <c r="G13" s="150"/>
    </row>
    <row r="14" spans="1:11" s="1" customFormat="1" x14ac:dyDescent="0.2">
      <c r="A14" s="15" t="s">
        <v>123</v>
      </c>
      <c r="B14" s="152"/>
      <c r="C14" s="155"/>
      <c r="D14" s="159" t="s">
        <v>107</v>
      </c>
      <c r="E14" s="157"/>
      <c r="F14" s="158"/>
      <c r="G14" s="150"/>
    </row>
    <row r="15" spans="1:11" s="1" customFormat="1" x14ac:dyDescent="0.2">
      <c r="A15" s="15" t="s">
        <v>124</v>
      </c>
      <c r="B15" s="152"/>
      <c r="C15" s="155"/>
      <c r="D15" s="156" t="s">
        <v>108</v>
      </c>
      <c r="E15" s="157"/>
      <c r="F15" s="158"/>
      <c r="G15" s="150"/>
    </row>
    <row r="16" spans="1:11" s="1" customFormat="1" x14ac:dyDescent="0.2">
      <c r="A16" s="15" t="s">
        <v>125</v>
      </c>
      <c r="B16" s="152"/>
      <c r="C16" s="304">
        <f>SUM(C10:C15)</f>
        <v>249985382</v>
      </c>
      <c r="D16" s="161" t="s">
        <v>126</v>
      </c>
      <c r="E16" s="157"/>
      <c r="F16" s="156"/>
      <c r="G16" s="150"/>
    </row>
    <row r="17" spans="1:9" s="1" customFormat="1" x14ac:dyDescent="0.2">
      <c r="A17" s="15" t="s">
        <v>15</v>
      </c>
      <c r="B17" s="152"/>
      <c r="C17" s="24"/>
      <c r="D17" s="158"/>
      <c r="E17" s="160">
        <f>(C10+C16)/2</f>
        <v>246120359.5</v>
      </c>
      <c r="F17" s="162" t="s">
        <v>127</v>
      </c>
      <c r="G17" s="150"/>
    </row>
    <row r="18" spans="1:9" s="1" customFormat="1" x14ac:dyDescent="0.2">
      <c r="B18" s="152"/>
      <c r="C18" s="24"/>
      <c r="D18" s="158"/>
      <c r="E18" s="24"/>
      <c r="F18" s="156"/>
      <c r="G18" s="150"/>
    </row>
    <row r="19" spans="1:9" s="1" customFormat="1" x14ac:dyDescent="0.2">
      <c r="A19" s="15" t="s">
        <v>128</v>
      </c>
      <c r="B19" s="152"/>
      <c r="C19" s="155">
        <f>-'[3]App.2-BA1_Fix Asset Cont.CGAAP'!$I$59</f>
        <v>139112890</v>
      </c>
      <c r="D19" s="162" t="s">
        <v>129</v>
      </c>
      <c r="E19" s="303"/>
      <c r="F19" s="156"/>
      <c r="G19" s="150"/>
    </row>
    <row r="20" spans="1:9" s="1" customFormat="1" x14ac:dyDescent="0.2">
      <c r="A20" s="15" t="s">
        <v>130</v>
      </c>
      <c r="B20" s="152"/>
      <c r="C20" s="155">
        <f>-'[3]App.2-BA1_Fix Asset Cont.CGAAP'!$J$59</f>
        <v>4510060</v>
      </c>
      <c r="D20" s="162" t="s">
        <v>131</v>
      </c>
      <c r="E20" s="303"/>
      <c r="F20" s="156"/>
      <c r="G20" s="150"/>
      <c r="I20" s="163"/>
    </row>
    <row r="21" spans="1:9" s="1" customFormat="1" x14ac:dyDescent="0.2">
      <c r="A21" s="15" t="s">
        <v>132</v>
      </c>
      <c r="B21" s="152"/>
      <c r="C21" s="155"/>
      <c r="D21" s="164" t="s">
        <v>133</v>
      </c>
      <c r="E21" s="24"/>
      <c r="F21" s="156"/>
      <c r="G21" s="150"/>
    </row>
    <row r="22" spans="1:9" s="1" customFormat="1" x14ac:dyDescent="0.2">
      <c r="A22" s="15" t="s">
        <v>134</v>
      </c>
      <c r="B22" s="152"/>
      <c r="C22" s="155"/>
      <c r="D22" s="156" t="s">
        <v>135</v>
      </c>
      <c r="E22" s="24"/>
      <c r="F22" s="156"/>
      <c r="G22" s="150"/>
    </row>
    <row r="23" spans="1:9" s="1" customFormat="1" x14ac:dyDescent="0.2">
      <c r="A23" s="15" t="s">
        <v>136</v>
      </c>
      <c r="B23" s="152"/>
      <c r="C23" s="160">
        <f>SUM(C19:C22)</f>
        <v>143622950</v>
      </c>
      <c r="D23" s="156" t="s">
        <v>137</v>
      </c>
      <c r="E23" s="303"/>
      <c r="F23" s="156"/>
      <c r="G23" s="150"/>
    </row>
    <row r="24" spans="1:9" s="1" customFormat="1" x14ac:dyDescent="0.2">
      <c r="A24" s="15" t="s">
        <v>21</v>
      </c>
      <c r="B24" s="152"/>
      <c r="C24" s="24"/>
      <c r="D24" s="158"/>
      <c r="E24" s="160">
        <f>SUM(C19,C23)/2</f>
        <v>141367920</v>
      </c>
      <c r="F24" s="156" t="s">
        <v>138</v>
      </c>
      <c r="G24" s="150"/>
    </row>
    <row r="25" spans="1:9" s="1" customFormat="1" x14ac:dyDescent="0.2">
      <c r="B25" s="152"/>
      <c r="C25" s="24"/>
      <c r="D25" s="158"/>
      <c r="E25" s="24"/>
      <c r="F25" s="158"/>
      <c r="G25" s="150"/>
    </row>
    <row r="26" spans="1:9" s="1" customFormat="1" ht="15.75" x14ac:dyDescent="0.25">
      <c r="A26" s="6" t="s">
        <v>22</v>
      </c>
      <c r="B26" s="152"/>
      <c r="C26" s="24"/>
      <c r="D26" s="158"/>
      <c r="E26" s="21">
        <f>E17-E24</f>
        <v>104752439.5</v>
      </c>
      <c r="F26" s="164" t="s">
        <v>139</v>
      </c>
      <c r="G26" s="150"/>
    </row>
    <row r="27" spans="1:9" s="1" customFormat="1" x14ac:dyDescent="0.2">
      <c r="B27" s="152"/>
      <c r="C27" s="24"/>
      <c r="D27" s="158"/>
      <c r="E27" s="24"/>
      <c r="F27" s="158"/>
      <c r="G27" s="150"/>
    </row>
    <row r="28" spans="1:9" s="1" customFormat="1" ht="15.75" x14ac:dyDescent="0.25">
      <c r="A28" s="6" t="s">
        <v>23</v>
      </c>
      <c r="B28" s="152"/>
      <c r="C28" s="24"/>
      <c r="D28" s="158"/>
      <c r="E28" s="157"/>
      <c r="F28" s="156"/>
      <c r="G28" s="150"/>
    </row>
    <row r="29" spans="1:9" s="1" customFormat="1" x14ac:dyDescent="0.2">
      <c r="A29" s="15" t="s">
        <v>24</v>
      </c>
      <c r="B29" s="152"/>
      <c r="C29" s="155">
        <f>+'[4]4. Rate_Base'!$W$26</f>
        <v>208278793</v>
      </c>
      <c r="D29" s="165" t="s">
        <v>140</v>
      </c>
      <c r="E29" s="24"/>
      <c r="F29" s="158"/>
      <c r="G29" s="150"/>
    </row>
    <row r="30" spans="1:9" s="1" customFormat="1" x14ac:dyDescent="0.2">
      <c r="A30" s="15" t="s">
        <v>25</v>
      </c>
      <c r="B30" s="152"/>
      <c r="C30" s="166">
        <v>0.13</v>
      </c>
      <c r="D30" s="164" t="s">
        <v>141</v>
      </c>
      <c r="E30" s="24"/>
      <c r="F30" s="158"/>
      <c r="G30" s="150"/>
    </row>
    <row r="31" spans="1:9" s="1" customFormat="1" ht="15.75" x14ac:dyDescent="0.25">
      <c r="A31" s="6" t="s">
        <v>23</v>
      </c>
      <c r="B31" s="152"/>
      <c r="C31" s="24"/>
      <c r="D31" s="164"/>
      <c r="E31" s="21">
        <f>C29*C30</f>
        <v>27076243.09</v>
      </c>
      <c r="F31" s="156" t="s">
        <v>142</v>
      </c>
      <c r="G31" s="150"/>
    </row>
    <row r="32" spans="1:9" s="1" customFormat="1" x14ac:dyDescent="0.2">
      <c r="B32" s="152"/>
      <c r="C32" s="24"/>
      <c r="D32" s="158"/>
      <c r="E32" s="24"/>
      <c r="F32" s="158"/>
      <c r="G32" s="150"/>
    </row>
    <row r="33" spans="1:7" s="1" customFormat="1" ht="15.75" x14ac:dyDescent="0.25">
      <c r="A33" s="6" t="s">
        <v>26</v>
      </c>
      <c r="B33" s="152"/>
      <c r="C33" s="24"/>
      <c r="D33" s="158"/>
      <c r="E33" s="167">
        <f>SUM(E26,E31)</f>
        <v>131828682.59</v>
      </c>
      <c r="F33" s="156" t="s">
        <v>143</v>
      </c>
      <c r="G33" s="150"/>
    </row>
    <row r="34" spans="1:7" s="1" customFormat="1" ht="15.75" x14ac:dyDescent="0.25">
      <c r="A34" s="6"/>
      <c r="B34" s="152"/>
      <c r="C34" s="24"/>
      <c r="D34" s="158"/>
      <c r="E34" s="168"/>
      <c r="F34" s="158"/>
      <c r="G34" s="150"/>
    </row>
    <row r="35" spans="1:7" s="1" customFormat="1" ht="18" x14ac:dyDescent="0.25">
      <c r="A35" s="153" t="s">
        <v>144</v>
      </c>
      <c r="B35" s="152"/>
      <c r="C35" s="24"/>
      <c r="D35" s="158"/>
      <c r="E35" s="24"/>
      <c r="F35" s="158"/>
      <c r="G35" s="150"/>
    </row>
    <row r="36" spans="1:7" s="1" customFormat="1" x14ac:dyDescent="0.2">
      <c r="A36" s="1" t="s">
        <v>145</v>
      </c>
      <c r="B36" s="152"/>
      <c r="C36" s="169">
        <v>0.04</v>
      </c>
      <c r="D36" s="158" t="s">
        <v>146</v>
      </c>
      <c r="E36" s="160">
        <f>E33*C36</f>
        <v>5273147.3036000002</v>
      </c>
      <c r="F36" s="156" t="s">
        <v>147</v>
      </c>
      <c r="G36" s="150"/>
    </row>
    <row r="37" spans="1:7" s="1" customFormat="1" x14ac:dyDescent="0.2">
      <c r="A37" s="1" t="s">
        <v>148</v>
      </c>
      <c r="B37" s="152"/>
      <c r="C37" s="170">
        <v>0.56000000000000005</v>
      </c>
      <c r="D37" s="156" t="s">
        <v>149</v>
      </c>
      <c r="E37" s="160">
        <f>E33*C37</f>
        <v>73824062.250400007</v>
      </c>
      <c r="F37" s="158" t="s">
        <v>150</v>
      </c>
      <c r="G37" s="150"/>
    </row>
    <row r="38" spans="1:7" s="1" customFormat="1" x14ac:dyDescent="0.2">
      <c r="A38" s="1" t="s">
        <v>151</v>
      </c>
      <c r="B38" s="152"/>
      <c r="C38" s="169">
        <f>1-C36-C37</f>
        <v>0.39999999999999991</v>
      </c>
      <c r="D38" s="171" t="s">
        <v>152</v>
      </c>
      <c r="E38" s="160">
        <f>E33*C38</f>
        <v>52731473.035999991</v>
      </c>
      <c r="F38" s="156" t="s">
        <v>153</v>
      </c>
      <c r="G38" s="150"/>
    </row>
    <row r="39" spans="1:7" s="1" customFormat="1" x14ac:dyDescent="0.2">
      <c r="B39" s="152"/>
      <c r="C39" s="158"/>
      <c r="D39" s="158"/>
      <c r="E39" s="24"/>
      <c r="F39" s="158"/>
      <c r="G39" s="150"/>
    </row>
    <row r="40" spans="1:7" s="1" customFormat="1" x14ac:dyDescent="0.2">
      <c r="A40" s="1" t="s">
        <v>154</v>
      </c>
      <c r="B40" s="152"/>
      <c r="C40" s="170">
        <f>+'[4]7. Cost_of_Capital'!$L$50</f>
        <v>2.1100000000000001E-2</v>
      </c>
      <c r="D40" s="161" t="s">
        <v>155</v>
      </c>
      <c r="E40" s="160">
        <f>E36*C40</f>
        <v>111263.40810596001</v>
      </c>
      <c r="F40" s="158" t="s">
        <v>156</v>
      </c>
      <c r="G40" s="150"/>
    </row>
    <row r="41" spans="1:7" s="1" customFormat="1" x14ac:dyDescent="0.2">
      <c r="A41" s="1" t="s">
        <v>157</v>
      </c>
      <c r="B41" s="152"/>
      <c r="C41" s="170">
        <f>+'[4]7. Cost_of_Capital'!$L$49</f>
        <v>4.7300000000000002E-2</v>
      </c>
      <c r="D41" s="158" t="s">
        <v>158</v>
      </c>
      <c r="E41" s="160">
        <f>E37*C41</f>
        <v>3491878.1444439203</v>
      </c>
      <c r="F41" s="158" t="s">
        <v>159</v>
      </c>
      <c r="G41" s="150"/>
    </row>
    <row r="42" spans="1:7" s="1" customFormat="1" x14ac:dyDescent="0.2">
      <c r="A42" s="1" t="s">
        <v>160</v>
      </c>
      <c r="B42" s="152"/>
      <c r="C42" s="170">
        <f>+'[4]7. Cost_of_Capital'!$L$54</f>
        <v>9.3600000000000003E-2</v>
      </c>
      <c r="D42" s="158" t="s">
        <v>161</v>
      </c>
      <c r="E42" s="172">
        <f>E38*C42</f>
        <v>4935665.8761695996</v>
      </c>
      <c r="F42" s="158" t="s">
        <v>162</v>
      </c>
      <c r="G42" s="150"/>
    </row>
    <row r="43" spans="1:7" s="1" customFormat="1" ht="16.5" thickBot="1" x14ac:dyDescent="0.3">
      <c r="A43" s="6" t="s">
        <v>144</v>
      </c>
      <c r="B43" s="152"/>
      <c r="C43" s="24"/>
      <c r="D43" s="158"/>
      <c r="E43" s="19">
        <f>SUM(E40:E42)</f>
        <v>8538807.4287194796</v>
      </c>
      <c r="F43" s="158" t="s">
        <v>163</v>
      </c>
      <c r="G43" s="150"/>
    </row>
    <row r="44" spans="1:7" s="1" customFormat="1" x14ac:dyDescent="0.2">
      <c r="B44" s="152"/>
      <c r="C44" s="24"/>
      <c r="D44" s="158"/>
      <c r="E44" s="157"/>
      <c r="F44" s="156"/>
      <c r="G44" s="150"/>
    </row>
    <row r="45" spans="1:7" s="1" customFormat="1" ht="18" x14ac:dyDescent="0.25">
      <c r="A45" s="153" t="s">
        <v>164</v>
      </c>
      <c r="B45" s="152"/>
      <c r="C45" s="24"/>
      <c r="D45" s="158"/>
      <c r="E45" s="157"/>
      <c r="F45" s="156"/>
      <c r="G45" s="150"/>
    </row>
    <row r="46" spans="1:7" s="1" customFormat="1" x14ac:dyDescent="0.2">
      <c r="A46" s="15" t="s">
        <v>165</v>
      </c>
      <c r="B46" s="152"/>
      <c r="C46" s="155">
        <f>+'[4]5. Utility Income'!$V$22+'[4]5. Utility Income'!$V$24-'[3]App.2-BA1_Fix Asset Cont.CGAAP'!$J$60</f>
        <v>17576532.629999999</v>
      </c>
      <c r="D46" s="158" t="s">
        <v>166</v>
      </c>
      <c r="E46" s="24"/>
      <c r="F46" s="158"/>
      <c r="G46" s="150"/>
    </row>
    <row r="47" spans="1:7" s="1" customFormat="1" x14ac:dyDescent="0.2">
      <c r="A47" s="15" t="s">
        <v>167</v>
      </c>
      <c r="B47" s="152"/>
      <c r="C47" s="155">
        <f>+'[4]5. Utility Income'!$V$23+'[3]App.2-BA1_Fix Asset Cont.CGAAP'!$J$60</f>
        <v>4510060.28</v>
      </c>
      <c r="D47" s="158" t="s">
        <v>168</v>
      </c>
      <c r="E47" s="24"/>
      <c r="F47" s="158"/>
      <c r="G47" s="150"/>
    </row>
    <row r="48" spans="1:7" s="1" customFormat="1" x14ac:dyDescent="0.2">
      <c r="A48" s="15" t="s">
        <v>169</v>
      </c>
      <c r="B48" s="152"/>
      <c r="C48" s="155">
        <v>0</v>
      </c>
      <c r="D48" s="158" t="s">
        <v>170</v>
      </c>
      <c r="E48" s="24"/>
      <c r="F48" s="158"/>
      <c r="G48" s="150"/>
    </row>
    <row r="49" spans="1:8" s="1" customFormat="1" x14ac:dyDescent="0.2">
      <c r="A49" s="15" t="s">
        <v>171</v>
      </c>
      <c r="B49" s="152"/>
      <c r="C49" s="155">
        <f>+'[4]5. Utility Income'!$V$35:$V$35</f>
        <v>211145.67786013972</v>
      </c>
      <c r="D49" s="158" t="s">
        <v>172</v>
      </c>
      <c r="E49" s="24"/>
      <c r="F49" s="158"/>
      <c r="G49" s="150"/>
    </row>
    <row r="50" spans="1:8" s="1" customFormat="1" x14ac:dyDescent="0.2">
      <c r="A50" s="15" t="s">
        <v>173</v>
      </c>
      <c r="B50" s="152"/>
      <c r="C50" s="155">
        <v>0</v>
      </c>
      <c r="D50" s="158" t="s">
        <v>174</v>
      </c>
      <c r="E50" s="24"/>
      <c r="F50" s="158"/>
      <c r="G50" s="150"/>
    </row>
    <row r="51" spans="1:8" s="1" customFormat="1" x14ac:dyDescent="0.2">
      <c r="A51" s="15" t="s">
        <v>175</v>
      </c>
      <c r="B51" s="152"/>
      <c r="C51" s="155">
        <f>+'[5]I6.1 Revenue'!$C$40</f>
        <v>571049.13600000006</v>
      </c>
      <c r="D51" s="158" t="s">
        <v>176</v>
      </c>
      <c r="E51" s="24"/>
      <c r="F51" s="165"/>
      <c r="G51" s="150"/>
    </row>
    <row r="52" spans="1:8" s="1" customFormat="1" x14ac:dyDescent="0.2">
      <c r="A52" s="173"/>
      <c r="B52" s="152"/>
      <c r="C52" s="155"/>
      <c r="D52" s="158" t="s">
        <v>177</v>
      </c>
      <c r="E52" s="24"/>
      <c r="F52" s="158"/>
      <c r="G52" s="150"/>
    </row>
    <row r="53" spans="1:8" s="1" customFormat="1" x14ac:dyDescent="0.2">
      <c r="A53" s="174"/>
      <c r="B53" s="152"/>
      <c r="C53" s="155"/>
      <c r="D53" s="158" t="s">
        <v>178</v>
      </c>
      <c r="E53" s="24"/>
      <c r="F53" s="158"/>
      <c r="G53" s="150"/>
    </row>
    <row r="54" spans="1:8" s="1" customFormat="1" x14ac:dyDescent="0.2">
      <c r="A54" s="174"/>
      <c r="B54" s="152"/>
      <c r="C54" s="155"/>
      <c r="D54" s="158" t="s">
        <v>179</v>
      </c>
      <c r="E54" s="24"/>
      <c r="F54" s="158"/>
      <c r="G54" s="150"/>
    </row>
    <row r="55" spans="1:8" s="1" customFormat="1" ht="15.75" x14ac:dyDescent="0.25">
      <c r="C55" s="24"/>
      <c r="D55" s="158"/>
      <c r="E55" s="175">
        <f>SUM(C46:C54)</f>
        <v>22868787.723860141</v>
      </c>
      <c r="F55" s="158" t="s">
        <v>180</v>
      </c>
      <c r="G55" s="150"/>
    </row>
    <row r="56" spans="1:8" s="1" customFormat="1" ht="18" x14ac:dyDescent="0.25">
      <c r="A56" s="153" t="s">
        <v>181</v>
      </c>
      <c r="B56" s="152"/>
      <c r="C56" s="24"/>
      <c r="D56" s="158"/>
      <c r="E56" s="24"/>
      <c r="F56" s="158"/>
      <c r="G56" s="150"/>
    </row>
    <row r="57" spans="1:8" s="1" customFormat="1" x14ac:dyDescent="0.2">
      <c r="A57" s="1" t="s">
        <v>182</v>
      </c>
      <c r="B57" s="152"/>
      <c r="C57" s="155">
        <f>-'[4]3. Data_Input_Sheet'!U28</f>
        <v>-817981</v>
      </c>
      <c r="D57" s="158" t="s">
        <v>183</v>
      </c>
      <c r="E57" s="24"/>
      <c r="F57" s="158"/>
      <c r="G57" s="150"/>
    </row>
    <row r="58" spans="1:8" s="1" customFormat="1" x14ac:dyDescent="0.2">
      <c r="A58" s="1" t="s">
        <v>184</v>
      </c>
      <c r="B58" s="152"/>
      <c r="C58" s="155">
        <f>-'[4]3. Data_Input_Sheet'!U29</f>
        <v>-241000</v>
      </c>
      <c r="D58" s="158" t="s">
        <v>185</v>
      </c>
      <c r="E58" s="24"/>
      <c r="F58" s="158"/>
      <c r="G58" s="150"/>
    </row>
    <row r="59" spans="1:8" s="1" customFormat="1" x14ac:dyDescent="0.2">
      <c r="A59" s="1" t="s">
        <v>186</v>
      </c>
      <c r="B59" s="152"/>
      <c r="C59" s="155">
        <f>-'[4]3. Data_Input_Sheet'!U30</f>
        <v>-625033</v>
      </c>
      <c r="D59" s="158" t="s">
        <v>187</v>
      </c>
      <c r="E59" s="24"/>
      <c r="F59" s="158"/>
      <c r="G59" s="150"/>
    </row>
    <row r="60" spans="1:8" s="1" customFormat="1" ht="15.75" x14ac:dyDescent="0.25">
      <c r="A60" s="1" t="s">
        <v>188</v>
      </c>
      <c r="B60" s="152"/>
      <c r="C60" s="155">
        <f>-'[4]3. Data_Input_Sheet'!U31</f>
        <v>-317000</v>
      </c>
      <c r="D60" s="158" t="s">
        <v>189</v>
      </c>
      <c r="E60" s="21">
        <f>SUM(C57:C60)</f>
        <v>-2001014</v>
      </c>
      <c r="F60" s="158" t="s">
        <v>190</v>
      </c>
      <c r="G60" s="150"/>
    </row>
    <row r="61" spans="1:8" s="1" customFormat="1" x14ac:dyDescent="0.2">
      <c r="B61" s="152"/>
      <c r="C61" s="24"/>
      <c r="D61" s="158"/>
      <c r="E61" s="157"/>
      <c r="F61" s="156"/>
      <c r="G61" s="150"/>
    </row>
    <row r="62" spans="1:8" s="1" customFormat="1" ht="18.75" thickBot="1" x14ac:dyDescent="0.3">
      <c r="A62" s="3" t="s">
        <v>191</v>
      </c>
      <c r="B62" s="152"/>
      <c r="C62" s="24"/>
      <c r="D62" s="158"/>
      <c r="E62" s="176">
        <f>SUM(E60,E55,E43)</f>
        <v>29406581.15257962</v>
      </c>
      <c r="F62" s="158" t="s">
        <v>192</v>
      </c>
      <c r="G62" s="305">
        <f>E62-C51</f>
        <v>28835532.016579621</v>
      </c>
      <c r="H62" s="1" t="s">
        <v>322</v>
      </c>
    </row>
    <row r="63" spans="1:8" s="1" customFormat="1" ht="15.75" x14ac:dyDescent="0.25">
      <c r="A63" s="6"/>
      <c r="B63" s="152"/>
      <c r="C63" s="24"/>
      <c r="D63" s="158"/>
      <c r="E63" s="168"/>
      <c r="F63" s="158"/>
      <c r="G63" s="150"/>
    </row>
    <row r="64" spans="1:8" s="1" customFormat="1" ht="18" x14ac:dyDescent="0.25">
      <c r="A64" s="153" t="s">
        <v>193</v>
      </c>
      <c r="B64" s="152"/>
      <c r="C64" s="24"/>
      <c r="D64" s="158"/>
      <c r="E64" s="24"/>
      <c r="F64" s="158"/>
      <c r="G64" s="150"/>
    </row>
    <row r="65" spans="1:9" s="1" customFormat="1" ht="15.75" x14ac:dyDescent="0.25">
      <c r="A65" s="6" t="s">
        <v>194</v>
      </c>
      <c r="C65" s="24"/>
      <c r="D65" s="24"/>
      <c r="E65" s="160">
        <f>+'5. Growth Factor - NUM_CALC2'!N24</f>
        <v>30263644.849999998</v>
      </c>
      <c r="F65" s="158" t="s">
        <v>195</v>
      </c>
      <c r="G65" s="150"/>
    </row>
    <row r="66" spans="1:9" s="1" customFormat="1" x14ac:dyDescent="0.2">
      <c r="C66" s="24"/>
      <c r="D66" s="158"/>
      <c r="E66" s="24"/>
      <c r="F66" s="158"/>
      <c r="G66" s="150"/>
    </row>
    <row r="67" spans="1:9" s="1" customFormat="1" x14ac:dyDescent="0.2">
      <c r="A67" s="1" t="s">
        <v>196</v>
      </c>
      <c r="C67" s="24"/>
      <c r="D67" s="158"/>
      <c r="E67" s="160">
        <f>E62-E65</f>
        <v>-857063.69742037728</v>
      </c>
      <c r="F67" s="158" t="s">
        <v>197</v>
      </c>
      <c r="G67" s="150"/>
    </row>
    <row r="68" spans="1:9" s="1" customFormat="1" x14ac:dyDescent="0.2">
      <c r="C68" s="24"/>
      <c r="D68" s="158"/>
      <c r="E68" s="177"/>
      <c r="F68" s="165"/>
      <c r="G68" s="150"/>
    </row>
    <row r="69" spans="1:9" s="1" customFormat="1" x14ac:dyDescent="0.2">
      <c r="A69" s="1" t="s">
        <v>198</v>
      </c>
      <c r="C69" s="24"/>
      <c r="D69" s="158"/>
      <c r="E69" s="178">
        <f>IF(ISERROR(E67/E65),0,E67/E65)</f>
        <v>-2.8319909966838558E-2</v>
      </c>
      <c r="F69" s="158" t="s">
        <v>199</v>
      </c>
      <c r="G69" s="150"/>
    </row>
    <row r="70" spans="1:9" s="1" customFormat="1" x14ac:dyDescent="0.2">
      <c r="F70" s="150"/>
      <c r="H70" s="150"/>
      <c r="I70" s="150"/>
    </row>
    <row r="71" spans="1:9" s="1" customFormat="1" x14ac:dyDescent="0.2">
      <c r="F71" s="150"/>
      <c r="H71" s="150"/>
      <c r="I71" s="150"/>
    </row>
    <row r="72" spans="1:9" s="1" customFormat="1" x14ac:dyDescent="0.2">
      <c r="F72" s="150"/>
      <c r="H72" s="150"/>
      <c r="I72" s="150"/>
    </row>
    <row r="73" spans="1:9" s="1" customFormat="1" x14ac:dyDescent="0.2">
      <c r="F73" s="150"/>
      <c r="H73" s="150"/>
      <c r="I73" s="150"/>
    </row>
    <row r="74" spans="1:9" s="1" customFormat="1" x14ac:dyDescent="0.2">
      <c r="F74" s="150"/>
      <c r="H74" s="150"/>
      <c r="I74" s="150"/>
    </row>
    <row r="75" spans="1:9" s="1" customFormat="1" x14ac:dyDescent="0.2">
      <c r="F75" s="150"/>
      <c r="H75" s="150"/>
      <c r="I75" s="150"/>
    </row>
    <row r="76" spans="1:9" s="1" customFormat="1" x14ac:dyDescent="0.2">
      <c r="F76" s="150"/>
      <c r="H76" s="150"/>
      <c r="I76" s="150"/>
    </row>
    <row r="77" spans="1:9" s="1" customFormat="1" x14ac:dyDescent="0.2">
      <c r="F77" s="150"/>
      <c r="H77" s="150"/>
      <c r="I77" s="150"/>
    </row>
    <row r="78" spans="1:9" s="1" customFormat="1" x14ac:dyDescent="0.2">
      <c r="F78" s="150"/>
      <c r="H78" s="150"/>
      <c r="I78" s="150"/>
    </row>
    <row r="79" spans="1:9" s="1" customFormat="1" x14ac:dyDescent="0.2">
      <c r="F79" s="150"/>
      <c r="H79" s="150"/>
      <c r="I79" s="150"/>
    </row>
    <row r="80" spans="1:9" s="1" customFormat="1" x14ac:dyDescent="0.2">
      <c r="F80" s="150"/>
      <c r="H80" s="150"/>
      <c r="I80" s="150"/>
    </row>
    <row r="81" spans="6:9" s="1" customFormat="1" x14ac:dyDescent="0.2">
      <c r="F81" s="150"/>
      <c r="H81" s="150"/>
      <c r="I81" s="150"/>
    </row>
    <row r="82" spans="6:9" s="1" customFormat="1" x14ac:dyDescent="0.2">
      <c r="F82" s="150"/>
      <c r="H82" s="150"/>
      <c r="I82" s="150"/>
    </row>
    <row r="83" spans="6:9" s="1" customFormat="1" x14ac:dyDescent="0.2">
      <c r="F83" s="150"/>
      <c r="H83" s="150"/>
      <c r="I83" s="150"/>
    </row>
    <row r="84" spans="6:9" s="1" customFormat="1" x14ac:dyDescent="0.2">
      <c r="F84" s="150"/>
      <c r="H84" s="150"/>
      <c r="I84" s="150"/>
    </row>
    <row r="85" spans="6:9" s="1" customFormat="1" x14ac:dyDescent="0.2">
      <c r="F85" s="150"/>
      <c r="H85" s="150"/>
      <c r="I85" s="150"/>
    </row>
    <row r="86" spans="6:9" s="1" customFormat="1" x14ac:dyDescent="0.2">
      <c r="F86" s="150"/>
      <c r="H86" s="150"/>
      <c r="I86" s="150"/>
    </row>
    <row r="87" spans="6:9" s="1" customFormat="1" x14ac:dyDescent="0.2">
      <c r="F87" s="150"/>
      <c r="H87" s="150"/>
      <c r="I87" s="150"/>
    </row>
    <row r="88" spans="6:9" s="1" customFormat="1" x14ac:dyDescent="0.2">
      <c r="F88" s="150"/>
      <c r="H88" s="150"/>
      <c r="I88" s="150"/>
    </row>
    <row r="89" spans="6:9" x14ac:dyDescent="0.2"/>
    <row r="90" spans="6:9" x14ac:dyDescent="0.2"/>
    <row r="91" spans="6:9" x14ac:dyDescent="0.2"/>
    <row r="92" spans="6:9" x14ac:dyDescent="0.2"/>
    <row r="93" spans="6:9" x14ac:dyDescent="0.2"/>
    <row r="94" spans="6:9" x14ac:dyDescent="0.2"/>
    <row r="95" spans="6:9" x14ac:dyDescent="0.2"/>
    <row r="96" spans="6:9" x14ac:dyDescent="0.2"/>
    <row r="97" s="2" customFormat="1" x14ac:dyDescent="0.2"/>
    <row r="98" s="2" customFormat="1" x14ac:dyDescent="0.2"/>
    <row r="99" s="2" customFormat="1" x14ac:dyDescent="0.2"/>
    <row r="100" s="2" customFormat="1" x14ac:dyDescent="0.2"/>
    <row r="101" s="2" customFormat="1" x14ac:dyDescent="0.2"/>
  </sheetData>
  <mergeCells count="1">
    <mergeCell ref="C8:F8"/>
  </mergeCells>
  <conditionalFormatting sqref="C57:C60">
    <cfRule type="cellIs" dxfId="0" priority="1" stopIfTrue="1" operator="greaterThan">
      <formula>0</formula>
    </cfRule>
  </conditionalFormatting>
  <pageMargins left="0.70866141732283472" right="0.70866141732283472" top="0.74803149606299213" bottom="0.74803149606299213" header="0.31496062992125984" footer="0.31496062992125984"/>
  <pageSetup scale="54" orientation="portrait" r:id="rId1"/>
  <headerFooter>
    <oddFooter>&amp;C&amp;A</oddFooter>
  </headerFooter>
  <ignoredErrors>
    <ignoredError sqref="C51:C56 C16:C18 C14 C10:C13 C15 C19:C20 C29 C40:C42 C50 C48 C49 C57:C60 C46:C4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E71" sqref="E71"/>
    </sheetView>
  </sheetViews>
  <sheetFormatPr defaultRowHeight="15" x14ac:dyDescent="0.25"/>
  <cols>
    <col min="1" max="1" width="50" customWidth="1"/>
    <col min="3" max="5" width="16" bestFit="1"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9.28515625" bestFit="1"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124" t="s">
        <v>315</v>
      </c>
    </row>
    <row r="13" spans="1:19" ht="15.75" x14ac:dyDescent="0.25">
      <c r="A13" s="124" t="s">
        <v>200</v>
      </c>
    </row>
    <row r="14" spans="1:19" ht="18" thickBot="1" x14ac:dyDescent="0.3">
      <c r="C14" s="392" t="str">
        <f>+'1. Information Sheet'!F47</f>
        <v>2014 Board-Approved Distribution Revenues</v>
      </c>
      <c r="D14" s="393"/>
      <c r="E14" s="393"/>
      <c r="G14" s="394" t="s">
        <v>314</v>
      </c>
      <c r="H14" s="395"/>
      <c r="I14" s="395"/>
    </row>
    <row r="15" spans="1:19" s="127" customFormat="1" ht="63" x14ac:dyDescent="0.25">
      <c r="A15" s="125" t="s">
        <v>85</v>
      </c>
      <c r="B15" s="126"/>
      <c r="C15" s="102" t="s">
        <v>87</v>
      </c>
      <c r="D15" s="102" t="s">
        <v>88</v>
      </c>
      <c r="E15" s="102" t="s">
        <v>201</v>
      </c>
      <c r="F15" s="102"/>
      <c r="G15" s="102" t="s">
        <v>90</v>
      </c>
      <c r="H15" s="102" t="s">
        <v>91</v>
      </c>
      <c r="I15" s="102" t="s">
        <v>92</v>
      </c>
      <c r="J15" s="102"/>
      <c r="K15" s="102" t="s">
        <v>95</v>
      </c>
      <c r="L15" s="102" t="s">
        <v>96</v>
      </c>
      <c r="M15" s="102" t="s">
        <v>97</v>
      </c>
      <c r="N15" s="102" t="s">
        <v>202</v>
      </c>
      <c r="O15" s="102"/>
      <c r="P15" s="102" t="s">
        <v>99</v>
      </c>
      <c r="Q15" s="102" t="s">
        <v>100</v>
      </c>
      <c r="R15" s="102" t="s">
        <v>101</v>
      </c>
      <c r="S15" s="102" t="s">
        <v>102</v>
      </c>
    </row>
    <row r="16" spans="1:19" s="129" customFormat="1" ht="18.75" x14ac:dyDescent="0.35">
      <c r="A16" s="128"/>
      <c r="B16" s="126"/>
      <c r="C16" s="126" t="s">
        <v>103</v>
      </c>
      <c r="D16" s="126" t="s">
        <v>104</v>
      </c>
      <c r="E16" s="126" t="s">
        <v>105</v>
      </c>
      <c r="F16" s="126"/>
      <c r="G16" s="126" t="s">
        <v>106</v>
      </c>
      <c r="H16" s="126" t="s">
        <v>107</v>
      </c>
      <c r="I16" s="126" t="s">
        <v>108</v>
      </c>
      <c r="J16" s="126"/>
      <c r="K16" s="126" t="s">
        <v>109</v>
      </c>
      <c r="L16" s="126" t="s">
        <v>110</v>
      </c>
      <c r="M16" s="126" t="s">
        <v>111</v>
      </c>
      <c r="N16" s="126" t="s">
        <v>112</v>
      </c>
      <c r="O16" s="126"/>
      <c r="P16" s="126" t="s">
        <v>203</v>
      </c>
      <c r="Q16" s="126" t="s">
        <v>204</v>
      </c>
      <c r="R16" s="126" t="s">
        <v>205</v>
      </c>
      <c r="S16" s="126" t="s">
        <v>206</v>
      </c>
    </row>
    <row r="17" spans="1:26" x14ac:dyDescent="0.25">
      <c r="A17" s="130" t="str">
        <f>+'4. Growth Factor - NUM_CALC1'!A17</f>
        <v>RESIDENTIAL</v>
      </c>
      <c r="B17" s="130"/>
      <c r="C17" s="180">
        <v>59869</v>
      </c>
      <c r="D17" s="180">
        <f>+'[6]I6.1 Revenue'!$D$25</f>
        <v>553858289</v>
      </c>
      <c r="E17" s="180">
        <v>0</v>
      </c>
      <c r="F17" s="132"/>
      <c r="G17" s="133">
        <f>'5. Growth Factor - NUM_CALC2'!G17</f>
        <v>17.832253904466413</v>
      </c>
      <c r="H17" s="134">
        <f>'5. Growth Factor - NUM_CALC2'!H17</f>
        <v>9.9537655949494888E-3</v>
      </c>
      <c r="I17" s="134">
        <f>'5. Growth Factor - NUM_CALC2'!I17</f>
        <v>0</v>
      </c>
      <c r="J17" s="130"/>
      <c r="K17" s="181">
        <f t="shared" ref="K17:K23" si="0">G17*C17*12</f>
        <v>12811190.508077998</v>
      </c>
      <c r="L17" s="181">
        <f t="shared" ref="L17:M23" si="1">H17*D17</f>
        <v>5512975.5815257905</v>
      </c>
      <c r="M17" s="183">
        <f t="shared" si="1"/>
        <v>0</v>
      </c>
      <c r="N17" s="181">
        <f t="shared" ref="N17:N23" si="2">SUM(K17,L17,M17)</f>
        <v>18324166.089603789</v>
      </c>
      <c r="O17" s="130"/>
      <c r="P17" s="136">
        <f>IF(ISERROR(K17/N24),0,ROUND(K17/N24,3))</f>
        <v>0.41399999999999998</v>
      </c>
      <c r="Q17" s="136">
        <f>IF(ISERROR(L17/N24),0,ROUND(L17/N24,3))</f>
        <v>0.17799999999999999</v>
      </c>
      <c r="R17" s="136">
        <f>IF(ISERROR(M17/N24),0,ROUND(M17/N24,3))</f>
        <v>0</v>
      </c>
      <c r="S17" s="136">
        <f>N17/N24</f>
        <v>0.59257623248661973</v>
      </c>
    </row>
    <row r="18" spans="1:26" x14ac:dyDescent="0.25">
      <c r="A18" s="130" t="str">
        <f>+'4. Growth Factor - NUM_CALC1'!A18</f>
        <v>GENERAL SERVICE LESS THAN 50 KW</v>
      </c>
      <c r="B18" s="137"/>
      <c r="C18" s="182">
        <v>5224</v>
      </c>
      <c r="D18" s="182">
        <f>+'[6]I6.1 Revenue'!$E$25</f>
        <v>173842956</v>
      </c>
      <c r="E18" s="182">
        <v>0</v>
      </c>
      <c r="F18" s="139"/>
      <c r="G18" s="133">
        <f>'5. Growth Factor - NUM_CALC2'!G18</f>
        <v>24.967278652906032</v>
      </c>
      <c r="H18" s="134">
        <f>'5. Growth Factor - NUM_CALC2'!H18</f>
        <v>1.4672995021780393E-2</v>
      </c>
      <c r="I18" s="134">
        <f>'5. Growth Factor - NUM_CALC2'!I18</f>
        <v>0</v>
      </c>
      <c r="J18" s="137"/>
      <c r="K18" s="183">
        <f t="shared" si="0"/>
        <v>1565148.7641933733</v>
      </c>
      <c r="L18" s="181">
        <f t="shared" si="1"/>
        <v>2550796.8279595878</v>
      </c>
      <c r="M18" s="183">
        <f t="shared" si="1"/>
        <v>0</v>
      </c>
      <c r="N18" s="183">
        <f t="shared" si="2"/>
        <v>4115945.5921529611</v>
      </c>
      <c r="O18" s="137"/>
      <c r="P18" s="142">
        <f>IF(ISERROR(K18/N24),0,ROUND(K18/N24,3))</f>
        <v>5.0999999999999997E-2</v>
      </c>
      <c r="Q18" s="142">
        <f>IF(ISERROR(L18/N24),0,ROUND(L18/N24,3))</f>
        <v>8.2000000000000003E-2</v>
      </c>
      <c r="R18" s="142">
        <f>IF(ISERROR(M18/N24),0,ROUND(M18/N24,3))</f>
        <v>0</v>
      </c>
      <c r="S18" s="142">
        <f>N18/N24</f>
        <v>0.13310354862487755</v>
      </c>
    </row>
    <row r="19" spans="1:26" x14ac:dyDescent="0.25">
      <c r="A19" s="130" t="str">
        <f>+'4. Growth Factor - NUM_CALC1'!A19</f>
        <v>GENERAL SERVICE GREATER THAN 50 KW</v>
      </c>
      <c r="B19" s="137"/>
      <c r="C19" s="182">
        <v>1012</v>
      </c>
      <c r="D19" s="182">
        <v>0</v>
      </c>
      <c r="E19" s="182">
        <f>+'[6]I6.1 Revenue'!$F$26</f>
        <v>2451173</v>
      </c>
      <c r="F19" s="139"/>
      <c r="G19" s="133">
        <f>'5. Growth Factor - NUM_CALC2'!G19</f>
        <v>59.487283797216698</v>
      </c>
      <c r="H19" s="134">
        <f>'5. Growth Factor - NUM_CALC2'!H19</f>
        <v>0</v>
      </c>
      <c r="I19" s="134">
        <f>'5. Growth Factor - NUM_CALC2'!I19</f>
        <v>3.0168619748374841</v>
      </c>
      <c r="J19" s="137"/>
      <c r="K19" s="183">
        <f t="shared" si="0"/>
        <v>722413.5744333996</v>
      </c>
      <c r="L19" s="181">
        <f t="shared" si="1"/>
        <v>0</v>
      </c>
      <c r="M19" s="183">
        <f t="shared" si="1"/>
        <v>7394850.6174483206</v>
      </c>
      <c r="N19" s="183">
        <f t="shared" si="2"/>
        <v>8117264.19188172</v>
      </c>
      <c r="O19" s="137"/>
      <c r="P19" s="142">
        <f>IF(ISERROR(K19/N24),0,ROUND(K19/N24,3))</f>
        <v>2.3E-2</v>
      </c>
      <c r="Q19" s="142">
        <f>IF(ISERROR(L19/N24),0,ROUND(L19/N24,3))</f>
        <v>0</v>
      </c>
      <c r="R19" s="142">
        <f>IF(ISERROR(M19/N24),0,ROUND(M19/N24,3))</f>
        <v>0.23899999999999999</v>
      </c>
      <c r="S19" s="142">
        <f>N19/N24</f>
        <v>0.26250023108297532</v>
      </c>
    </row>
    <row r="20" spans="1:26" x14ac:dyDescent="0.25">
      <c r="A20" s="130" t="str">
        <f>+'4. Growth Factor - NUM_CALC1'!A20</f>
        <v>UNMETERED SCATTERED LOAD</v>
      </c>
      <c r="B20" s="137"/>
      <c r="C20" s="182">
        <v>605</v>
      </c>
      <c r="D20" s="182">
        <f>+'[6]I6.1 Revenue'!$L$25</f>
        <v>3151827</v>
      </c>
      <c r="E20" s="182"/>
      <c r="F20" s="139"/>
      <c r="G20" s="133">
        <f>'5. Growth Factor - NUM_CALC2'!G20</f>
        <v>9.1978064146620842</v>
      </c>
      <c r="H20" s="134">
        <f>'5. Growth Factor - NUM_CALC2'!H20</f>
        <v>1.597302121961006E-2</v>
      </c>
      <c r="I20" s="134">
        <f>'5. Growth Factor - NUM_CALC2'!I20</f>
        <v>0</v>
      </c>
      <c r="J20" s="137"/>
      <c r="K20" s="183">
        <f t="shared" si="0"/>
        <v>66776.074570446741</v>
      </c>
      <c r="L20" s="181">
        <f t="shared" si="1"/>
        <v>50344.199551539918</v>
      </c>
      <c r="M20" s="183">
        <f t="shared" si="1"/>
        <v>0</v>
      </c>
      <c r="N20" s="183">
        <f t="shared" si="2"/>
        <v>117120.27412198666</v>
      </c>
      <c r="O20" s="137"/>
      <c r="P20" s="142">
        <f>IF(ISERROR(K20/N24),0,ROUND(K20/N24,3))</f>
        <v>2E-3</v>
      </c>
      <c r="Q20" s="142">
        <f>IF(ISERROR(L20/N24),0,ROUND(L20/N24,3))</f>
        <v>2E-3</v>
      </c>
      <c r="R20" s="142">
        <f>IF(ISERROR(M20/N24),0,ROUND(M20/N24,3))</f>
        <v>0</v>
      </c>
      <c r="S20" s="142">
        <f>N20/N24</f>
        <v>3.7874951824619506E-3</v>
      </c>
    </row>
    <row r="21" spans="1:26" x14ac:dyDescent="0.25">
      <c r="A21" s="130" t="str">
        <f>+'4. Growth Factor - NUM_CALC1'!A21</f>
        <v>STREET LIGHTING</v>
      </c>
      <c r="B21" s="137"/>
      <c r="C21" s="182">
        <v>15272</v>
      </c>
      <c r="D21" s="182">
        <v>0</v>
      </c>
      <c r="E21" s="182">
        <f>+'[6]I6.1 Revenue'!$J$26</f>
        <v>30525</v>
      </c>
      <c r="F21" s="139"/>
      <c r="G21" s="133">
        <f>'5. Growth Factor - NUM_CALC2'!G21</f>
        <v>0.61249203821656051</v>
      </c>
      <c r="H21" s="134">
        <f>'5. Growth Factor - NUM_CALC2'!H21</f>
        <v>0</v>
      </c>
      <c r="I21" s="134">
        <f>'5. Growth Factor - NUM_CALC2'!I21</f>
        <v>4.4599540246931886</v>
      </c>
      <c r="J21" s="137"/>
      <c r="K21" s="183">
        <f t="shared" si="0"/>
        <v>112247.74089171973</v>
      </c>
      <c r="L21" s="181">
        <f t="shared" si="1"/>
        <v>0</v>
      </c>
      <c r="M21" s="183">
        <f t="shared" si="1"/>
        <v>136140.09660375959</v>
      </c>
      <c r="N21" s="183">
        <f t="shared" si="2"/>
        <v>248387.83749547933</v>
      </c>
      <c r="O21" s="137"/>
      <c r="P21" s="142">
        <f>IF(ISERROR(K21/N24),0,ROUND(K21/N24,3))</f>
        <v>4.0000000000000001E-3</v>
      </c>
      <c r="Q21" s="142">
        <f>IF(ISERROR(L21/N24),0,ROUND(L21/N24,3))</f>
        <v>0</v>
      </c>
      <c r="R21" s="142">
        <f>IF(ISERROR(M21/N24),0,ROUND(M21/N24,3))</f>
        <v>4.0000000000000001E-3</v>
      </c>
      <c r="S21" s="142">
        <f>N21/N24</f>
        <v>8.0324926230655232E-3</v>
      </c>
    </row>
    <row r="22" spans="1:26" x14ac:dyDescent="0.25">
      <c r="A22" s="130"/>
      <c r="B22" s="137"/>
      <c r="C22" s="182"/>
      <c r="D22" s="182"/>
      <c r="E22" s="182">
        <v>0</v>
      </c>
      <c r="F22" s="139"/>
      <c r="G22" s="133">
        <f>'5. Growth Factor - NUM_CALC2'!G22</f>
        <v>0</v>
      </c>
      <c r="H22" s="134">
        <f>'5. Growth Factor - NUM_CALC2'!H22</f>
        <v>0</v>
      </c>
      <c r="I22" s="134">
        <f>'5. Growth Factor - NUM_CALC2'!I22</f>
        <v>0</v>
      </c>
      <c r="J22" s="137"/>
      <c r="K22" s="183">
        <f t="shared" si="0"/>
        <v>0</v>
      </c>
      <c r="L22" s="181">
        <f t="shared" si="1"/>
        <v>0</v>
      </c>
      <c r="M22" s="183">
        <f t="shared" si="1"/>
        <v>0</v>
      </c>
      <c r="N22" s="183">
        <f t="shared" si="2"/>
        <v>0</v>
      </c>
      <c r="O22" s="137"/>
      <c r="P22" s="142">
        <f>IF(ISERROR(K22/N24),0,ROUND(K22/N24,3))</f>
        <v>0</v>
      </c>
      <c r="Q22" s="142">
        <f>IF(ISERROR(L22/N24),0,ROUND(L22/N24,3))</f>
        <v>0</v>
      </c>
      <c r="R22" s="142">
        <f>IF(ISERROR(M22/N24),0,ROUND(M22/N24,3))</f>
        <v>0</v>
      </c>
      <c r="S22" s="142">
        <f>N22/N24</f>
        <v>0</v>
      </c>
    </row>
    <row r="23" spans="1:26" x14ac:dyDescent="0.25">
      <c r="A23" s="130"/>
      <c r="B23" s="137"/>
      <c r="C23" s="182"/>
      <c r="D23" s="182">
        <v>0</v>
      </c>
      <c r="E23" s="182"/>
      <c r="F23" s="139"/>
      <c r="G23" s="133">
        <f>'5. Growth Factor - NUM_CALC2'!G23</f>
        <v>0</v>
      </c>
      <c r="H23" s="134">
        <f>'5. Growth Factor - NUM_CALC2'!H23</f>
        <v>0</v>
      </c>
      <c r="I23" s="134">
        <f>'5. Growth Factor - NUM_CALC2'!I23</f>
        <v>0</v>
      </c>
      <c r="J23" s="137"/>
      <c r="K23" s="183">
        <f t="shared" si="0"/>
        <v>0</v>
      </c>
      <c r="L23" s="181">
        <f t="shared" si="1"/>
        <v>0</v>
      </c>
      <c r="M23" s="183">
        <f t="shared" si="1"/>
        <v>0</v>
      </c>
      <c r="N23" s="183">
        <f t="shared" si="2"/>
        <v>0</v>
      </c>
      <c r="O23" s="137"/>
      <c r="P23" s="142">
        <f>IF(ISERROR(K23/N24),0,ROUND(K23/N24,3))</f>
        <v>0</v>
      </c>
      <c r="Q23" s="142">
        <f>IF(ISERROR(L23/N24),0,ROUND(L23/N24,3))</f>
        <v>0</v>
      </c>
      <c r="R23" s="142">
        <f>IF(ISERROR(M23/N24),0,ROUND(M23/N24,3))</f>
        <v>0</v>
      </c>
      <c r="S23" s="142">
        <f>N23/N24</f>
        <v>0</v>
      </c>
    </row>
    <row r="24" spans="1:26" x14ac:dyDescent="0.25">
      <c r="A24" s="143" t="s">
        <v>117</v>
      </c>
      <c r="B24" s="143"/>
      <c r="C24" s="144">
        <f>SUM(C17:C23)</f>
        <v>81982</v>
      </c>
      <c r="D24" s="144">
        <f>SUM(D17:D23)</f>
        <v>730853072</v>
      </c>
      <c r="E24" s="144">
        <f>SUM(E17:E23)</f>
        <v>2481698</v>
      </c>
      <c r="F24" s="145"/>
      <c r="G24" s="145"/>
      <c r="H24" s="145"/>
      <c r="I24" s="145"/>
      <c r="J24" s="143"/>
      <c r="K24" s="184">
        <f>SUM(K17:K23)</f>
        <v>15277776.662166936</v>
      </c>
      <c r="L24" s="184">
        <f>SUM(L17:L23)</f>
        <v>8114116.6090369178</v>
      </c>
      <c r="M24" s="184">
        <f>SUM(M17:M23)</f>
        <v>7530990.7140520802</v>
      </c>
      <c r="N24" s="184">
        <f>SUM(N17:N23)</f>
        <v>30922883.985255934</v>
      </c>
      <c r="O24" s="143"/>
      <c r="P24" s="147"/>
      <c r="Q24" s="147"/>
      <c r="R24" s="147"/>
      <c r="S24" s="147">
        <f>SUM(S17:S23)</f>
        <v>1</v>
      </c>
      <c r="T24" s="148"/>
      <c r="U24" s="148"/>
      <c r="V24" s="148"/>
      <c r="W24" s="148"/>
      <c r="X24" s="148"/>
      <c r="Y24" s="148"/>
      <c r="Z24" s="148"/>
    </row>
    <row r="25" spans="1:26" x14ac:dyDescent="0.25">
      <c r="C25" s="149"/>
      <c r="D25" s="149"/>
      <c r="E25" s="149"/>
      <c r="F25" s="149"/>
      <c r="G25" s="149"/>
      <c r="H25" s="149"/>
      <c r="I25" s="149"/>
    </row>
    <row r="26" spans="1:26" x14ac:dyDescent="0.25">
      <c r="C26" s="149"/>
      <c r="D26" s="149"/>
      <c r="E26" s="149"/>
      <c r="F26" s="149"/>
      <c r="G26" s="149"/>
      <c r="H26" s="149"/>
      <c r="I26" s="149"/>
    </row>
    <row r="27" spans="1:26" x14ac:dyDescent="0.25">
      <c r="C27" s="149"/>
      <c r="D27" s="149"/>
      <c r="E27" s="149"/>
      <c r="F27" s="149"/>
      <c r="G27" s="149"/>
      <c r="H27" s="149"/>
      <c r="I27" s="149"/>
    </row>
    <row r="28" spans="1:26" x14ac:dyDescent="0.25">
      <c r="C28" s="149"/>
      <c r="D28" s="149"/>
      <c r="E28" s="149"/>
      <c r="F28" s="149"/>
      <c r="G28" s="149"/>
      <c r="H28" s="149"/>
      <c r="I28" s="149"/>
    </row>
    <row r="29" spans="1:26" x14ac:dyDescent="0.25">
      <c r="C29" s="149"/>
      <c r="D29" s="149"/>
      <c r="E29" s="149"/>
      <c r="F29" s="149"/>
      <c r="G29" s="149"/>
      <c r="H29" s="149"/>
      <c r="I29" s="149"/>
    </row>
    <row r="30" spans="1:26" x14ac:dyDescent="0.25">
      <c r="C30" s="149"/>
      <c r="D30" s="149"/>
      <c r="E30" s="149"/>
      <c r="F30" s="149"/>
      <c r="G30" s="149"/>
      <c r="H30" s="149"/>
      <c r="I30" s="149"/>
    </row>
    <row r="31" spans="1:26" x14ac:dyDescent="0.25">
      <c r="C31" s="149"/>
      <c r="D31" s="149"/>
      <c r="E31" s="149"/>
      <c r="F31" s="149"/>
      <c r="G31" s="149"/>
      <c r="H31" s="149"/>
      <c r="I31" s="149"/>
    </row>
    <row r="32" spans="1:26" x14ac:dyDescent="0.25">
      <c r="C32" s="149"/>
      <c r="D32" s="149"/>
      <c r="E32" s="149"/>
      <c r="F32" s="149"/>
      <c r="G32" s="149"/>
      <c r="H32" s="149"/>
      <c r="I32" s="149"/>
    </row>
    <row r="33" spans="3:9" x14ac:dyDescent="0.25">
      <c r="C33" s="149"/>
      <c r="D33" s="149"/>
      <c r="E33" s="149"/>
      <c r="F33" s="149"/>
      <c r="G33" s="149"/>
      <c r="H33" s="149"/>
      <c r="I33" s="149"/>
    </row>
    <row r="34" spans="3:9" x14ac:dyDescent="0.25">
      <c r="C34" s="149"/>
      <c r="D34" s="149"/>
      <c r="E34" s="149"/>
      <c r="F34" s="149"/>
      <c r="G34" s="149"/>
      <c r="H34" s="149"/>
      <c r="I34" s="149"/>
    </row>
    <row r="35" spans="3:9" x14ac:dyDescent="0.25">
      <c r="C35" s="149"/>
      <c r="D35" s="149"/>
      <c r="E35" s="149"/>
      <c r="F35" s="149"/>
      <c r="G35" s="149"/>
      <c r="H35" s="149"/>
      <c r="I35" s="149"/>
    </row>
    <row r="36" spans="3:9" x14ac:dyDescent="0.25">
      <c r="C36" s="149"/>
      <c r="D36" s="149"/>
      <c r="E36" s="149"/>
      <c r="F36" s="149"/>
      <c r="G36" s="149"/>
      <c r="H36" s="149"/>
      <c r="I36" s="149"/>
    </row>
    <row r="37" spans="3:9" x14ac:dyDescent="0.25">
      <c r="C37" s="149"/>
      <c r="D37" s="149"/>
      <c r="E37" s="149"/>
      <c r="F37" s="149"/>
      <c r="G37" s="149"/>
      <c r="H37" s="149"/>
      <c r="I37" s="149"/>
    </row>
    <row r="38" spans="3:9" x14ac:dyDescent="0.25">
      <c r="C38" s="149"/>
      <c r="D38" s="149"/>
      <c r="E38" s="149"/>
      <c r="F38" s="149"/>
      <c r="G38" s="149"/>
      <c r="H38" s="149"/>
      <c r="I38" s="149"/>
    </row>
    <row r="39" spans="3:9" x14ac:dyDescent="0.25">
      <c r="C39" s="149"/>
      <c r="D39" s="149"/>
      <c r="E39" s="149"/>
      <c r="F39" s="149"/>
      <c r="G39" s="149"/>
      <c r="H39" s="149"/>
      <c r="I39" s="149"/>
    </row>
    <row r="40" spans="3:9" x14ac:dyDescent="0.25">
      <c r="C40" s="149"/>
      <c r="D40" s="149"/>
      <c r="E40" s="149"/>
      <c r="F40" s="149"/>
      <c r="G40" s="149"/>
      <c r="H40" s="149"/>
      <c r="I40" s="149"/>
    </row>
    <row r="41" spans="3:9" x14ac:dyDescent="0.25">
      <c r="C41" s="149"/>
      <c r="D41" s="149"/>
      <c r="E41" s="149"/>
      <c r="F41" s="149"/>
      <c r="G41" s="149"/>
      <c r="H41" s="149"/>
      <c r="I41" s="149"/>
    </row>
    <row r="42" spans="3:9" x14ac:dyDescent="0.25">
      <c r="C42" s="149"/>
      <c r="D42" s="149"/>
      <c r="E42" s="149"/>
      <c r="F42" s="149"/>
      <c r="G42" s="149"/>
      <c r="H42" s="149"/>
      <c r="I42" s="149"/>
    </row>
    <row r="43" spans="3:9" x14ac:dyDescent="0.25">
      <c r="C43" s="149"/>
      <c r="D43" s="149"/>
      <c r="E43" s="149"/>
      <c r="F43" s="149"/>
      <c r="G43" s="149"/>
      <c r="H43" s="149"/>
      <c r="I43" s="149"/>
    </row>
    <row r="44" spans="3:9" x14ac:dyDescent="0.25">
      <c r="C44" s="149"/>
      <c r="D44" s="149"/>
      <c r="E44" s="149"/>
      <c r="F44" s="149"/>
      <c r="G44" s="149"/>
      <c r="H44" s="149"/>
      <c r="I44" s="149"/>
    </row>
    <row r="45" spans="3:9" x14ac:dyDescent="0.25">
      <c r="C45" s="149"/>
      <c r="D45" s="149"/>
      <c r="E45" s="149"/>
      <c r="F45" s="149"/>
      <c r="G45" s="149"/>
      <c r="H45" s="149"/>
      <c r="I45" s="149"/>
    </row>
    <row r="46" spans="3:9" x14ac:dyDescent="0.25">
      <c r="C46" s="149"/>
      <c r="D46" s="149"/>
      <c r="E46" s="149"/>
      <c r="F46" s="149"/>
      <c r="G46" s="149"/>
      <c r="H46" s="149"/>
      <c r="I46" s="149"/>
    </row>
    <row r="47" spans="3:9" x14ac:dyDescent="0.25">
      <c r="C47" s="149"/>
      <c r="D47" s="149"/>
      <c r="E47" s="149"/>
      <c r="F47" s="149"/>
      <c r="G47" s="149"/>
      <c r="H47" s="149"/>
      <c r="I47" s="149"/>
    </row>
    <row r="48" spans="3:9" x14ac:dyDescent="0.25">
      <c r="C48" s="149"/>
      <c r="D48" s="149"/>
      <c r="E48" s="149"/>
      <c r="F48" s="149"/>
      <c r="G48" s="149"/>
      <c r="H48" s="149"/>
      <c r="I48" s="149"/>
    </row>
    <row r="49" spans="3:9" x14ac:dyDescent="0.25">
      <c r="C49" s="149"/>
      <c r="D49" s="149"/>
      <c r="E49" s="149"/>
      <c r="F49" s="149"/>
      <c r="G49" s="149"/>
      <c r="H49" s="149"/>
      <c r="I49" s="149"/>
    </row>
    <row r="50" spans="3:9" x14ac:dyDescent="0.25">
      <c r="C50" s="149"/>
      <c r="D50" s="149"/>
      <c r="E50" s="149"/>
      <c r="F50" s="149"/>
      <c r="G50" s="149"/>
      <c r="H50" s="149"/>
      <c r="I50" s="149"/>
    </row>
  </sheetData>
  <mergeCells count="2">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ignoredErrors>
    <ignoredError sqref="D17:E2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E71" sqref="E71"/>
    </sheetView>
  </sheetViews>
  <sheetFormatPr defaultRowHeight="15" x14ac:dyDescent="0.25"/>
  <cols>
    <col min="1" max="1" width="50" customWidth="1"/>
    <col min="3" max="5" width="16" bestFit="1"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7.28515625"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124" t="s">
        <v>207</v>
      </c>
    </row>
    <row r="13" spans="1:19" x14ac:dyDescent="0.25">
      <c r="A13" s="396" t="s">
        <v>208</v>
      </c>
      <c r="B13" s="396"/>
      <c r="C13" s="396"/>
      <c r="D13" s="396"/>
      <c r="E13" s="396"/>
      <c r="F13" s="396"/>
      <c r="G13" s="396"/>
    </row>
    <row r="14" spans="1:19" ht="18" thickBot="1" x14ac:dyDescent="0.3">
      <c r="C14" s="393" t="s">
        <v>306</v>
      </c>
      <c r="D14" s="393"/>
      <c r="E14" s="393"/>
      <c r="G14" s="393" t="str">
        <f>+'4. Growth Factor - NUM_CALC1'!G15:I15</f>
        <v>2017 Actual Distribution Revenues</v>
      </c>
      <c r="H14" s="393"/>
      <c r="I14" s="393"/>
    </row>
    <row r="15" spans="1:19" s="127" customFormat="1" ht="63" x14ac:dyDescent="0.25">
      <c r="A15" s="125" t="s">
        <v>85</v>
      </c>
      <c r="B15" s="126"/>
      <c r="C15" s="102" t="s">
        <v>90</v>
      </c>
      <c r="D15" s="102" t="s">
        <v>91</v>
      </c>
      <c r="E15" s="102" t="s">
        <v>92</v>
      </c>
      <c r="F15" s="102"/>
      <c r="G15" s="102" t="s">
        <v>209</v>
      </c>
      <c r="H15" s="102" t="s">
        <v>210</v>
      </c>
      <c r="I15" s="102" t="s">
        <v>211</v>
      </c>
      <c r="J15" s="102"/>
      <c r="K15" s="102" t="s">
        <v>212</v>
      </c>
      <c r="L15" s="102" t="s">
        <v>213</v>
      </c>
      <c r="M15" s="102" t="s">
        <v>214</v>
      </c>
      <c r="N15" s="102" t="s">
        <v>215</v>
      </c>
      <c r="O15" s="102"/>
      <c r="P15" s="102" t="s">
        <v>216</v>
      </c>
      <c r="Q15" s="102" t="s">
        <v>217</v>
      </c>
      <c r="R15" s="102" t="s">
        <v>217</v>
      </c>
      <c r="S15" s="102" t="s">
        <v>102</v>
      </c>
    </row>
    <row r="16" spans="1:19" s="129" customFormat="1" ht="18.75" x14ac:dyDescent="0.35">
      <c r="A16" s="128"/>
      <c r="B16" s="126"/>
      <c r="C16" s="126" t="s">
        <v>103</v>
      </c>
      <c r="D16" s="126" t="s">
        <v>104</v>
      </c>
      <c r="E16" s="126" t="s">
        <v>105</v>
      </c>
      <c r="F16" s="126"/>
      <c r="G16" s="126" t="s">
        <v>106</v>
      </c>
      <c r="H16" s="126" t="s">
        <v>107</v>
      </c>
      <c r="I16" s="126" t="s">
        <v>108</v>
      </c>
      <c r="J16" s="126"/>
      <c r="K16" s="126" t="s">
        <v>109</v>
      </c>
      <c r="L16" s="126" t="s">
        <v>110</v>
      </c>
      <c r="M16" s="126" t="s">
        <v>111</v>
      </c>
      <c r="N16" s="126" t="s">
        <v>112</v>
      </c>
      <c r="O16" s="126"/>
      <c r="P16" s="126" t="s">
        <v>218</v>
      </c>
      <c r="Q16" s="126" t="s">
        <v>219</v>
      </c>
      <c r="R16" s="126" t="s">
        <v>220</v>
      </c>
      <c r="S16" s="126" t="s">
        <v>221</v>
      </c>
    </row>
    <row r="17" spans="1:26" x14ac:dyDescent="0.25">
      <c r="A17" s="130" t="str">
        <f>+'4. Growth Factor - NUM_CALC1'!A17</f>
        <v>RESIDENTIAL</v>
      </c>
      <c r="B17" s="130"/>
      <c r="C17" s="185">
        <v>22.44</v>
      </c>
      <c r="D17" s="186">
        <v>4.1999999999999997E-3</v>
      </c>
      <c r="E17" s="186">
        <v>0</v>
      </c>
      <c r="F17" s="132"/>
      <c r="G17" s="131">
        <f>'4. Growth Factor - NUM_CALC1'!C17</f>
        <v>60593</v>
      </c>
      <c r="H17" s="131">
        <f>'4. Growth Factor - NUM_CALC1'!D17</f>
        <v>499660804</v>
      </c>
      <c r="I17" s="131">
        <f>'4. Growth Factor - NUM_CALC1'!E17</f>
        <v>0</v>
      </c>
      <c r="J17" s="130"/>
      <c r="K17" s="135">
        <f t="shared" ref="K17:K23" si="0">G17*C17*12</f>
        <v>16316483.040000003</v>
      </c>
      <c r="L17" s="135">
        <f t="shared" ref="L17:M23" si="1">H17*D17</f>
        <v>2098575.3767999997</v>
      </c>
      <c r="M17" s="135">
        <f t="shared" si="1"/>
        <v>0</v>
      </c>
      <c r="N17" s="135">
        <f t="shared" ref="N17:N23" si="2">SUM(K17,L17,M17)</f>
        <v>18415058.416800003</v>
      </c>
      <c r="O17" s="130"/>
      <c r="P17" s="187">
        <f>IF(ISERROR(K17/N24),0,K17/N24)</f>
        <v>0.53038071441475709</v>
      </c>
      <c r="Q17" s="187">
        <f>IF(ISERROR(L17/N24),0,L17/N24)</f>
        <v>6.8215920359293414E-2</v>
      </c>
      <c r="R17" s="187">
        <f>IF(ISERROR(M17/N24),0,M17/N24)</f>
        <v>0</v>
      </c>
      <c r="S17" s="136">
        <f>N17/N24</f>
        <v>0.59859663477405056</v>
      </c>
    </row>
    <row r="18" spans="1:26" x14ac:dyDescent="0.25">
      <c r="A18" s="130" t="str">
        <f>+'4. Growth Factor - NUM_CALC1'!A18</f>
        <v>GENERAL SERVICE LESS THAN 50 KW</v>
      </c>
      <c r="B18" s="137"/>
      <c r="C18" s="188">
        <v>26.22</v>
      </c>
      <c r="D18" s="189">
        <v>1.4E-2</v>
      </c>
      <c r="E18" s="189">
        <v>0</v>
      </c>
      <c r="F18" s="139"/>
      <c r="G18" s="131">
        <f>'4. Growth Factor - NUM_CALC1'!C18</f>
        <v>5523</v>
      </c>
      <c r="H18" s="131">
        <f>'4. Growth Factor - NUM_CALC1'!D18</f>
        <v>165968773</v>
      </c>
      <c r="I18" s="131">
        <f>'4. Growth Factor - NUM_CALC1'!E18</f>
        <v>0</v>
      </c>
      <c r="J18" s="137"/>
      <c r="K18" s="141">
        <f t="shared" si="0"/>
        <v>1737756.72</v>
      </c>
      <c r="L18" s="141">
        <f t="shared" si="1"/>
        <v>2323562.8220000002</v>
      </c>
      <c r="M18" s="141">
        <f t="shared" si="1"/>
        <v>0</v>
      </c>
      <c r="N18" s="141">
        <f t="shared" si="2"/>
        <v>4061319.5420000004</v>
      </c>
      <c r="O18" s="137"/>
      <c r="P18" s="190">
        <f>IF(ISERROR(K18/N24),0,K18/N24)</f>
        <v>5.6487212861568041E-2</v>
      </c>
      <c r="Q18" s="190">
        <f>IF(ISERROR(L18/N24),0,L18/N24)</f>
        <v>7.5529322495463999E-2</v>
      </c>
      <c r="R18" s="190">
        <f>IF(ISERROR(M18/N24),0,M18/N24)</f>
        <v>0</v>
      </c>
      <c r="S18" s="142">
        <f>N18/N24</f>
        <v>0.13201653535703206</v>
      </c>
    </row>
    <row r="19" spans="1:26" x14ac:dyDescent="0.25">
      <c r="A19" s="130" t="str">
        <f>+'4. Growth Factor - NUM_CALC1'!A19</f>
        <v>GENERAL SERVICE GREATER THAN 50 KW</v>
      </c>
      <c r="B19" s="137"/>
      <c r="C19" s="188">
        <v>61.46</v>
      </c>
      <c r="D19" s="189">
        <v>0</v>
      </c>
      <c r="E19" s="189">
        <v>3.0255999999999998</v>
      </c>
      <c r="F19" s="139"/>
      <c r="G19" s="131">
        <f>'4. Growth Factor - NUM_CALC1'!C19</f>
        <v>1006</v>
      </c>
      <c r="H19" s="131">
        <f>'4. Growth Factor - NUM_CALC1'!D19</f>
        <v>0</v>
      </c>
      <c r="I19" s="131">
        <f>'4. Growth Factor - NUM_CALC1'!E19</f>
        <v>2376074</v>
      </c>
      <c r="J19" s="137"/>
      <c r="K19" s="141">
        <f t="shared" si="0"/>
        <v>741945.12</v>
      </c>
      <c r="L19" s="141">
        <f t="shared" si="1"/>
        <v>0</v>
      </c>
      <c r="M19" s="141">
        <f t="shared" si="1"/>
        <v>7189049.4943999993</v>
      </c>
      <c r="N19" s="141">
        <f t="shared" si="2"/>
        <v>7930994.6143999994</v>
      </c>
      <c r="O19" s="137"/>
      <c r="P19" s="190">
        <f>IF(ISERROR(K19/N24),0,K19/N24)</f>
        <v>2.4117536961699475E-2</v>
      </c>
      <c r="Q19" s="190">
        <f>IF(ISERROR(L19/N24),0,L19/N24)</f>
        <v>0</v>
      </c>
      <c r="R19" s="190">
        <f>IF(ISERROR(M19/N24),0,M19/N24)</f>
        <v>0.23368597248901496</v>
      </c>
      <c r="S19" s="142">
        <f>N19/N24</f>
        <v>0.25780350945071445</v>
      </c>
    </row>
    <row r="20" spans="1:26" x14ac:dyDescent="0.25">
      <c r="A20" s="130" t="str">
        <f>+'4. Growth Factor - NUM_CALC1'!A20</f>
        <v>UNMETERED SCATTERED LOAD</v>
      </c>
      <c r="B20" s="137"/>
      <c r="C20" s="188">
        <v>9.42</v>
      </c>
      <c r="D20" s="189">
        <v>1.6400000000000001E-2</v>
      </c>
      <c r="E20" s="189">
        <v>0</v>
      </c>
      <c r="F20" s="139"/>
      <c r="G20" s="131">
        <f>'4. Growth Factor - NUM_CALC1'!C20</f>
        <v>582</v>
      </c>
      <c r="H20" s="131">
        <f>'4. Growth Factor - NUM_CALC1'!D20</f>
        <v>3130312</v>
      </c>
      <c r="I20" s="131">
        <f>'4. Growth Factor - NUM_CALC1'!E20</f>
        <v>0</v>
      </c>
      <c r="J20" s="137"/>
      <c r="K20" s="141">
        <f t="shared" si="0"/>
        <v>65789.279999999999</v>
      </c>
      <c r="L20" s="141">
        <f t="shared" si="1"/>
        <v>51337.116800000003</v>
      </c>
      <c r="M20" s="141">
        <f t="shared" si="1"/>
        <v>0</v>
      </c>
      <c r="N20" s="141">
        <f t="shared" si="2"/>
        <v>117126.3968</v>
      </c>
      <c r="O20" s="137"/>
      <c r="P20" s="190">
        <f>IF(ISERROR(K20/N24),0,K20/N24)</f>
        <v>2.138534710065343E-3</v>
      </c>
      <c r="Q20" s="190">
        <f>IF(ISERROR(L20/N24),0,L20/N24)</f>
        <v>1.6687552469259225E-3</v>
      </c>
      <c r="R20" s="190">
        <f>IF(ISERROR(M20/N24),0,M20/N24)</f>
        <v>0</v>
      </c>
      <c r="S20" s="142">
        <f>N20/N24</f>
        <v>3.807289956991265E-3</v>
      </c>
    </row>
    <row r="21" spans="1:26" x14ac:dyDescent="0.25">
      <c r="A21" s="130" t="str">
        <f>+'4. Growth Factor - NUM_CALC1'!A21</f>
        <v>STREET LIGHTING</v>
      </c>
      <c r="B21" s="137"/>
      <c r="C21" s="188">
        <v>0.63</v>
      </c>
      <c r="D21" s="189">
        <v>0</v>
      </c>
      <c r="E21" s="189">
        <v>4.5568</v>
      </c>
      <c r="F21" s="139"/>
      <c r="G21" s="131">
        <f>'4. Growth Factor - NUM_CALC1'!C21</f>
        <v>15386</v>
      </c>
      <c r="H21" s="131">
        <f>'4. Growth Factor - NUM_CALC1'!D21</f>
        <v>0</v>
      </c>
      <c r="I21" s="131">
        <f>'4. Growth Factor - NUM_CALC1'!E21</f>
        <v>26971</v>
      </c>
      <c r="J21" s="137"/>
      <c r="K21" s="141">
        <f t="shared" si="0"/>
        <v>116318.16</v>
      </c>
      <c r="L21" s="141">
        <f t="shared" si="1"/>
        <v>0</v>
      </c>
      <c r="M21" s="141">
        <f t="shared" si="1"/>
        <v>122901.4528</v>
      </c>
      <c r="N21" s="141">
        <f t="shared" si="2"/>
        <v>239219.6128</v>
      </c>
      <c r="O21" s="137"/>
      <c r="P21" s="190">
        <f>IF(ISERROR(K21/N24),0,K21/N24)</f>
        <v>3.7810175543938796E-3</v>
      </c>
      <c r="Q21" s="190">
        <f>IF(ISERROR(L21/N24),0,L21/N24)</f>
        <v>0</v>
      </c>
      <c r="R21" s="190">
        <f>IF(ISERROR(M21/N24),0,M21/N24)</f>
        <v>3.9950129068179107E-3</v>
      </c>
      <c r="S21" s="142">
        <f>N21/N24</f>
        <v>7.7760304612117899E-3</v>
      </c>
    </row>
    <row r="22" spans="1:26" x14ac:dyDescent="0.25">
      <c r="A22" s="130"/>
      <c r="B22" s="137"/>
      <c r="C22" s="188"/>
      <c r="D22" s="189"/>
      <c r="E22" s="189"/>
      <c r="F22" s="139"/>
      <c r="G22" s="131">
        <f>'4. Growth Factor - NUM_CALC1'!C22</f>
        <v>0</v>
      </c>
      <c r="H22" s="131">
        <f>'4. Growth Factor - NUM_CALC1'!D22</f>
        <v>0</v>
      </c>
      <c r="I22" s="138">
        <v>0</v>
      </c>
      <c r="J22" s="137"/>
      <c r="K22" s="141">
        <f t="shared" si="0"/>
        <v>0</v>
      </c>
      <c r="L22" s="141">
        <f t="shared" si="1"/>
        <v>0</v>
      </c>
      <c r="M22" s="141">
        <f t="shared" si="1"/>
        <v>0</v>
      </c>
      <c r="N22" s="141">
        <f t="shared" si="2"/>
        <v>0</v>
      </c>
      <c r="O22" s="137"/>
      <c r="P22" s="190">
        <f>IF(ISERROR(K22/N24),0,K22/N24)</f>
        <v>0</v>
      </c>
      <c r="Q22" s="190">
        <f>IF(ISERROR(L22/N24),0,L22/N24)</f>
        <v>0</v>
      </c>
      <c r="R22" s="190">
        <f>IF(ISERROR(M22/N24),0,M22/N24)</f>
        <v>0</v>
      </c>
      <c r="S22" s="142">
        <f>N22/N24</f>
        <v>0</v>
      </c>
    </row>
    <row r="23" spans="1:26" x14ac:dyDescent="0.25">
      <c r="A23" s="130"/>
      <c r="B23" s="137"/>
      <c r="C23" s="188"/>
      <c r="D23" s="189"/>
      <c r="E23" s="189"/>
      <c r="F23" s="139"/>
      <c r="G23" s="131">
        <f>'4. Growth Factor - NUM_CALC1'!C23</f>
        <v>0</v>
      </c>
      <c r="H23" s="131">
        <f>'4. Growth Factor - NUM_CALC1'!D23</f>
        <v>0</v>
      </c>
      <c r="I23" s="131">
        <f>'4. Growth Factor - NUM_CALC1'!E23</f>
        <v>0</v>
      </c>
      <c r="J23" s="137"/>
      <c r="K23" s="141">
        <f t="shared" si="0"/>
        <v>0</v>
      </c>
      <c r="L23" s="141">
        <f t="shared" si="1"/>
        <v>0</v>
      </c>
      <c r="M23" s="141">
        <f t="shared" si="1"/>
        <v>0</v>
      </c>
      <c r="N23" s="141">
        <f t="shared" si="2"/>
        <v>0</v>
      </c>
      <c r="O23" s="137"/>
      <c r="P23" s="190">
        <f>IF(ISERROR(K23/N24),0,K23/N24)</f>
        <v>0</v>
      </c>
      <c r="Q23" s="190">
        <f>IF(ISERROR(L23/N24),0,L23/N24)</f>
        <v>0</v>
      </c>
      <c r="R23" s="190">
        <f>IF(ISERROR(M23/N24),0,M23/N24)</f>
        <v>0</v>
      </c>
      <c r="S23" s="142">
        <f>N23/N24</f>
        <v>0</v>
      </c>
    </row>
    <row r="24" spans="1:26" x14ac:dyDescent="0.25">
      <c r="A24" s="143" t="s">
        <v>117</v>
      </c>
      <c r="B24" s="143"/>
      <c r="C24" s="145"/>
      <c r="D24" s="145"/>
      <c r="E24" s="145"/>
      <c r="F24" s="145"/>
      <c r="G24" s="145"/>
      <c r="H24" s="145"/>
      <c r="I24" s="145"/>
      <c r="J24" s="143"/>
      <c r="K24" s="146">
        <f>SUM(K17:K23)</f>
        <v>18978292.320000004</v>
      </c>
      <c r="L24" s="146">
        <f>SUM(L17:L23)</f>
        <v>4473475.3155999994</v>
      </c>
      <c r="M24" s="146">
        <f>SUM(M17:M23)</f>
        <v>7311950.9471999994</v>
      </c>
      <c r="N24" s="146">
        <f>SUM(N17:N23)</f>
        <v>30763718.582800001</v>
      </c>
      <c r="O24" s="143"/>
      <c r="P24" s="147"/>
      <c r="Q24" s="147"/>
      <c r="R24" s="147"/>
      <c r="S24" s="147">
        <f>SUM(S17:S23)</f>
        <v>1.0000000000000002</v>
      </c>
      <c r="T24" s="148"/>
      <c r="U24" s="148"/>
      <c r="V24" s="148"/>
      <c r="W24" s="148"/>
      <c r="X24" s="148"/>
      <c r="Y24" s="148"/>
      <c r="Z24" s="148"/>
    </row>
    <row r="25" spans="1:26" x14ac:dyDescent="0.25">
      <c r="C25" s="149"/>
      <c r="D25" s="149"/>
      <c r="E25" s="149"/>
      <c r="F25" s="149"/>
      <c r="G25" s="149"/>
      <c r="H25" s="149"/>
      <c r="I25" s="149"/>
    </row>
    <row r="26" spans="1:26" x14ac:dyDescent="0.25">
      <c r="C26" s="149"/>
      <c r="D26" s="149"/>
      <c r="E26" s="149"/>
      <c r="F26" s="149"/>
      <c r="G26" s="149"/>
      <c r="H26" s="149"/>
      <c r="I26" s="149"/>
    </row>
    <row r="27" spans="1:26" x14ac:dyDescent="0.25">
      <c r="C27" s="149"/>
      <c r="D27" s="149"/>
      <c r="E27" s="149"/>
      <c r="F27" s="149"/>
      <c r="G27" s="149"/>
      <c r="H27" s="149"/>
      <c r="I27" s="149"/>
    </row>
    <row r="28" spans="1:26" x14ac:dyDescent="0.25">
      <c r="C28" s="149"/>
      <c r="D28" s="149"/>
      <c r="E28" s="149"/>
      <c r="F28" s="149"/>
      <c r="G28" s="149"/>
      <c r="H28" s="149"/>
      <c r="I28" s="149"/>
    </row>
    <row r="29" spans="1:26" x14ac:dyDescent="0.25">
      <c r="C29" s="149"/>
      <c r="D29" s="149"/>
      <c r="E29" s="149"/>
      <c r="F29" s="149"/>
      <c r="G29" s="149"/>
      <c r="H29" s="149"/>
      <c r="I29" s="149"/>
    </row>
    <row r="30" spans="1:26" x14ac:dyDescent="0.25">
      <c r="C30" s="149"/>
      <c r="D30" s="149"/>
      <c r="E30" s="149"/>
      <c r="F30" s="149"/>
      <c r="G30" s="149"/>
      <c r="H30" s="149"/>
      <c r="I30" s="149"/>
    </row>
    <row r="31" spans="1:26" x14ac:dyDescent="0.25">
      <c r="C31" s="149"/>
      <c r="D31" s="149"/>
      <c r="E31" s="149"/>
      <c r="F31" s="149"/>
      <c r="G31" s="149"/>
      <c r="H31" s="149"/>
      <c r="I31" s="149"/>
    </row>
    <row r="32" spans="1:26" x14ac:dyDescent="0.25">
      <c r="C32" s="149"/>
      <c r="D32" s="149"/>
      <c r="E32" s="149"/>
      <c r="F32" s="149"/>
      <c r="G32" s="149"/>
      <c r="H32" s="149"/>
      <c r="I32" s="149"/>
    </row>
    <row r="33" spans="3:9" x14ac:dyDescent="0.25">
      <c r="C33" s="149"/>
      <c r="D33" s="149"/>
      <c r="E33" s="149"/>
      <c r="F33" s="149"/>
      <c r="G33" s="149"/>
      <c r="H33" s="149"/>
      <c r="I33" s="149"/>
    </row>
    <row r="34" spans="3:9" x14ac:dyDescent="0.25">
      <c r="C34" s="149"/>
      <c r="D34" s="149"/>
      <c r="E34" s="149"/>
      <c r="F34" s="149"/>
      <c r="G34" s="149"/>
      <c r="H34" s="149"/>
      <c r="I34" s="149"/>
    </row>
    <row r="35" spans="3:9" x14ac:dyDescent="0.25">
      <c r="C35" s="149"/>
      <c r="D35" s="149"/>
      <c r="E35" s="149"/>
      <c r="F35" s="149"/>
      <c r="G35" s="149"/>
      <c r="H35" s="149"/>
      <c r="I35" s="149"/>
    </row>
    <row r="36" spans="3:9" x14ac:dyDescent="0.25">
      <c r="C36" s="149"/>
      <c r="D36" s="149"/>
      <c r="E36" s="149"/>
      <c r="F36" s="149"/>
      <c r="G36" s="149"/>
      <c r="H36" s="149"/>
      <c r="I36" s="149"/>
    </row>
    <row r="37" spans="3:9" x14ac:dyDescent="0.25">
      <c r="C37" s="149"/>
      <c r="D37" s="149"/>
      <c r="E37" s="149"/>
      <c r="F37" s="149"/>
      <c r="G37" s="149"/>
      <c r="H37" s="149"/>
      <c r="I37" s="149"/>
    </row>
    <row r="38" spans="3:9" x14ac:dyDescent="0.25">
      <c r="C38" s="149"/>
      <c r="D38" s="149"/>
      <c r="E38" s="149"/>
      <c r="F38" s="149"/>
      <c r="G38" s="149"/>
      <c r="H38" s="149"/>
      <c r="I38" s="149"/>
    </row>
    <row r="39" spans="3:9" x14ac:dyDescent="0.25">
      <c r="C39" s="149"/>
      <c r="D39" s="149"/>
      <c r="E39" s="149"/>
      <c r="F39" s="149"/>
      <c r="G39" s="149"/>
      <c r="H39" s="149"/>
      <c r="I39" s="149"/>
    </row>
    <row r="40" spans="3:9" x14ac:dyDescent="0.25">
      <c r="C40" s="149"/>
      <c r="D40" s="149"/>
      <c r="E40" s="149"/>
      <c r="F40" s="149"/>
      <c r="G40" s="149"/>
      <c r="H40" s="149"/>
      <c r="I40" s="149"/>
    </row>
    <row r="41" spans="3:9" x14ac:dyDescent="0.25">
      <c r="C41" s="149"/>
      <c r="D41" s="149"/>
      <c r="E41" s="149"/>
      <c r="F41" s="149"/>
      <c r="G41" s="149"/>
      <c r="H41" s="149"/>
      <c r="I41" s="149"/>
    </row>
    <row r="42" spans="3:9" x14ac:dyDescent="0.25">
      <c r="C42" s="149"/>
      <c r="D42" s="149"/>
      <c r="E42" s="149"/>
      <c r="F42" s="149"/>
      <c r="G42" s="149"/>
      <c r="H42" s="149"/>
      <c r="I42" s="149"/>
    </row>
    <row r="43" spans="3:9" x14ac:dyDescent="0.25">
      <c r="C43" s="149"/>
      <c r="D43" s="149"/>
      <c r="E43" s="149"/>
      <c r="F43" s="149"/>
      <c r="G43" s="149"/>
      <c r="H43" s="149"/>
      <c r="I43" s="149"/>
    </row>
    <row r="44" spans="3:9" x14ac:dyDescent="0.25">
      <c r="C44" s="149"/>
      <c r="D44" s="149"/>
      <c r="E44" s="149"/>
      <c r="F44" s="149"/>
      <c r="G44" s="149"/>
      <c r="H44" s="149"/>
      <c r="I44" s="149"/>
    </row>
    <row r="45" spans="3:9" x14ac:dyDescent="0.25">
      <c r="C45" s="149"/>
      <c r="D45" s="149"/>
      <c r="E45" s="149"/>
      <c r="F45" s="149"/>
      <c r="G45" s="149"/>
      <c r="H45" s="149"/>
      <c r="I45" s="149"/>
    </row>
    <row r="46" spans="3:9" x14ac:dyDescent="0.25">
      <c r="C46" s="149"/>
      <c r="D46" s="149"/>
      <c r="E46" s="149"/>
      <c r="F46" s="149"/>
      <c r="G46" s="149"/>
      <c r="H46" s="149"/>
      <c r="I46" s="149"/>
    </row>
    <row r="47" spans="3:9" x14ac:dyDescent="0.25">
      <c r="C47" s="149"/>
      <c r="D47" s="149"/>
      <c r="E47" s="149"/>
      <c r="F47" s="149"/>
      <c r="G47" s="149"/>
      <c r="H47" s="149"/>
      <c r="I47" s="149"/>
    </row>
    <row r="48" spans="3:9" x14ac:dyDescent="0.25">
      <c r="C48" s="149"/>
      <c r="D48" s="149"/>
      <c r="E48" s="149"/>
      <c r="F48" s="149"/>
      <c r="G48" s="149"/>
      <c r="H48" s="149"/>
      <c r="I48" s="149"/>
    </row>
    <row r="49" spans="3:9" x14ac:dyDescent="0.25">
      <c r="C49" s="149"/>
      <c r="D49" s="149"/>
      <c r="E49" s="149"/>
      <c r="F49" s="149"/>
      <c r="G49" s="149"/>
      <c r="H49" s="149"/>
      <c r="I49" s="149"/>
    </row>
    <row r="50" spans="3:9" x14ac:dyDescent="0.25">
      <c r="C50" s="149"/>
      <c r="D50" s="149"/>
      <c r="E50" s="149"/>
      <c r="F50" s="149"/>
      <c r="G50" s="149"/>
      <c r="H50" s="149"/>
      <c r="I50" s="149"/>
    </row>
  </sheetData>
  <mergeCells count="3">
    <mergeCell ref="A13:G13"/>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1"/>
  <sheetViews>
    <sheetView showGridLines="0" topLeftCell="B38" workbookViewId="0">
      <selection activeCell="F65" sqref="F65"/>
    </sheetView>
  </sheetViews>
  <sheetFormatPr defaultColWidth="9.140625" defaultRowHeight="15" x14ac:dyDescent="0.2"/>
  <cols>
    <col min="1" max="1" width="10.7109375" style="2" customWidth="1"/>
    <col min="2" max="2" width="13.7109375" style="2" customWidth="1"/>
    <col min="3" max="3" width="46.42578125" style="2" customWidth="1"/>
    <col min="4" max="4" width="3.5703125" style="2" customWidth="1"/>
    <col min="5" max="5" width="27.5703125" style="2" customWidth="1"/>
    <col min="6" max="6" width="39.140625" style="2" bestFit="1" customWidth="1"/>
    <col min="7" max="7" width="6.42578125" style="2" bestFit="1" customWidth="1"/>
    <col min="8" max="8" width="15.5703125" style="2" bestFit="1" customWidth="1"/>
    <col min="9" max="15" width="9.140625" style="2" customWidth="1"/>
    <col min="16" max="16" width="3.5703125" style="2" customWidth="1"/>
    <col min="17" max="16384" width="9.140625" style="2"/>
  </cols>
  <sheetData>
    <row r="1" spans="1:6" x14ac:dyDescent="0.2">
      <c r="A1" s="1"/>
      <c r="B1" s="1"/>
      <c r="C1" s="1"/>
      <c r="D1" s="1"/>
      <c r="E1" s="1"/>
      <c r="F1" s="1"/>
    </row>
    <row r="2" spans="1:6" s="1" customFormat="1" ht="18" x14ac:dyDescent="0.25">
      <c r="C2" s="3"/>
    </row>
    <row r="3" spans="1:6" s="1" customFormat="1" ht="18" x14ac:dyDescent="0.25">
      <c r="C3" s="3"/>
    </row>
    <row r="4" spans="1:6" s="1" customFormat="1" ht="18" x14ac:dyDescent="0.25">
      <c r="C4" s="3"/>
    </row>
    <row r="5" spans="1:6" s="1" customFormat="1" ht="18" x14ac:dyDescent="0.25">
      <c r="C5" s="3"/>
    </row>
    <row r="6" spans="1:6" s="1" customFormat="1" x14ac:dyDescent="0.2"/>
    <row r="7" spans="1:6" s="1" customFormat="1" x14ac:dyDescent="0.2"/>
    <row r="8" spans="1:6" s="1" customFormat="1" ht="27.75" customHeight="1" x14ac:dyDescent="0.25">
      <c r="A8" s="4" t="s">
        <v>0</v>
      </c>
    </row>
    <row r="9" spans="1:6" s="1" customFormat="1" ht="23.25" x14ac:dyDescent="0.2">
      <c r="C9" s="397" t="str">
        <f>IF('1. Information Sheet'!F26 = "COS", "Preliminary Threshold Calculation", "Final Threshold Calculation")</f>
        <v>Final Threshold Calculation</v>
      </c>
      <c r="D9" s="397"/>
      <c r="E9" s="397"/>
    </row>
    <row r="10" spans="1:6" s="1" customFormat="1" ht="26.25" x14ac:dyDescent="0.4">
      <c r="C10" s="5"/>
    </row>
    <row r="11" spans="1:6" s="1" customFormat="1" x14ac:dyDescent="0.2"/>
    <row r="12" spans="1:6" s="1" customFormat="1" x14ac:dyDescent="0.2"/>
    <row r="13" spans="1:6" s="1" customFormat="1" ht="15.75" x14ac:dyDescent="0.25">
      <c r="C13" s="6" t="s">
        <v>1</v>
      </c>
      <c r="E13" s="287">
        <f>+'1. Information Sheet'!K26</f>
        <v>2019</v>
      </c>
    </row>
    <row r="14" spans="1:6" s="1" customFormat="1" ht="15.75" x14ac:dyDescent="0.25">
      <c r="C14" s="6" t="s">
        <v>2</v>
      </c>
      <c r="E14" s="287">
        <f>+'1. Information Sheet'!F28</f>
        <v>5</v>
      </c>
      <c r="F14" s="4"/>
    </row>
    <row r="15" spans="1:6" s="1" customFormat="1" x14ac:dyDescent="0.2">
      <c r="E15" s="7"/>
    </row>
    <row r="16" spans="1:6" s="1" customFormat="1" ht="15.75" x14ac:dyDescent="0.25">
      <c r="C16" s="8" t="s">
        <v>3</v>
      </c>
      <c r="D16" s="9"/>
      <c r="E16" s="10">
        <f>+'1. Information Sheet'!F44</f>
        <v>1.0500000000000001E-2</v>
      </c>
      <c r="F16" s="4"/>
    </row>
    <row r="17" spans="3:6" s="1" customFormat="1" ht="15.75" x14ac:dyDescent="0.25">
      <c r="C17" s="6" t="s">
        <v>4</v>
      </c>
    </row>
    <row r="18" spans="3:6" s="1" customFormat="1" ht="15.75" x14ac:dyDescent="0.25">
      <c r="C18" s="11" t="str">
        <f>'1. Information Sheet'!F46</f>
        <v>2017 Actual Distribution Revenues</v>
      </c>
      <c r="E18" s="12">
        <f>'5. Growth Factor - NUM_CALC2'!N24</f>
        <v>30263644.849999998</v>
      </c>
      <c r="F18" s="6"/>
    </row>
    <row r="19" spans="3:6" s="1" customFormat="1" ht="15.75" x14ac:dyDescent="0.25">
      <c r="C19" s="286" t="str">
        <f>+'1. Information Sheet'!F47:F47</f>
        <v>2014 Board-Approved Distribution Revenues</v>
      </c>
      <c r="E19" s="12">
        <f>'7. Growth Factor - DEN_CALC1'!N24</f>
        <v>30922883.985255934</v>
      </c>
      <c r="F19" s="6"/>
    </row>
    <row r="20" spans="3:6" s="1" customFormat="1" ht="15.75" x14ac:dyDescent="0.25">
      <c r="C20" s="8" t="s">
        <v>5</v>
      </c>
      <c r="D20" s="9"/>
      <c r="E20" s="10">
        <f>IF(ISERROR(E18/E19-1),0,(E18/E19-1)/('1. Information Sheet'!I46-'1. Information Sheet'!I47))</f>
        <v>-7.1062705057982622E-3</v>
      </c>
      <c r="F20" s="4"/>
    </row>
    <row r="21" spans="3:6" s="1" customFormat="1" ht="15.75" x14ac:dyDescent="0.25">
      <c r="C21" s="8" t="s">
        <v>6</v>
      </c>
      <c r="D21" s="9"/>
      <c r="E21" s="13">
        <v>0.1</v>
      </c>
      <c r="F21" s="6"/>
    </row>
    <row r="22" spans="3:6" s="1" customFormat="1" ht="15.75" x14ac:dyDescent="0.25">
      <c r="C22" s="6" t="s">
        <v>7</v>
      </c>
      <c r="E22" s="7"/>
    </row>
    <row r="23" spans="3:6" s="1" customFormat="1" x14ac:dyDescent="0.2">
      <c r="C23" s="1" t="s">
        <v>8</v>
      </c>
      <c r="E23" s="14">
        <f>'6. Rev_Requ_Check'!C10</f>
        <v>242255337</v>
      </c>
    </row>
    <row r="24" spans="3:6" s="1" customFormat="1" x14ac:dyDescent="0.2">
      <c r="C24" s="15" t="s">
        <v>9</v>
      </c>
      <c r="E24" s="14">
        <f>'6. Rev_Requ_Check'!C11</f>
        <v>0</v>
      </c>
    </row>
    <row r="25" spans="3:6" s="1" customFormat="1" x14ac:dyDescent="0.2">
      <c r="C25" s="15" t="s">
        <v>10</v>
      </c>
      <c r="E25" s="14">
        <f>'6. Rev_Requ_Check'!C12</f>
        <v>7730045</v>
      </c>
    </row>
    <row r="26" spans="3:6" s="1" customFormat="1" x14ac:dyDescent="0.2">
      <c r="C26" s="15" t="s">
        <v>11</v>
      </c>
      <c r="E26" s="14">
        <f>'6. Rev_Requ_Check'!C13</f>
        <v>0</v>
      </c>
    </row>
    <row r="27" spans="3:6" s="1" customFormat="1" x14ac:dyDescent="0.2">
      <c r="C27" s="15" t="s">
        <v>12</v>
      </c>
      <c r="E27" s="14">
        <f>'6. Rev_Requ_Check'!C14</f>
        <v>0</v>
      </c>
    </row>
    <row r="28" spans="3:6" s="1" customFormat="1" x14ac:dyDescent="0.2">
      <c r="C28" s="15" t="s">
        <v>13</v>
      </c>
      <c r="E28" s="14">
        <f>'6. Rev_Requ_Check'!C15</f>
        <v>0</v>
      </c>
    </row>
    <row r="29" spans="3:6" s="1" customFormat="1" x14ac:dyDescent="0.2">
      <c r="C29" s="1" t="s">
        <v>14</v>
      </c>
      <c r="E29" s="14">
        <f>'6. Rev_Requ_Check'!C16</f>
        <v>249985382</v>
      </c>
    </row>
    <row r="30" spans="3:6" s="1" customFormat="1" x14ac:dyDescent="0.2">
      <c r="E30" s="14"/>
    </row>
    <row r="31" spans="3:6" s="1" customFormat="1" x14ac:dyDescent="0.2">
      <c r="C31" s="1" t="s">
        <v>15</v>
      </c>
      <c r="E31" s="16">
        <f>(E23+E29)/2</f>
        <v>246120359.5</v>
      </c>
    </row>
    <row r="32" spans="3:6" s="1" customFormat="1" x14ac:dyDescent="0.2">
      <c r="E32" s="14"/>
    </row>
    <row r="33" spans="3:6" s="1" customFormat="1" x14ac:dyDescent="0.2">
      <c r="C33" s="15" t="s">
        <v>16</v>
      </c>
      <c r="E33" s="14">
        <f>'6. Rev_Requ_Check'!C19</f>
        <v>139112890</v>
      </c>
    </row>
    <row r="34" spans="3:6" s="1" customFormat="1" ht="15.75" x14ac:dyDescent="0.25">
      <c r="C34" s="17" t="s">
        <v>17</v>
      </c>
      <c r="E34" s="14">
        <f>'6. Rev_Requ_Check'!C20</f>
        <v>4510060</v>
      </c>
      <c r="F34" s="6"/>
    </row>
    <row r="35" spans="3:6" s="1" customFormat="1" x14ac:dyDescent="0.2">
      <c r="C35" s="17" t="s">
        <v>18</v>
      </c>
      <c r="E35" s="14">
        <f>'6. Rev_Requ_Check'!C21</f>
        <v>0</v>
      </c>
    </row>
    <row r="36" spans="3:6" s="1" customFormat="1" x14ac:dyDescent="0.2">
      <c r="C36" s="17" t="s">
        <v>19</v>
      </c>
      <c r="E36" s="14">
        <f>'6. Rev_Requ_Check'!C22</f>
        <v>0</v>
      </c>
    </row>
    <row r="37" spans="3:6" s="1" customFormat="1" x14ac:dyDescent="0.2">
      <c r="C37" s="15" t="s">
        <v>20</v>
      </c>
      <c r="E37" s="14">
        <f>'6. Rev_Requ_Check'!C23</f>
        <v>143622950</v>
      </c>
    </row>
    <row r="38" spans="3:6" s="1" customFormat="1" x14ac:dyDescent="0.2">
      <c r="C38" s="15"/>
      <c r="E38" s="14"/>
    </row>
    <row r="39" spans="3:6" s="1" customFormat="1" x14ac:dyDescent="0.2">
      <c r="C39" s="1" t="s">
        <v>21</v>
      </c>
      <c r="E39" s="16">
        <f>(E33+E37)/2</f>
        <v>141367920</v>
      </c>
    </row>
    <row r="40" spans="3:6" s="1" customFormat="1" x14ac:dyDescent="0.2">
      <c r="E40" s="14"/>
    </row>
    <row r="41" spans="3:6" s="1" customFormat="1" ht="15.75" x14ac:dyDescent="0.25">
      <c r="C41" s="6" t="s">
        <v>22</v>
      </c>
      <c r="E41" s="16">
        <f>E31-E39</f>
        <v>104752439.5</v>
      </c>
      <c r="F41" s="6"/>
    </row>
    <row r="42" spans="3:6" s="1" customFormat="1" x14ac:dyDescent="0.2">
      <c r="E42" s="18"/>
    </row>
    <row r="43" spans="3:6" s="1" customFormat="1" x14ac:dyDescent="0.2">
      <c r="E43" s="18"/>
    </row>
    <row r="44" spans="3:6" s="1" customFormat="1" ht="15.75" x14ac:dyDescent="0.25">
      <c r="C44" s="6" t="s">
        <v>23</v>
      </c>
      <c r="E44" s="18"/>
    </row>
    <row r="45" spans="3:6" s="1" customFormat="1" x14ac:dyDescent="0.2">
      <c r="C45" s="15" t="s">
        <v>24</v>
      </c>
      <c r="E45" s="14">
        <f>'6. Rev_Requ_Check'!C29</f>
        <v>208278793</v>
      </c>
    </row>
    <row r="46" spans="3:6" s="1" customFormat="1" x14ac:dyDescent="0.2">
      <c r="C46" s="15" t="s">
        <v>25</v>
      </c>
      <c r="E46" s="29">
        <f>'6. Rev_Requ_Check'!C30</f>
        <v>0.13</v>
      </c>
    </row>
    <row r="47" spans="3:6" s="1" customFormat="1" ht="15.75" x14ac:dyDescent="0.25">
      <c r="C47" s="6" t="s">
        <v>23</v>
      </c>
      <c r="E47" s="16">
        <f>E45*E46</f>
        <v>27076243.09</v>
      </c>
      <c r="F47" s="6"/>
    </row>
    <row r="48" spans="3:6" s="1" customFormat="1" x14ac:dyDescent="0.2">
      <c r="E48" s="18"/>
    </row>
    <row r="49" spans="3:6" s="1" customFormat="1" ht="16.5" thickBot="1" x14ac:dyDescent="0.3">
      <c r="C49" s="6" t="s">
        <v>26</v>
      </c>
      <c r="E49" s="19">
        <f>E41+E47</f>
        <v>131828682.59</v>
      </c>
      <c r="F49" s="4"/>
    </row>
    <row r="50" spans="3:6" s="1" customFormat="1" x14ac:dyDescent="0.2">
      <c r="E50" s="18"/>
      <c r="F50" s="15"/>
    </row>
    <row r="51" spans="3:6" s="1" customFormat="1" ht="15.75" x14ac:dyDescent="0.25">
      <c r="C51" s="6" t="s">
        <v>27</v>
      </c>
      <c r="D51" s="20"/>
      <c r="E51" s="21">
        <f>E34</f>
        <v>4510060</v>
      </c>
      <c r="F51" s="4"/>
    </row>
    <row r="52" spans="3:6" s="1" customFormat="1" x14ac:dyDescent="0.2">
      <c r="E52" s="18"/>
    </row>
    <row r="53" spans="3:6" s="1" customFormat="1" ht="15.75" x14ac:dyDescent="0.25">
      <c r="C53" s="6" t="s">
        <v>28</v>
      </c>
      <c r="E53" s="22"/>
      <c r="F53" s="23"/>
    </row>
    <row r="54" spans="3:6" s="1" customFormat="1" ht="15.75" x14ac:dyDescent="0.25">
      <c r="C54" s="24" t="s">
        <v>32</v>
      </c>
      <c r="E54" s="30">
        <f>IF(ISERROR(1+((RB/d)*(g+PCI*(1+g)))*((1+g)*(1+PCI))^(1-1) + 10%), 0, 1+((RB/d)*(g+PCI*(1+g)))*((1+g)*(1+PCI))^(1-1) + 10%)</f>
        <v>1.1970174189165805</v>
      </c>
      <c r="F54" s="6"/>
    </row>
    <row r="55" spans="3:6" s="1" customFormat="1" ht="15.75" x14ac:dyDescent="0.25">
      <c r="C55" s="24" t="s">
        <v>33</v>
      </c>
      <c r="E55" s="30">
        <f>IF(ISERROR(1+((RB/d)*(g+PCI*(1+g)))*((1+g)*(1+PCI))^(2-1) + 10%), 0, 1+((RB/d)*(g+PCI*(1+g)))*((1+g)*(1+PCI))^(2-1) + 10%)</f>
        <v>1.1973394307563718</v>
      </c>
      <c r="F55" s="6"/>
    </row>
    <row r="56" spans="3:6" s="1" customFormat="1" ht="15.75" x14ac:dyDescent="0.25">
      <c r="C56" s="24" t="s">
        <v>34</v>
      </c>
      <c r="E56" s="30">
        <f>IF(ISERROR(1+((RB/d)*(g+PCI*(1+g)))*((1+g)*(1+PCI))^(3-1) + 10%), 0, 1+((RB/d)*(g+PCI*(1+g)))*((1+g)*(1+PCI))^(3-1) + 10%)</f>
        <v>1.1976625113900572</v>
      </c>
    </row>
    <row r="57" spans="3:6" s="1" customFormat="1" ht="15.75" x14ac:dyDescent="0.25">
      <c r="C57" s="24" t="s">
        <v>35</v>
      </c>
      <c r="E57" s="30">
        <f>IF(ISERROR(1+((RB/d)*(g+PCI*(1+g)))*((1+g)*(1+PCI))^(4-1) + 10%), 0, 1+((RB/d)*(g+PCI*(1+g)))*((1+g)*(1+PCI))^(4-1) + 10%)</f>
        <v>1.1979866643650852</v>
      </c>
    </row>
    <row r="58" spans="3:6" s="1" customFormat="1" ht="15.75" x14ac:dyDescent="0.25">
      <c r="C58" s="31" t="s">
        <v>316</v>
      </c>
      <c r="D58" s="28"/>
      <c r="E58" s="32">
        <f>IF(ISERROR(1+((RB/d)*(g+PCI*(1+g)))*((1+g)*(1+PCI))^(5-1) + 10%), 0, 1+((RB/d)*(g+PCI*(1+g)))*((1+g)*(1+PCI))^(5-1) + 10%)</f>
        <v>1.1983118932406787</v>
      </c>
    </row>
    <row r="59" spans="3:6" s="1" customFormat="1" ht="15.75" x14ac:dyDescent="0.25">
      <c r="C59" s="6"/>
      <c r="E59" s="18"/>
    </row>
    <row r="60" spans="3:6" s="1" customFormat="1" ht="15.75" x14ac:dyDescent="0.25">
      <c r="C60" s="6" t="s">
        <v>29</v>
      </c>
      <c r="E60" s="25"/>
      <c r="F60" s="23"/>
    </row>
    <row r="61" spans="3:6" s="1" customFormat="1" ht="15.75" x14ac:dyDescent="0.25">
      <c r="C61" s="1" t="str">
        <f>C54</f>
        <v xml:space="preserve">    Price Cap IR Year 2015</v>
      </c>
      <c r="E61" s="26">
        <f>IF(ISERROR(d*E54), "", d*E54)</f>
        <v>5398620.380358913</v>
      </c>
    </row>
    <row r="62" spans="3:6" s="1" customFormat="1" ht="15.75" x14ac:dyDescent="0.25">
      <c r="C62" s="1" t="str">
        <f>C55</f>
        <v xml:space="preserve">    Price Cap IR Year 2016</v>
      </c>
      <c r="E62" s="26">
        <f>IF(ISERROR(d*E55), "", d*E55)</f>
        <v>5400072.6730770823</v>
      </c>
    </row>
    <row r="63" spans="3:6" s="1" customFormat="1" ht="15.75" x14ac:dyDescent="0.25">
      <c r="C63" s="1" t="str">
        <f>C56</f>
        <v xml:space="preserve">    Price Cap IR Year 2017</v>
      </c>
      <c r="E63" s="26">
        <f>IF(ISERROR(d*E56), "", d*E56)</f>
        <v>5401529.786119841</v>
      </c>
    </row>
    <row r="64" spans="3:6" s="1" customFormat="1" ht="15.75" x14ac:dyDescent="0.25">
      <c r="C64" s="1" t="str">
        <f>C57</f>
        <v xml:space="preserve">    Price Cap IR Year 2018</v>
      </c>
      <c r="E64" s="26">
        <f>IF(ISERROR(d*E57), "", d*E57)</f>
        <v>5402991.7354863957</v>
      </c>
    </row>
    <row r="65" spans="2:6" s="1" customFormat="1" ht="15.75" x14ac:dyDescent="0.25">
      <c r="C65" s="28" t="str">
        <f>C58</f>
        <v xml:space="preserve">    Price Cap IR Year 2019</v>
      </c>
      <c r="D65" s="28"/>
      <c r="E65" s="33">
        <f>IF(ISERROR(d*E58), "", d*E58)</f>
        <v>5404458.5372290555</v>
      </c>
    </row>
    <row r="66" spans="2:6" s="1" customFormat="1" x14ac:dyDescent="0.2"/>
    <row r="67" spans="2:6" s="1" customFormat="1" x14ac:dyDescent="0.2"/>
    <row r="68" spans="2:6" s="1" customFormat="1" x14ac:dyDescent="0.2"/>
    <row r="69" spans="2:6" s="1" customFormat="1" ht="15" customHeight="1" x14ac:dyDescent="0.2">
      <c r="B69" s="27" t="s">
        <v>30</v>
      </c>
      <c r="C69" s="398" t="s">
        <v>31</v>
      </c>
      <c r="D69" s="398"/>
      <c r="E69" s="398"/>
      <c r="F69" s="398"/>
    </row>
    <row r="70" spans="2:6" s="1" customFormat="1" x14ac:dyDescent="0.2">
      <c r="C70" s="398"/>
      <c r="D70" s="398"/>
      <c r="E70" s="398"/>
      <c r="F70" s="398"/>
    </row>
    <row r="71" spans="2:6" s="1" customFormat="1" x14ac:dyDescent="0.2">
      <c r="C71" s="398"/>
      <c r="D71" s="398"/>
      <c r="E71" s="398"/>
      <c r="F71" s="398"/>
    </row>
    <row r="72" spans="2:6" s="1" customFormat="1" x14ac:dyDescent="0.2"/>
    <row r="73" spans="2:6" s="1" customFormat="1" x14ac:dyDescent="0.2"/>
    <row r="74" spans="2:6" s="1" customFormat="1" x14ac:dyDescent="0.2"/>
    <row r="75" spans="2:6" s="1" customFormat="1" x14ac:dyDescent="0.2"/>
    <row r="76" spans="2:6" s="1" customFormat="1" x14ac:dyDescent="0.2"/>
    <row r="77" spans="2:6" s="1" customFormat="1" x14ac:dyDescent="0.2"/>
    <row r="78" spans="2:6" s="1" customFormat="1" x14ac:dyDescent="0.2"/>
    <row r="79" spans="2:6" s="1" customFormat="1" x14ac:dyDescent="0.2"/>
    <row r="80" spans="2:6" s="1" customFormat="1" x14ac:dyDescent="0.2"/>
    <row r="81" s="1" customFormat="1" x14ac:dyDescent="0.2"/>
  </sheetData>
  <mergeCells count="2">
    <mergeCell ref="C9:E9"/>
    <mergeCell ref="C69:F71"/>
  </mergeCells>
  <pageMargins left="0.70866141732283472" right="0.70866141732283472" top="0.74803149606299213" bottom="0.74803149606299213" header="0.31496062992125984" footer="0.31496062992125984"/>
  <pageSetup scale="64" orientation="portrait" r:id="rId1"/>
  <headerFooter>
    <oddFooter>&amp;C&amp;A</oddFooter>
  </headerFooter>
  <ignoredErrors>
    <ignoredError sqref="E13:E14"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O80"/>
  <sheetViews>
    <sheetView showGridLines="0" topLeftCell="G17" workbookViewId="0">
      <selection activeCell="J36" sqref="J36"/>
    </sheetView>
  </sheetViews>
  <sheetFormatPr defaultRowHeight="15" x14ac:dyDescent="0.25"/>
  <cols>
    <col min="1" max="1" width="61.140625" customWidth="1"/>
    <col min="2" max="3" width="16.28515625" customWidth="1"/>
    <col min="4" max="4" width="20.7109375" bestFit="1" customWidth="1"/>
    <col min="5" max="5" width="20.7109375" customWidth="1"/>
    <col min="6" max="6" width="16.28515625" customWidth="1"/>
    <col min="7" max="7" width="20.7109375" bestFit="1" customWidth="1"/>
    <col min="8" max="8" width="20.7109375" customWidth="1"/>
    <col min="9" max="9" width="14.28515625" bestFit="1" customWidth="1"/>
    <col min="10" max="10" width="20.7109375" bestFit="1" customWidth="1"/>
    <col min="11" max="11" width="20.7109375" customWidth="1"/>
    <col min="12" max="12" width="14.28515625" bestFit="1" customWidth="1"/>
    <col min="13" max="13" width="20.7109375" bestFit="1" customWidth="1"/>
    <col min="14" max="14" width="20.7109375" customWidth="1"/>
    <col min="15" max="15" width="12.5703125" bestFit="1" customWidth="1"/>
  </cols>
  <sheetData>
    <row r="11" spans="1:7" ht="15.75" x14ac:dyDescent="0.25">
      <c r="A11" s="191" t="s">
        <v>222</v>
      </c>
    </row>
    <row r="12" spans="1:7" ht="15.75" x14ac:dyDescent="0.25">
      <c r="A12" s="191"/>
    </row>
    <row r="13" spans="1:7" x14ac:dyDescent="0.25">
      <c r="C13" s="192" t="s">
        <v>223</v>
      </c>
      <c r="D13" s="402" t="s">
        <v>62</v>
      </c>
      <c r="E13" s="402"/>
      <c r="F13" s="402"/>
      <c r="G13" s="402"/>
    </row>
    <row r="14" spans="1:7" x14ac:dyDescent="0.25">
      <c r="C14" s="193" t="s">
        <v>224</v>
      </c>
      <c r="D14" s="194" t="s">
        <v>225</v>
      </c>
      <c r="E14" s="193" t="s">
        <v>226</v>
      </c>
      <c r="F14" s="194" t="s">
        <v>227</v>
      </c>
      <c r="G14" s="193" t="s">
        <v>300</v>
      </c>
    </row>
    <row r="15" spans="1:7" x14ac:dyDescent="0.25">
      <c r="C15" s="193">
        <f>+'1. Information Sheet'!F32</f>
        <v>2014</v>
      </c>
      <c r="D15" s="194">
        <f>+C15+2</f>
        <v>2016</v>
      </c>
      <c r="E15" s="193">
        <f>D15+1</f>
        <v>2017</v>
      </c>
      <c r="F15" s="194">
        <f>E15+1</f>
        <v>2018</v>
      </c>
      <c r="G15" s="193">
        <f>F15+1</f>
        <v>2019</v>
      </c>
    </row>
    <row r="16" spans="1:7" x14ac:dyDescent="0.25">
      <c r="A16" s="195" t="s">
        <v>228</v>
      </c>
      <c r="B16" s="195"/>
      <c r="C16" s="196"/>
      <c r="D16" s="196"/>
      <c r="E16" s="196"/>
      <c r="F16" s="196">
        <f>+'[7]Table 24-ICM'!$I$10</f>
        <v>10488184</v>
      </c>
      <c r="G16" s="196">
        <f>+'[7]Table 24-ICM'!$J$10</f>
        <v>12726287</v>
      </c>
    </row>
    <row r="17" spans="1:8" x14ac:dyDescent="0.25">
      <c r="A17" s="195"/>
      <c r="B17" s="195"/>
    </row>
    <row r="18" spans="1:8" x14ac:dyDescent="0.25">
      <c r="A18" s="195" t="s">
        <v>229</v>
      </c>
      <c r="B18" s="195"/>
      <c r="C18" s="197"/>
      <c r="D18" s="198">
        <f>'9. Threshold Test'!E62</f>
        <v>5400072.6730770823</v>
      </c>
      <c r="E18" s="198">
        <f>'9. Threshold Test'!E63</f>
        <v>5401529.786119841</v>
      </c>
      <c r="F18" s="198">
        <f>'9. Threshold Test'!E64</f>
        <v>5402991.7354863957</v>
      </c>
      <c r="G18" s="198">
        <f>'9. Threshold Test'!E65</f>
        <v>5404458.5372290555</v>
      </c>
    </row>
    <row r="19" spans="1:8" x14ac:dyDescent="0.25">
      <c r="A19" s="148"/>
      <c r="B19" s="148"/>
    </row>
    <row r="20" spans="1:8" ht="30" x14ac:dyDescent="0.25">
      <c r="A20" s="199" t="s">
        <v>230</v>
      </c>
      <c r="B20" s="195"/>
      <c r="C20" s="200">
        <v>0</v>
      </c>
      <c r="D20" s="201">
        <f>IF(D18&gt;D16,0,D16-D18)</f>
        <v>0</v>
      </c>
      <c r="E20" s="201">
        <f>IF(E18&gt;E16,0,E16-E18)</f>
        <v>0</v>
      </c>
      <c r="F20" s="201">
        <f>IF(F18&gt;F16,0,F16-F18)</f>
        <v>5085192.2645136043</v>
      </c>
      <c r="G20" s="202">
        <f>IF(G18&gt;G16,0,G16-G18)</f>
        <v>7321828.4627709445</v>
      </c>
    </row>
    <row r="21" spans="1:8" x14ac:dyDescent="0.25">
      <c r="A21" s="148"/>
      <c r="B21" s="148"/>
    </row>
    <row r="22" spans="1:8" x14ac:dyDescent="0.25">
      <c r="A22" s="148" t="s">
        <v>231</v>
      </c>
      <c r="B22" s="193" t="s">
        <v>232</v>
      </c>
      <c r="C22" s="193" t="s">
        <v>224</v>
      </c>
      <c r="D22" s="194" t="str">
        <f t="shared" ref="D22:G23" si="0">D14</f>
        <v>Year 2</v>
      </c>
      <c r="E22" s="193" t="str">
        <f t="shared" si="0"/>
        <v>Year 3</v>
      </c>
      <c r="F22" s="194" t="str">
        <f t="shared" si="0"/>
        <v>Year 4</v>
      </c>
      <c r="G22" s="193" t="str">
        <f t="shared" si="0"/>
        <v>Year 5</v>
      </c>
      <c r="H22" s="193" t="s">
        <v>117</v>
      </c>
    </row>
    <row r="23" spans="1:8" x14ac:dyDescent="0.25">
      <c r="A23" s="148"/>
      <c r="B23" s="193"/>
      <c r="C23" s="193">
        <f>C15</f>
        <v>2014</v>
      </c>
      <c r="D23" s="194">
        <f t="shared" si="0"/>
        <v>2016</v>
      </c>
      <c r="E23" s="193">
        <f t="shared" si="0"/>
        <v>2017</v>
      </c>
      <c r="F23" s="194">
        <f t="shared" si="0"/>
        <v>2018</v>
      </c>
      <c r="G23" s="193">
        <f t="shared" si="0"/>
        <v>2019</v>
      </c>
      <c r="H23" s="193"/>
    </row>
    <row r="24" spans="1:8" x14ac:dyDescent="0.25">
      <c r="A24" s="203" t="s">
        <v>327</v>
      </c>
      <c r="B24" s="204" t="s">
        <v>307</v>
      </c>
      <c r="C24" s="197"/>
      <c r="D24" s="196"/>
      <c r="E24" s="196"/>
      <c r="F24" s="196">
        <v>0</v>
      </c>
      <c r="G24" s="196">
        <v>2500000</v>
      </c>
      <c r="H24" s="205">
        <f t="shared" ref="H24:H42" si="1">SUM(D24:G24)</f>
        <v>2500000</v>
      </c>
    </row>
    <row r="25" spans="1:8" x14ac:dyDescent="0.25">
      <c r="A25" s="203" t="s">
        <v>328</v>
      </c>
      <c r="B25" s="204" t="s">
        <v>307</v>
      </c>
      <c r="C25" s="197"/>
      <c r="D25" s="196"/>
      <c r="E25" s="196"/>
      <c r="F25" s="196">
        <v>1000000</v>
      </c>
      <c r="G25" s="196">
        <v>1000000</v>
      </c>
      <c r="H25" s="205">
        <f t="shared" si="1"/>
        <v>2000000</v>
      </c>
    </row>
    <row r="26" spans="1:8" x14ac:dyDescent="0.25">
      <c r="A26" s="203" t="s">
        <v>329</v>
      </c>
      <c r="B26" s="204" t="s">
        <v>307</v>
      </c>
      <c r="C26" s="197"/>
      <c r="D26" s="196"/>
      <c r="E26" s="196"/>
      <c r="F26" s="196">
        <v>0</v>
      </c>
      <c r="G26" s="196">
        <v>350000</v>
      </c>
      <c r="H26" s="205">
        <f t="shared" si="1"/>
        <v>350000</v>
      </c>
    </row>
    <row r="27" spans="1:8" x14ac:dyDescent="0.25">
      <c r="A27" s="203"/>
      <c r="B27" s="204"/>
      <c r="C27" s="197"/>
      <c r="D27" s="196"/>
      <c r="E27" s="196"/>
      <c r="F27" s="196"/>
      <c r="G27" s="196"/>
      <c r="H27" s="205">
        <f t="shared" si="1"/>
        <v>0</v>
      </c>
    </row>
    <row r="28" spans="1:8" hidden="1" x14ac:dyDescent="0.25">
      <c r="A28" s="203"/>
      <c r="B28" s="204"/>
      <c r="C28" s="197"/>
      <c r="D28" s="196"/>
      <c r="E28" s="196"/>
      <c r="F28" s="196"/>
      <c r="G28" s="196"/>
      <c r="H28" s="205">
        <f t="shared" si="1"/>
        <v>0</v>
      </c>
    </row>
    <row r="29" spans="1:8" x14ac:dyDescent="0.25">
      <c r="A29" s="203"/>
      <c r="B29" s="204"/>
      <c r="C29" s="197"/>
      <c r="D29" s="196"/>
      <c r="E29" s="196"/>
      <c r="F29" s="196"/>
      <c r="G29" s="196"/>
      <c r="H29" s="205">
        <f t="shared" si="1"/>
        <v>0</v>
      </c>
    </row>
    <row r="30" spans="1:8" x14ac:dyDescent="0.25">
      <c r="A30" s="203"/>
      <c r="B30" s="204"/>
      <c r="C30" s="197"/>
      <c r="D30" s="196"/>
      <c r="E30" s="196"/>
      <c r="F30" s="196"/>
      <c r="G30" s="196"/>
      <c r="H30" s="205">
        <f t="shared" si="1"/>
        <v>0</v>
      </c>
    </row>
    <row r="31" spans="1:8" x14ac:dyDescent="0.25">
      <c r="A31" s="203"/>
      <c r="B31" s="204"/>
      <c r="C31" s="197"/>
      <c r="D31" s="196"/>
      <c r="E31" s="196"/>
      <c r="F31" s="196"/>
      <c r="G31" s="196"/>
      <c r="H31" s="205">
        <f t="shared" si="1"/>
        <v>0</v>
      </c>
    </row>
    <row r="32" spans="1:8" x14ac:dyDescent="0.25">
      <c r="A32" s="203"/>
      <c r="B32" s="204"/>
      <c r="C32" s="197"/>
      <c r="D32" s="196"/>
      <c r="E32" s="196"/>
      <c r="F32" s="196"/>
      <c r="G32" s="196"/>
      <c r="H32" s="205">
        <f t="shared" si="1"/>
        <v>0</v>
      </c>
    </row>
    <row r="33" spans="1:15" x14ac:dyDescent="0.25">
      <c r="A33" s="203"/>
      <c r="B33" s="204"/>
      <c r="C33" s="197"/>
      <c r="D33" s="196"/>
      <c r="E33" s="196"/>
      <c r="F33" s="196"/>
      <c r="G33" s="196"/>
      <c r="H33" s="205">
        <f t="shared" si="1"/>
        <v>0</v>
      </c>
    </row>
    <row r="34" spans="1:15" x14ac:dyDescent="0.25">
      <c r="A34" s="203"/>
      <c r="B34" s="204"/>
      <c r="C34" s="197"/>
      <c r="D34" s="196"/>
      <c r="E34" s="196"/>
      <c r="F34" s="196"/>
      <c r="G34" s="196"/>
      <c r="H34" s="205">
        <f t="shared" si="1"/>
        <v>0</v>
      </c>
    </row>
    <row r="35" spans="1:15" x14ac:dyDescent="0.25">
      <c r="A35" s="203"/>
      <c r="B35" s="204"/>
      <c r="C35" s="197"/>
      <c r="D35" s="196"/>
      <c r="E35" s="196"/>
      <c r="F35" s="196"/>
      <c r="G35" s="196"/>
      <c r="H35" s="205">
        <f t="shared" si="1"/>
        <v>0</v>
      </c>
    </row>
    <row r="36" spans="1:15" x14ac:dyDescent="0.25">
      <c r="A36" s="203"/>
      <c r="B36" s="204"/>
      <c r="C36" s="197"/>
      <c r="D36" s="196"/>
      <c r="E36" s="196"/>
      <c r="F36" s="196"/>
      <c r="G36" s="196"/>
      <c r="H36" s="205">
        <f t="shared" si="1"/>
        <v>0</v>
      </c>
    </row>
    <row r="37" spans="1:15" x14ac:dyDescent="0.25">
      <c r="A37" s="206"/>
      <c r="B37" s="204"/>
      <c r="C37" s="197"/>
      <c r="D37" s="196"/>
      <c r="E37" s="196"/>
      <c r="F37" s="196"/>
      <c r="G37" s="196"/>
      <c r="H37" s="205">
        <f t="shared" si="1"/>
        <v>0</v>
      </c>
    </row>
    <row r="38" spans="1:15" x14ac:dyDescent="0.25">
      <c r="A38" s="206"/>
      <c r="B38" s="204"/>
      <c r="C38" s="197"/>
      <c r="D38" s="196"/>
      <c r="E38" s="196"/>
      <c r="F38" s="196"/>
      <c r="G38" s="196"/>
      <c r="H38" s="205">
        <f t="shared" si="1"/>
        <v>0</v>
      </c>
    </row>
    <row r="39" spans="1:15" x14ac:dyDescent="0.25">
      <c r="A39" s="206"/>
      <c r="B39" s="204"/>
      <c r="C39" s="197"/>
      <c r="D39" s="196"/>
      <c r="E39" s="196"/>
      <c r="F39" s="196"/>
      <c r="G39" s="196"/>
      <c r="H39" s="205">
        <f t="shared" si="1"/>
        <v>0</v>
      </c>
    </row>
    <row r="40" spans="1:15" x14ac:dyDescent="0.25">
      <c r="A40" s="206"/>
      <c r="B40" s="204"/>
      <c r="C40" s="197"/>
      <c r="D40" s="196"/>
      <c r="E40" s="196"/>
      <c r="F40" s="196"/>
      <c r="G40" s="196"/>
      <c r="H40" s="205">
        <f t="shared" si="1"/>
        <v>0</v>
      </c>
    </row>
    <row r="41" spans="1:15" x14ac:dyDescent="0.25">
      <c r="A41" s="206"/>
      <c r="B41" s="204"/>
      <c r="C41" s="197"/>
      <c r="D41" s="196"/>
      <c r="E41" s="196"/>
      <c r="F41" s="196"/>
      <c r="G41" s="196"/>
      <c r="H41" s="205">
        <f t="shared" si="1"/>
        <v>0</v>
      </c>
    </row>
    <row r="42" spans="1:15" x14ac:dyDescent="0.25">
      <c r="A42" s="207"/>
      <c r="B42" s="204"/>
      <c r="C42" s="197"/>
      <c r="D42" s="196"/>
      <c r="E42" s="196"/>
      <c r="F42" s="196"/>
      <c r="G42" s="196"/>
      <c r="H42" s="205">
        <f t="shared" si="1"/>
        <v>0</v>
      </c>
    </row>
    <row r="44" spans="1:15" x14ac:dyDescent="0.25">
      <c r="A44" s="195" t="s">
        <v>233</v>
      </c>
      <c r="B44" s="195"/>
      <c r="C44" s="198">
        <v>0</v>
      </c>
      <c r="D44" s="198">
        <f>SUM(D24:D42)</f>
        <v>0</v>
      </c>
      <c r="E44" s="198">
        <f>SUM(E24:E42)</f>
        <v>0</v>
      </c>
      <c r="F44" s="198">
        <f>SUM(F24:F42)</f>
        <v>1000000</v>
      </c>
      <c r="G44" s="198">
        <f>SUM(G24:G42)</f>
        <v>3850000</v>
      </c>
      <c r="H44" s="205">
        <f>SUM(D44:G44)</f>
        <v>4850000</v>
      </c>
    </row>
    <row r="45" spans="1:15" x14ac:dyDescent="0.25">
      <c r="A45" s="195"/>
      <c r="B45" s="195"/>
      <c r="C45" s="208"/>
      <c r="D45" s="208"/>
      <c r="E45" s="208"/>
      <c r="F45" s="208"/>
      <c r="G45" s="208"/>
      <c r="H45" s="209"/>
    </row>
    <row r="46" spans="1:15" x14ac:dyDescent="0.25">
      <c r="A46" s="195" t="s">
        <v>234</v>
      </c>
      <c r="B46" s="195"/>
      <c r="C46" s="198"/>
      <c r="D46" s="198">
        <f>MIN(D44,D20)</f>
        <v>0</v>
      </c>
      <c r="E46" s="198">
        <f>MIN(E44,E20)</f>
        <v>0</v>
      </c>
      <c r="F46" s="198">
        <f>MIN(F44,F20)</f>
        <v>1000000</v>
      </c>
      <c r="G46" s="198">
        <f>MIN(G44,G20)</f>
        <v>3850000</v>
      </c>
      <c r="H46" s="198">
        <f>SUM(D46:G46)</f>
        <v>4850000</v>
      </c>
    </row>
    <row r="48" spans="1:15" x14ac:dyDescent="0.25">
      <c r="D48" s="402" t="s">
        <v>62</v>
      </c>
      <c r="E48" s="402"/>
      <c r="F48" s="402"/>
      <c r="G48" s="402"/>
      <c r="H48" s="402"/>
      <c r="I48" s="402"/>
      <c r="J48" s="402"/>
      <c r="K48" s="402"/>
      <c r="L48" s="402"/>
      <c r="M48" s="402"/>
      <c r="N48" s="402"/>
      <c r="O48" s="402"/>
    </row>
    <row r="49" spans="1:15" x14ac:dyDescent="0.25">
      <c r="C49" s="193" t="s">
        <v>224</v>
      </c>
      <c r="D49" s="403" t="s">
        <v>225</v>
      </c>
      <c r="E49" s="403"/>
      <c r="F49" s="403"/>
      <c r="G49" s="404" t="s">
        <v>226</v>
      </c>
      <c r="H49" s="404"/>
      <c r="I49" s="404"/>
      <c r="J49" s="403" t="s">
        <v>227</v>
      </c>
      <c r="K49" s="403"/>
      <c r="L49" s="403"/>
      <c r="M49" s="405" t="s">
        <v>300</v>
      </c>
      <c r="N49" s="405"/>
      <c r="O49" s="405"/>
    </row>
    <row r="50" spans="1:15" x14ac:dyDescent="0.25">
      <c r="C50" s="193">
        <f>C15</f>
        <v>2014</v>
      </c>
      <c r="D50" s="194"/>
      <c r="E50" s="194">
        <f>D15</f>
        <v>2016</v>
      </c>
      <c r="F50" s="194"/>
      <c r="G50" s="193"/>
      <c r="H50" s="193">
        <f>E15</f>
        <v>2017</v>
      </c>
      <c r="I50" s="193"/>
      <c r="J50" s="194"/>
      <c r="K50" s="194">
        <f>F15</f>
        <v>2018</v>
      </c>
      <c r="L50" s="194"/>
      <c r="M50" s="210"/>
      <c r="N50" s="210">
        <f>G15</f>
        <v>2019</v>
      </c>
      <c r="O50" s="210"/>
    </row>
    <row r="51" spans="1:15" ht="15" customHeight="1" x14ac:dyDescent="0.25">
      <c r="A51" s="195" t="s">
        <v>228</v>
      </c>
      <c r="B51" s="399"/>
      <c r="C51" s="211">
        <f>C16</f>
        <v>0</v>
      </c>
      <c r="D51" s="212">
        <f>D16</f>
        <v>0</v>
      </c>
      <c r="G51" s="212">
        <f>E16</f>
        <v>0</v>
      </c>
      <c r="J51" s="212">
        <f>F16</f>
        <v>10488184</v>
      </c>
      <c r="M51" s="212">
        <f>G16</f>
        <v>12726287</v>
      </c>
    </row>
    <row r="52" spans="1:15" x14ac:dyDescent="0.25">
      <c r="A52" s="195"/>
      <c r="B52" s="399"/>
    </row>
    <row r="53" spans="1:15" x14ac:dyDescent="0.25">
      <c r="A53" s="195" t="s">
        <v>229</v>
      </c>
      <c r="B53" s="399"/>
      <c r="C53" s="197"/>
      <c r="D53" s="212">
        <f>D18</f>
        <v>5400072.6730770823</v>
      </c>
      <c r="G53" s="212">
        <f>E18</f>
        <v>5401529.786119841</v>
      </c>
      <c r="J53" s="212">
        <f>F18</f>
        <v>5402991.7354863957</v>
      </c>
      <c r="M53" s="212">
        <f>G18</f>
        <v>5404458.5372290555</v>
      </c>
    </row>
    <row r="54" spans="1:15" x14ac:dyDescent="0.25">
      <c r="A54" s="148"/>
      <c r="B54" s="399"/>
    </row>
    <row r="55" spans="1:15" ht="30" x14ac:dyDescent="0.25">
      <c r="A55" s="199" t="s">
        <v>230</v>
      </c>
      <c r="B55" s="195"/>
      <c r="C55" s="200">
        <v>0</v>
      </c>
      <c r="D55" s="212">
        <f>D20</f>
        <v>0</v>
      </c>
      <c r="G55" s="212">
        <f>E20</f>
        <v>0</v>
      </c>
      <c r="J55" s="212">
        <f>F20</f>
        <v>5085192.2645136043</v>
      </c>
      <c r="M55" s="212">
        <f>G20</f>
        <v>7321828.4627709445</v>
      </c>
    </row>
    <row r="56" spans="1:15" x14ac:dyDescent="0.25">
      <c r="A56" s="199"/>
      <c r="B56" s="195"/>
      <c r="C56" s="200"/>
      <c r="D56" s="213"/>
      <c r="G56" s="213"/>
      <c r="J56" s="213"/>
      <c r="M56" s="213"/>
    </row>
    <row r="57" spans="1:15" x14ac:dyDescent="0.25">
      <c r="A57" s="148"/>
      <c r="B57" s="148"/>
      <c r="C57" s="193" t="s">
        <v>224</v>
      </c>
      <c r="D57" s="400" t="s">
        <v>225</v>
      </c>
      <c r="E57" s="400"/>
      <c r="F57" s="400"/>
      <c r="G57" s="401" t="s">
        <v>226</v>
      </c>
      <c r="H57" s="401"/>
      <c r="I57" s="401"/>
      <c r="J57" s="400" t="s">
        <v>227</v>
      </c>
      <c r="K57" s="400"/>
      <c r="L57" s="400"/>
      <c r="M57" s="401" t="s">
        <v>300</v>
      </c>
      <c r="N57" s="401"/>
      <c r="O57" s="401"/>
    </row>
    <row r="58" spans="1:15" x14ac:dyDescent="0.25">
      <c r="A58" s="148"/>
      <c r="B58" s="148"/>
      <c r="C58" s="214">
        <f>C15</f>
        <v>2014</v>
      </c>
      <c r="D58" s="215"/>
      <c r="E58" s="215">
        <f>D15</f>
        <v>2016</v>
      </c>
      <c r="F58" s="215"/>
      <c r="G58" s="216"/>
      <c r="H58" s="216">
        <f>E15</f>
        <v>2017</v>
      </c>
      <c r="I58" s="216"/>
      <c r="J58" s="215"/>
      <c r="K58" s="215">
        <f>F15</f>
        <v>2018</v>
      </c>
      <c r="L58" s="215"/>
      <c r="M58" s="216"/>
      <c r="N58" s="216">
        <f>G15</f>
        <v>2019</v>
      </c>
      <c r="O58" s="216"/>
    </row>
    <row r="59" spans="1:15" x14ac:dyDescent="0.25">
      <c r="A59" s="148" t="s">
        <v>231</v>
      </c>
      <c r="B59" s="193" t="s">
        <v>232</v>
      </c>
      <c r="C59" s="193"/>
      <c r="D59" s="210" t="s">
        <v>235</v>
      </c>
      <c r="E59" s="193" t="s">
        <v>236</v>
      </c>
      <c r="F59" s="193" t="s">
        <v>237</v>
      </c>
      <c r="G59" s="210" t="s">
        <v>235</v>
      </c>
      <c r="H59" s="193" t="s">
        <v>236</v>
      </c>
      <c r="I59" s="193" t="s">
        <v>237</v>
      </c>
      <c r="J59" s="210" t="s">
        <v>235</v>
      </c>
      <c r="K59" s="193" t="s">
        <v>236</v>
      </c>
      <c r="L59" s="193" t="s">
        <v>237</v>
      </c>
      <c r="M59" s="210" t="s">
        <v>235</v>
      </c>
      <c r="N59" s="193" t="s">
        <v>236</v>
      </c>
      <c r="O59" s="193" t="s">
        <v>237</v>
      </c>
    </row>
    <row r="60" spans="1:15" x14ac:dyDescent="0.25">
      <c r="A60" s="217" t="str">
        <f t="shared" ref="A60:B63" si="2">IF(OR(A24="", A24=0), "", A24)</f>
        <v>Project 1: Tremaine TS - CCRA True-up</v>
      </c>
      <c r="B60" s="217" t="str">
        <f t="shared" si="2"/>
        <v>New ICM</v>
      </c>
      <c r="C60" s="197"/>
      <c r="D60" s="218">
        <f t="shared" ref="D60:D63" si="3">IF(OR(D24="", D24=0), 0, D24)</f>
        <v>0</v>
      </c>
      <c r="E60" s="196"/>
      <c r="F60" s="196"/>
      <c r="G60" s="218">
        <f t="shared" ref="G60:G63" si="4">IF(OR(E24="", E24=0), 0, E24)</f>
        <v>0</v>
      </c>
      <c r="H60" s="196"/>
      <c r="I60" s="196"/>
      <c r="J60" s="218">
        <f t="shared" ref="J60:J63" si="5">IF(OR(F24="", F24=0), 0, F24)</f>
        <v>0</v>
      </c>
      <c r="K60" s="196">
        <f t="shared" ref="K60:K61" si="6">+J60/60</f>
        <v>0</v>
      </c>
      <c r="L60" s="196">
        <f t="shared" ref="L60:L61" si="7">+J60*0.07</f>
        <v>0</v>
      </c>
      <c r="M60" s="218">
        <f t="shared" ref="M60:M63" si="8">IF(OR(G24="", G24=0), 0, G24)</f>
        <v>2500000</v>
      </c>
      <c r="N60" s="196">
        <f>+M60/60</f>
        <v>41666.666666666664</v>
      </c>
      <c r="O60" s="196">
        <f>+M60*0.07</f>
        <v>175000.00000000003</v>
      </c>
    </row>
    <row r="61" spans="1:15" x14ac:dyDescent="0.25">
      <c r="A61" s="217" t="str">
        <f t="shared" si="2"/>
        <v>Project 2: Tremaine TS - Additional Breaker Positions</v>
      </c>
      <c r="B61" s="217" t="str">
        <f t="shared" si="2"/>
        <v>New ICM</v>
      </c>
      <c r="C61" s="197"/>
      <c r="D61" s="218">
        <f t="shared" si="3"/>
        <v>0</v>
      </c>
      <c r="E61" s="196"/>
      <c r="F61" s="196"/>
      <c r="G61" s="218">
        <f t="shared" si="4"/>
        <v>0</v>
      </c>
      <c r="H61" s="196"/>
      <c r="I61" s="196"/>
      <c r="J61" s="218">
        <f t="shared" si="5"/>
        <v>1000000</v>
      </c>
      <c r="K61" s="196">
        <f t="shared" si="6"/>
        <v>16666.666666666668</v>
      </c>
      <c r="L61" s="196">
        <f t="shared" si="7"/>
        <v>70000</v>
      </c>
      <c r="M61" s="218">
        <f t="shared" si="8"/>
        <v>1000000</v>
      </c>
      <c r="N61" s="196">
        <f>+M61/60</f>
        <v>16666.666666666668</v>
      </c>
      <c r="O61" s="196">
        <f>+M61*0.07</f>
        <v>70000</v>
      </c>
    </row>
    <row r="62" spans="1:15" x14ac:dyDescent="0.25">
      <c r="A62" s="217" t="str">
        <f t="shared" si="2"/>
        <v>Project 3: Bronte TS - Additional Breaker Positions</v>
      </c>
      <c r="B62" s="217" t="str">
        <f t="shared" si="2"/>
        <v>New ICM</v>
      </c>
      <c r="C62" s="197"/>
      <c r="D62" s="218">
        <f t="shared" si="3"/>
        <v>0</v>
      </c>
      <c r="E62" s="196"/>
      <c r="F62" s="196"/>
      <c r="G62" s="218">
        <f t="shared" si="4"/>
        <v>0</v>
      </c>
      <c r="H62" s="196"/>
      <c r="I62" s="196"/>
      <c r="J62" s="218">
        <f t="shared" si="5"/>
        <v>0</v>
      </c>
      <c r="K62" s="196"/>
      <c r="L62" s="196"/>
      <c r="M62" s="218">
        <f t="shared" si="8"/>
        <v>350000</v>
      </c>
      <c r="N62" s="196">
        <f>+M62/60</f>
        <v>5833.333333333333</v>
      </c>
      <c r="O62" s="196">
        <f>+M62*0.07</f>
        <v>24500.000000000004</v>
      </c>
    </row>
    <row r="63" spans="1:15" x14ac:dyDescent="0.25">
      <c r="A63" s="217" t="str">
        <f t="shared" si="2"/>
        <v/>
      </c>
      <c r="B63" s="217" t="str">
        <f t="shared" si="2"/>
        <v/>
      </c>
      <c r="C63" s="197"/>
      <c r="D63" s="218">
        <f t="shared" si="3"/>
        <v>0</v>
      </c>
      <c r="E63" s="196"/>
      <c r="F63" s="196"/>
      <c r="G63" s="218">
        <f t="shared" si="4"/>
        <v>0</v>
      </c>
      <c r="H63" s="196"/>
      <c r="I63" s="196"/>
      <c r="J63" s="218">
        <f t="shared" si="5"/>
        <v>0</v>
      </c>
      <c r="K63" s="196"/>
      <c r="L63" s="196"/>
      <c r="M63" s="218">
        <f t="shared" si="8"/>
        <v>0</v>
      </c>
      <c r="N63" s="196">
        <f>+M63/5</f>
        <v>0</v>
      </c>
      <c r="O63" s="196">
        <f>+M63*0.55</f>
        <v>0</v>
      </c>
    </row>
    <row r="64" spans="1:15" x14ac:dyDescent="0.25">
      <c r="A64" s="217" t="str">
        <f t="shared" ref="A64:B77" si="9">IF(OR(A29="", A29=0), "", A29)</f>
        <v/>
      </c>
      <c r="B64" s="217" t="str">
        <f t="shared" si="9"/>
        <v/>
      </c>
      <c r="C64" s="197"/>
      <c r="D64" s="218">
        <f t="shared" ref="D64:D77" si="10">IF(OR(D29="", D29=0), 0, D29)</f>
        <v>0</v>
      </c>
      <c r="E64" s="196"/>
      <c r="F64" s="196"/>
      <c r="G64" s="218">
        <f t="shared" ref="G64:G77" si="11">IF(OR(E29="", E29=0), 0, E29)</f>
        <v>0</v>
      </c>
      <c r="H64" s="196"/>
      <c r="I64" s="196"/>
      <c r="J64" s="218">
        <f t="shared" ref="J64:J77" si="12">IF(OR(F29="", F29=0), 0, F29)</f>
        <v>0</v>
      </c>
      <c r="K64" s="196"/>
      <c r="L64" s="196"/>
      <c r="M64" s="218">
        <f t="shared" ref="M64:M77" si="13">IF(OR(G29="", G29=0), 0, G29)</f>
        <v>0</v>
      </c>
      <c r="N64" s="196"/>
      <c r="O64" s="196"/>
    </row>
    <row r="65" spans="1:15" x14ac:dyDescent="0.25">
      <c r="A65" s="217" t="str">
        <f t="shared" si="9"/>
        <v/>
      </c>
      <c r="B65" s="217" t="str">
        <f t="shared" si="9"/>
        <v/>
      </c>
      <c r="C65" s="197"/>
      <c r="D65" s="218">
        <f t="shared" si="10"/>
        <v>0</v>
      </c>
      <c r="E65" s="196"/>
      <c r="F65" s="196"/>
      <c r="G65" s="218">
        <f t="shared" si="11"/>
        <v>0</v>
      </c>
      <c r="H65" s="196"/>
      <c r="I65" s="196"/>
      <c r="J65" s="218">
        <f t="shared" si="12"/>
        <v>0</v>
      </c>
      <c r="K65" s="196"/>
      <c r="L65" s="196"/>
      <c r="M65" s="218">
        <f t="shared" si="13"/>
        <v>0</v>
      </c>
      <c r="N65" s="196"/>
      <c r="O65" s="196"/>
    </row>
    <row r="66" spans="1:15" x14ac:dyDescent="0.25">
      <c r="A66" s="217" t="str">
        <f t="shared" si="9"/>
        <v/>
      </c>
      <c r="B66" s="217" t="str">
        <f t="shared" si="9"/>
        <v/>
      </c>
      <c r="C66" s="197"/>
      <c r="D66" s="218">
        <f t="shared" si="10"/>
        <v>0</v>
      </c>
      <c r="E66" s="196"/>
      <c r="F66" s="196"/>
      <c r="G66" s="218">
        <f t="shared" si="11"/>
        <v>0</v>
      </c>
      <c r="H66" s="196"/>
      <c r="I66" s="196"/>
      <c r="J66" s="218">
        <f t="shared" si="12"/>
        <v>0</v>
      </c>
      <c r="K66" s="196"/>
      <c r="L66" s="196"/>
      <c r="M66" s="218">
        <f t="shared" si="13"/>
        <v>0</v>
      </c>
      <c r="N66" s="196"/>
      <c r="O66" s="196"/>
    </row>
    <row r="67" spans="1:15" x14ac:dyDescent="0.25">
      <c r="A67" s="217" t="str">
        <f t="shared" si="9"/>
        <v/>
      </c>
      <c r="B67" s="217" t="str">
        <f t="shared" si="9"/>
        <v/>
      </c>
      <c r="C67" s="197"/>
      <c r="D67" s="218">
        <f t="shared" si="10"/>
        <v>0</v>
      </c>
      <c r="E67" s="196"/>
      <c r="F67" s="196"/>
      <c r="G67" s="218">
        <f t="shared" si="11"/>
        <v>0</v>
      </c>
      <c r="H67" s="196"/>
      <c r="I67" s="196"/>
      <c r="J67" s="218">
        <f t="shared" si="12"/>
        <v>0</v>
      </c>
      <c r="K67" s="196"/>
      <c r="L67" s="196"/>
      <c r="M67" s="218">
        <f t="shared" si="13"/>
        <v>0</v>
      </c>
      <c r="N67" s="196"/>
      <c r="O67" s="196"/>
    </row>
    <row r="68" spans="1:15" x14ac:dyDescent="0.25">
      <c r="A68" s="217" t="str">
        <f t="shared" si="9"/>
        <v/>
      </c>
      <c r="B68" s="217" t="str">
        <f t="shared" si="9"/>
        <v/>
      </c>
      <c r="C68" s="197"/>
      <c r="D68" s="218">
        <f t="shared" si="10"/>
        <v>0</v>
      </c>
      <c r="E68" s="196"/>
      <c r="F68" s="196"/>
      <c r="G68" s="218">
        <f t="shared" si="11"/>
        <v>0</v>
      </c>
      <c r="H68" s="196"/>
      <c r="I68" s="196"/>
      <c r="J68" s="218">
        <f t="shared" si="12"/>
        <v>0</v>
      </c>
      <c r="K68" s="196"/>
      <c r="L68" s="196"/>
      <c r="M68" s="218">
        <f t="shared" si="13"/>
        <v>0</v>
      </c>
      <c r="N68" s="196"/>
      <c r="O68" s="196"/>
    </row>
    <row r="69" spans="1:15" x14ac:dyDescent="0.25">
      <c r="A69" s="217" t="str">
        <f t="shared" si="9"/>
        <v/>
      </c>
      <c r="B69" s="217" t="str">
        <f t="shared" si="9"/>
        <v/>
      </c>
      <c r="C69" s="197"/>
      <c r="D69" s="218">
        <f t="shared" si="10"/>
        <v>0</v>
      </c>
      <c r="E69" s="196"/>
      <c r="F69" s="196"/>
      <c r="G69" s="218">
        <f t="shared" si="11"/>
        <v>0</v>
      </c>
      <c r="H69" s="196"/>
      <c r="I69" s="196"/>
      <c r="J69" s="218">
        <f t="shared" si="12"/>
        <v>0</v>
      </c>
      <c r="K69" s="196"/>
      <c r="L69" s="196"/>
      <c r="M69" s="218">
        <f t="shared" si="13"/>
        <v>0</v>
      </c>
      <c r="N69" s="196"/>
      <c r="O69" s="196"/>
    </row>
    <row r="70" spans="1:15" x14ac:dyDescent="0.25">
      <c r="A70" s="217" t="str">
        <f t="shared" si="9"/>
        <v/>
      </c>
      <c r="B70" s="217" t="str">
        <f t="shared" si="9"/>
        <v/>
      </c>
      <c r="C70" s="197"/>
      <c r="D70" s="218">
        <f t="shared" si="10"/>
        <v>0</v>
      </c>
      <c r="E70" s="196"/>
      <c r="F70" s="196"/>
      <c r="G70" s="218">
        <f t="shared" si="11"/>
        <v>0</v>
      </c>
      <c r="H70" s="196"/>
      <c r="I70" s="196"/>
      <c r="J70" s="218">
        <f t="shared" si="12"/>
        <v>0</v>
      </c>
      <c r="K70" s="196"/>
      <c r="L70" s="196"/>
      <c r="M70" s="218">
        <f t="shared" si="13"/>
        <v>0</v>
      </c>
      <c r="N70" s="196"/>
      <c r="O70" s="196"/>
    </row>
    <row r="71" spans="1:15" x14ac:dyDescent="0.25">
      <c r="A71" s="217" t="str">
        <f t="shared" si="9"/>
        <v/>
      </c>
      <c r="B71" s="217" t="str">
        <f t="shared" si="9"/>
        <v/>
      </c>
      <c r="C71" s="197"/>
      <c r="D71" s="218">
        <f t="shared" si="10"/>
        <v>0</v>
      </c>
      <c r="E71" s="196"/>
      <c r="F71" s="196"/>
      <c r="G71" s="218">
        <f t="shared" si="11"/>
        <v>0</v>
      </c>
      <c r="H71" s="196"/>
      <c r="I71" s="196"/>
      <c r="J71" s="218">
        <f t="shared" si="12"/>
        <v>0</v>
      </c>
      <c r="K71" s="196"/>
      <c r="L71" s="196"/>
      <c r="M71" s="218">
        <f t="shared" si="13"/>
        <v>0</v>
      </c>
      <c r="N71" s="196"/>
      <c r="O71" s="196"/>
    </row>
    <row r="72" spans="1:15" x14ac:dyDescent="0.25">
      <c r="A72" s="217" t="str">
        <f t="shared" si="9"/>
        <v/>
      </c>
      <c r="B72" s="217" t="str">
        <f t="shared" si="9"/>
        <v/>
      </c>
      <c r="C72" s="197"/>
      <c r="D72" s="218">
        <f t="shared" si="10"/>
        <v>0</v>
      </c>
      <c r="E72" s="196"/>
      <c r="F72" s="196"/>
      <c r="G72" s="218">
        <f t="shared" si="11"/>
        <v>0</v>
      </c>
      <c r="H72" s="196"/>
      <c r="I72" s="196"/>
      <c r="J72" s="218">
        <f t="shared" si="12"/>
        <v>0</v>
      </c>
      <c r="K72" s="196"/>
      <c r="L72" s="196"/>
      <c r="M72" s="218">
        <f t="shared" si="13"/>
        <v>0</v>
      </c>
      <c r="N72" s="196"/>
      <c r="O72" s="196"/>
    </row>
    <row r="73" spans="1:15" x14ac:dyDescent="0.25">
      <c r="A73" s="217" t="str">
        <f t="shared" si="9"/>
        <v/>
      </c>
      <c r="B73" s="217" t="str">
        <f t="shared" si="9"/>
        <v/>
      </c>
      <c r="C73" s="197"/>
      <c r="D73" s="218">
        <f t="shared" si="10"/>
        <v>0</v>
      </c>
      <c r="E73" s="196"/>
      <c r="F73" s="196"/>
      <c r="G73" s="218">
        <f t="shared" si="11"/>
        <v>0</v>
      </c>
      <c r="H73" s="196"/>
      <c r="I73" s="196"/>
      <c r="J73" s="218">
        <f t="shared" si="12"/>
        <v>0</v>
      </c>
      <c r="K73" s="196"/>
      <c r="L73" s="196"/>
      <c r="M73" s="218">
        <f t="shared" si="13"/>
        <v>0</v>
      </c>
      <c r="N73" s="196"/>
      <c r="O73" s="196"/>
    </row>
    <row r="74" spans="1:15" x14ac:dyDescent="0.25">
      <c r="A74" s="217" t="str">
        <f t="shared" si="9"/>
        <v/>
      </c>
      <c r="B74" s="217" t="str">
        <f t="shared" si="9"/>
        <v/>
      </c>
      <c r="C74" s="197"/>
      <c r="D74" s="218">
        <f t="shared" si="10"/>
        <v>0</v>
      </c>
      <c r="E74" s="196"/>
      <c r="F74" s="196"/>
      <c r="G74" s="218">
        <f t="shared" si="11"/>
        <v>0</v>
      </c>
      <c r="H74" s="196"/>
      <c r="I74" s="196"/>
      <c r="J74" s="218">
        <f t="shared" si="12"/>
        <v>0</v>
      </c>
      <c r="K74" s="196"/>
      <c r="L74" s="196"/>
      <c r="M74" s="218">
        <f t="shared" si="13"/>
        <v>0</v>
      </c>
      <c r="N74" s="196"/>
      <c r="O74" s="196"/>
    </row>
    <row r="75" spans="1:15" x14ac:dyDescent="0.25">
      <c r="A75" s="217" t="str">
        <f t="shared" si="9"/>
        <v/>
      </c>
      <c r="B75" s="217" t="str">
        <f t="shared" si="9"/>
        <v/>
      </c>
      <c r="C75" s="197"/>
      <c r="D75" s="218">
        <f t="shared" si="10"/>
        <v>0</v>
      </c>
      <c r="E75" s="196"/>
      <c r="F75" s="196"/>
      <c r="G75" s="218">
        <f t="shared" si="11"/>
        <v>0</v>
      </c>
      <c r="H75" s="196"/>
      <c r="I75" s="196"/>
      <c r="J75" s="218">
        <f t="shared" si="12"/>
        <v>0</v>
      </c>
      <c r="K75" s="196"/>
      <c r="L75" s="196"/>
      <c r="M75" s="218">
        <f t="shared" si="13"/>
        <v>0</v>
      </c>
      <c r="N75" s="196"/>
      <c r="O75" s="196"/>
    </row>
    <row r="76" spans="1:15" x14ac:dyDescent="0.25">
      <c r="A76" s="217" t="str">
        <f t="shared" si="9"/>
        <v/>
      </c>
      <c r="B76" s="217" t="str">
        <f t="shared" si="9"/>
        <v/>
      </c>
      <c r="C76" s="197"/>
      <c r="D76" s="218">
        <f t="shared" si="10"/>
        <v>0</v>
      </c>
      <c r="E76" s="196"/>
      <c r="F76" s="196"/>
      <c r="G76" s="218">
        <f t="shared" si="11"/>
        <v>0</v>
      </c>
      <c r="H76" s="196"/>
      <c r="I76" s="196"/>
      <c r="J76" s="218">
        <f t="shared" si="12"/>
        <v>0</v>
      </c>
      <c r="K76" s="196"/>
      <c r="L76" s="196"/>
      <c r="M76" s="218">
        <f t="shared" si="13"/>
        <v>0</v>
      </c>
      <c r="N76" s="196"/>
      <c r="O76" s="196"/>
    </row>
    <row r="77" spans="1:15" x14ac:dyDescent="0.25">
      <c r="A77" s="217" t="str">
        <f t="shared" si="9"/>
        <v/>
      </c>
      <c r="B77" s="217" t="str">
        <f t="shared" si="9"/>
        <v/>
      </c>
      <c r="C77" s="197"/>
      <c r="D77" s="218">
        <f t="shared" si="10"/>
        <v>0</v>
      </c>
      <c r="E77" s="196"/>
      <c r="F77" s="196"/>
      <c r="G77" s="218">
        <f t="shared" si="11"/>
        <v>0</v>
      </c>
      <c r="H77" s="196"/>
      <c r="I77" s="196"/>
      <c r="J77" s="218">
        <f t="shared" si="12"/>
        <v>0</v>
      </c>
      <c r="K77" s="196"/>
      <c r="L77" s="196"/>
      <c r="M77" s="218">
        <f t="shared" si="13"/>
        <v>0</v>
      </c>
      <c r="N77" s="196"/>
      <c r="O77" s="196"/>
    </row>
    <row r="79" spans="1:15" x14ac:dyDescent="0.25">
      <c r="A79" s="195" t="s">
        <v>238</v>
      </c>
      <c r="B79" s="195"/>
      <c r="D79" s="198">
        <f>SUM(D60:D77)</f>
        <v>0</v>
      </c>
      <c r="E79" s="198">
        <f t="shared" ref="E79:O79" si="14">SUM(E60:E77)</f>
        <v>0</v>
      </c>
      <c r="F79" s="198">
        <f t="shared" si="14"/>
        <v>0</v>
      </c>
      <c r="G79" s="198">
        <f t="shared" si="14"/>
        <v>0</v>
      </c>
      <c r="H79" s="198">
        <f t="shared" si="14"/>
        <v>0</v>
      </c>
      <c r="I79" s="198">
        <f t="shared" si="14"/>
        <v>0</v>
      </c>
      <c r="J79" s="198">
        <f t="shared" si="14"/>
        <v>1000000</v>
      </c>
      <c r="K79" s="198">
        <f t="shared" si="14"/>
        <v>16666.666666666668</v>
      </c>
      <c r="L79" s="198">
        <f t="shared" si="14"/>
        <v>70000</v>
      </c>
      <c r="M79" s="198">
        <f t="shared" si="14"/>
        <v>3850000</v>
      </c>
      <c r="N79" s="198">
        <f t="shared" si="14"/>
        <v>64166.666666666664</v>
      </c>
      <c r="O79" s="198">
        <f t="shared" si="14"/>
        <v>269500.00000000006</v>
      </c>
    </row>
    <row r="80" spans="1:15" x14ac:dyDescent="0.25">
      <c r="N80" s="200"/>
    </row>
  </sheetData>
  <mergeCells count="11">
    <mergeCell ref="D13:G13"/>
    <mergeCell ref="D48:O48"/>
    <mergeCell ref="D49:F49"/>
    <mergeCell ref="G49:I49"/>
    <mergeCell ref="J49:L49"/>
    <mergeCell ref="M49:O49"/>
    <mergeCell ref="B51:B54"/>
    <mergeCell ref="D57:F57"/>
    <mergeCell ref="G57:I57"/>
    <mergeCell ref="J57:L57"/>
    <mergeCell ref="M57:O57"/>
  </mergeCells>
  <dataValidations count="1">
    <dataValidation type="list" allowBlank="1" showInputMessage="1" showErrorMessage="1" sqref="B24:B42">
      <formula1>"Approved ACM, New ICM"</formula1>
    </dataValidation>
  </dataValidations>
  <pageMargins left="0.70866141732283472" right="0.70866141732283472" top="0.74803149606299213" bottom="0.74803149606299213" header="0.31496062992125984" footer="0.31496062992125984"/>
  <pageSetup paperSize="3" scale="63" orientation="landscape" r:id="rId1"/>
  <headerFooter>
    <oddFooter>&amp;C&amp;A</oddFooter>
  </headerFooter>
  <ignoredErrors>
    <ignoredError sqref="N60:O61 G28 N62:O62 K60:L61 F16:G1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 Information Sheet</vt:lpstr>
      <vt:lpstr>3. Rate Class Selection</vt:lpstr>
      <vt:lpstr>4. Growth Factor - NUM_CALC1</vt:lpstr>
      <vt:lpstr>5. Growth Factor - NUM_CALC2</vt:lpstr>
      <vt:lpstr>6. Rev_Requ_Check</vt:lpstr>
      <vt:lpstr>7. Growth Factor - DEN_CALC1</vt:lpstr>
      <vt:lpstr>8. Revenue Proportions</vt:lpstr>
      <vt:lpstr>9. Threshold Test</vt:lpstr>
      <vt:lpstr>10b. Proposed ACM ICM Projects</vt:lpstr>
      <vt:lpstr>11. Incremental Capital Adj.</vt:lpstr>
      <vt:lpstr>12. Opt 1-Rate Rider Calc F &amp; V</vt:lpstr>
      <vt:lpstr>d</vt:lpstr>
      <vt:lpstr>g</vt:lpstr>
      <vt:lpstr>PCI</vt:lpstr>
      <vt:lpstr>'1. Information Sheet'!Print_Area</vt:lpstr>
      <vt:lpstr>'10b. Proposed ACM ICM Projects'!Print_Area</vt:lpstr>
      <vt:lpstr>'12. Opt 1-Rate Rider Calc F &amp; V'!Print_Area</vt:lpstr>
      <vt:lpstr>'9. Threshold Test'!Print_Area</vt:lpstr>
      <vt:lpstr>RB</vt:lpstr>
    </vt:vector>
  </TitlesOfParts>
  <Company>Burlington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Blackwell</dc:creator>
  <cp:lastModifiedBy>Sally Blackwell</cp:lastModifiedBy>
  <cp:lastPrinted>2018-09-06T19:46:34Z</cp:lastPrinted>
  <dcterms:created xsi:type="dcterms:W3CDTF">2017-02-28T16:15:41Z</dcterms:created>
  <dcterms:modified xsi:type="dcterms:W3CDTF">2018-09-19T18:12:32Z</dcterms:modified>
</cp:coreProperties>
</file>