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EB-2010-0143" sheetId="1" r:id="rId1"/>
    <sheet name="EB-2011-0103" sheetId="2" r:id="rId2"/>
    <sheet name="EB-2013-0175" sheetId="3" r:id="rId3"/>
    <sheet name="EB-2014-0118" sheetId="4" r:id="rId4"/>
    <sheet name="EB-2015-0107" sheetId="5" r:id="rId5"/>
  </sheets>
  <definedNames>
    <definedName name="_xlnm.Print_Area" localSheetId="1">'EB-2011-0103'!$A$1:$Y$76</definedName>
  </definedNames>
  <calcPr fullCalcOnLoad="1"/>
</workbook>
</file>

<file path=xl/comments1.xml><?xml version="1.0" encoding="utf-8"?>
<comments xmlns="http://schemas.openxmlformats.org/spreadsheetml/2006/main">
  <authors>
    <author>Joanne Tackaberry</author>
  </authors>
  <commentList>
    <comment ref="B8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2011 IRM
EB-2010-0143
</t>
        </r>
      </text>
    </comment>
    <comment ref="B29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2011 IRM
EB-2010-0143
New Rate Riders EB-2012-0171
</t>
        </r>
      </text>
    </comment>
    <comment ref="B33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2011 IRM
EB-2010-0143
New Rate Riders EB-2012-0171
</t>
        </r>
      </text>
    </comment>
  </commentList>
</comments>
</file>

<file path=xl/comments2.xml><?xml version="1.0" encoding="utf-8"?>
<comments xmlns="http://schemas.openxmlformats.org/spreadsheetml/2006/main">
  <authors>
    <author>Joanne Tackaberry</author>
  </authors>
  <commentList>
    <comment ref="B6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2012 COS
EB-2011-0103</t>
        </r>
      </text>
    </comment>
    <comment ref="B13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2012 COS
EB-2011-0103</t>
        </r>
      </text>
    </comment>
    <comment ref="B22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2012 COS
EB-2011-0103</t>
        </r>
      </text>
    </comment>
    <comment ref="B35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2012 COS
EB-2011-0103</t>
        </r>
      </text>
    </comment>
    <comment ref="B42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in 2012 COS
EB-2011-0103</t>
        </r>
      </text>
    </comment>
  </commentList>
</comments>
</file>

<file path=xl/comments3.xml><?xml version="1.0" encoding="utf-8"?>
<comments xmlns="http://schemas.openxmlformats.org/spreadsheetml/2006/main">
  <authors>
    <author>Joanne Tackaberry</author>
  </authors>
  <commentList>
    <comment ref="B6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for 2014 rates - balances as of Dec 31/12.
EB-2013-0175
</t>
        </r>
      </text>
    </comment>
    <comment ref="B9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for 2014 rates - balances as of Dec 31/12.
EB-2013-0175
</t>
        </r>
      </text>
    </comment>
  </commentList>
</comments>
</file>

<file path=xl/comments4.xml><?xml version="1.0" encoding="utf-8"?>
<comments xmlns="http://schemas.openxmlformats.org/spreadsheetml/2006/main">
  <authors>
    <author>Joanne Tackaberry</author>
  </authors>
  <commentList>
    <comment ref="B6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for 2015 rates - balances as of Dec 31/13.
EB-2014-0118
</t>
        </r>
      </text>
    </comment>
    <comment ref="B9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for 2015 rates - balances as of Dec 31/13.
EB-2013-0118
</t>
        </r>
      </text>
    </comment>
  </commentList>
</comments>
</file>

<file path=xl/comments5.xml><?xml version="1.0" encoding="utf-8"?>
<comments xmlns="http://schemas.openxmlformats.org/spreadsheetml/2006/main">
  <authors>
    <author>Joanne Tackaberry</author>
  </authors>
  <commentList>
    <comment ref="B5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for 2016 rates - balances as of Dec 31/14.
EB-2015-0107
</t>
        </r>
      </text>
    </comment>
    <comment ref="B8" authorId="0">
      <text>
        <r>
          <rPr>
            <b/>
            <sz val="9"/>
            <rFont val="Tahoma"/>
            <family val="2"/>
          </rPr>
          <t>Joanne Tackaberry:</t>
        </r>
        <r>
          <rPr>
            <sz val="9"/>
            <rFont val="Tahoma"/>
            <family val="2"/>
          </rPr>
          <t xml:space="preserve">
Approved for 2016 rates - balances as of Dec 31/14.
EB-2015-0107
</t>
        </r>
      </text>
    </comment>
  </commentList>
</comments>
</file>

<file path=xl/sharedStrings.xml><?xml version="1.0" encoding="utf-8"?>
<sst xmlns="http://schemas.openxmlformats.org/spreadsheetml/2006/main" count="680" uniqueCount="82">
  <si>
    <t>1595-020-0000</t>
  </si>
  <si>
    <t>Recovery of Reg Assets 2011</t>
  </si>
  <si>
    <t>1595-025-0000</t>
  </si>
  <si>
    <t xml:space="preserve">   Recovery of Reg Assets 2011 - CC</t>
  </si>
  <si>
    <t>1595-030-0000</t>
  </si>
  <si>
    <t>Recovery of GA Rider 2011</t>
  </si>
  <si>
    <t>1595-035-0000</t>
  </si>
  <si>
    <t xml:space="preserve">   Recovery of GA Rider 2011 - CC</t>
  </si>
  <si>
    <t>Unbilled</t>
  </si>
  <si>
    <t>ACCOUNT</t>
  </si>
  <si>
    <t>DESCRIPTION</t>
  </si>
  <si>
    <t>BALANCE</t>
  </si>
  <si>
    <t>Reversal</t>
  </si>
  <si>
    <t>JANUARY</t>
  </si>
  <si>
    <t>FEBRUARY</t>
  </si>
  <si>
    <t>MARCH</t>
  </si>
  <si>
    <t>QTR TOTAL</t>
  </si>
  <si>
    <t>Y-T-D 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</si>
  <si>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</si>
  <si>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</si>
  <si>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</si>
  <si>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</si>
  <si>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</si>
  <si>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</si>
  <si>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</si>
  <si>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</si>
  <si>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</si>
  <si>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UNBILLED</t>
  </si>
  <si>
    <t xml:space="preserve">(Reported on RRR) </t>
  </si>
  <si>
    <t>ORIGINAL</t>
  </si>
  <si>
    <t>REVISED - NO CHANGE</t>
  </si>
  <si>
    <t>NO ADJUSTMENT REQUIRED</t>
  </si>
  <si>
    <t xml:space="preserve">REVISED </t>
  </si>
  <si>
    <t>2015 BALANCE</t>
  </si>
  <si>
    <t>2016 BALANCE</t>
  </si>
  <si>
    <t>1595-010-0000</t>
  </si>
  <si>
    <t>1595-015-0000</t>
  </si>
  <si>
    <t>DISPOSTN</t>
  </si>
  <si>
    <t>EB-2010-0143</t>
  </si>
  <si>
    <t>***Due to over recovery WDI had new Rate</t>
  </si>
  <si>
    <t>Riders instituted May 01, 2013. EB-2012-0171</t>
  </si>
  <si>
    <t>EB-2011-0103</t>
  </si>
  <si>
    <t>1595-060-0000</t>
  </si>
  <si>
    <t>1595-065-0000</t>
  </si>
  <si>
    <t xml:space="preserve">   Recovery of Reg Assets 2014 - CC</t>
  </si>
  <si>
    <t>Recovery of Regulatory Assets 2014</t>
  </si>
  <si>
    <t>1595-070-0000</t>
  </si>
  <si>
    <t>Recovery of GA Rider 2014</t>
  </si>
  <si>
    <t>1595-075-0000</t>
  </si>
  <si>
    <t>Recovery of GA Rider 2014 - CC</t>
  </si>
  <si>
    <t>EB-2013-0175</t>
  </si>
  <si>
    <t>No revisions required for GA Rider</t>
  </si>
  <si>
    <t>EB-2014-0118</t>
  </si>
  <si>
    <t>1595-080-0000</t>
  </si>
  <si>
    <t>Recovery of Regulatory Assets 2015</t>
  </si>
  <si>
    <t>1595-085-0000</t>
  </si>
  <si>
    <t>Rec. of Regulatory Assets 2015 - CC</t>
  </si>
  <si>
    <t>1595-090-0000</t>
  </si>
  <si>
    <t>Recovery of GA Rider 2015</t>
  </si>
  <si>
    <t>1595-095-0000</t>
  </si>
  <si>
    <t>Recovery of GA Rider 2015 - CC</t>
  </si>
  <si>
    <t>EB-2015-0107</t>
  </si>
  <si>
    <t>1595-100-0000</t>
  </si>
  <si>
    <t>Recovery of Regulatory Assets 2016</t>
  </si>
  <si>
    <t>1595-105-0000</t>
  </si>
  <si>
    <t>Rec. of Regulatory Assets 2016 - CC</t>
  </si>
  <si>
    <t>1595-110-0000</t>
  </si>
  <si>
    <t>Recovery of GA Rider 2016</t>
  </si>
  <si>
    <t>1595-115-0000</t>
  </si>
  <si>
    <t>Recovery of GA Rider 2016 - CC</t>
  </si>
  <si>
    <t>Projected Interest</t>
  </si>
  <si>
    <t>Total Projected Interest</t>
  </si>
  <si>
    <t>Total Interest</t>
  </si>
  <si>
    <t>Interest to 2017</t>
  </si>
  <si>
    <t>Recovery of Reg Asset 2011 - Principal</t>
  </si>
  <si>
    <t>TOTAL RECOVERY</t>
  </si>
  <si>
    <t>Recovery of Reg Asset 2012 - Principal</t>
  </si>
  <si>
    <t>Interest to 2016</t>
  </si>
  <si>
    <t>Recovery of Reg Asset 2014 - Principal</t>
  </si>
  <si>
    <t>Recovery of Reg Asset 2015 - Principal</t>
  </si>
  <si>
    <t>Recovery of Reg Asset 2016 - Principal</t>
  </si>
  <si>
    <t xml:space="preserve"> WDI Analysis 1595 Sub-Accounts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</si>
</sst>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0.0"/>
    <numFmt numFmtId="167" formatCode="0.00000"/>
    <numFmt numFmtId="168" formatCode="0.0000"/>
    <numFmt numFmtId="169" formatCode="0.000"/>
    <numFmt numFmtId="170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  <font>
      <sz val="12"/>
      <color rgb="FF3F3F76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11" borderId="0" xfId="0" applyFill="1" applyAlignment="1">
      <alignment/>
    </xf>
    <xf numFmtId="164" fontId="2" fillId="15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64" fontId="54" fillId="0" borderId="0" xfId="0" applyNumberFormat="1" applyFont="1" applyBorder="1" applyAlignment="1">
      <alignment/>
    </xf>
    <xf numFmtId="164" fontId="54" fillId="0" borderId="14" xfId="0" applyNumberFormat="1" applyFont="1" applyBorder="1" applyAlignment="1">
      <alignment/>
    </xf>
    <xf numFmtId="0" fontId="0" fillId="17" borderId="0" xfId="0" applyFill="1" applyAlignment="1">
      <alignment/>
    </xf>
    <xf numFmtId="164" fontId="0" fillId="0" borderId="0" xfId="0" applyNumberFormat="1" applyAlignment="1">
      <alignment/>
    </xf>
    <xf numFmtId="164" fontId="54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165" fontId="54" fillId="0" borderId="0" xfId="0" applyNumberFormat="1" applyFont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5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0" fillId="0" borderId="15" xfId="0" applyNumberFormat="1" applyBorder="1" applyAlignment="1">
      <alignment/>
    </xf>
    <xf numFmtId="164" fontId="2" fillId="34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56" fillId="0" borderId="0" xfId="54" applyNumberFormat="1" applyFont="1" applyFill="1" applyBorder="1" applyAlignment="1">
      <alignment/>
    </xf>
    <xf numFmtId="164" fontId="2" fillId="0" borderId="0" xfId="54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4" fontId="54" fillId="34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8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2" fillId="0" borderId="14" xfId="0" applyFont="1" applyBorder="1" applyAlignment="1">
      <alignment horizontal="left"/>
    </xf>
    <xf numFmtId="164" fontId="2" fillId="33" borderId="14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Border="1" applyAlignment="1">
      <alignment/>
    </xf>
    <xf numFmtId="164" fontId="54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7.00390625" style="0" bestFit="1" customWidth="1"/>
    <col min="2" max="2" width="39.8515625" style="0" customWidth="1"/>
    <col min="3" max="3" width="21.140625" style="0" customWidth="1"/>
    <col min="4" max="5" width="13.421875" style="0" customWidth="1"/>
    <col min="6" max="6" width="13.7109375" style="0" customWidth="1"/>
    <col min="7" max="7" width="16.00390625" style="0" customWidth="1"/>
    <col min="8" max="8" width="14.8515625" style="0" customWidth="1"/>
    <col min="9" max="9" width="13.421875" style="0" customWidth="1"/>
    <col min="10" max="10" width="15.57421875" style="0" customWidth="1"/>
    <col min="11" max="11" width="13.7109375" style="0" customWidth="1"/>
    <col min="12" max="12" width="16.00390625" style="0" customWidth="1"/>
    <col min="13" max="13" width="14.8515625" style="0" customWidth="1"/>
    <col min="14" max="14" width="14.421875" style="0" customWidth="1"/>
    <col min="15" max="15" width="14.57421875" style="0" customWidth="1"/>
    <col min="16" max="16" width="15.57421875" style="0" customWidth="1"/>
    <col min="17" max="18" width="14.8515625" style="0" customWidth="1"/>
    <col min="19" max="19" width="14.421875" style="0" customWidth="1"/>
    <col min="20" max="20" width="14.57421875" style="0" customWidth="1"/>
    <col min="21" max="21" width="14.7109375" style="0" customWidth="1"/>
    <col min="22" max="22" width="14.8515625" style="0" customWidth="1"/>
    <col min="23" max="23" width="14.8515625" style="0" bestFit="1" customWidth="1"/>
    <col min="25" max="26" width="10.28125" style="0" bestFit="1" customWidth="1"/>
  </cols>
  <sheetData>
    <row r="1" ht="15">
      <c r="D1" t="s">
        <v>81</v>
      </c>
    </row>
    <row r="3" spans="1:3" ht="20.25" customHeight="1">
      <c r="A3" s="53">
        <v>2011</v>
      </c>
      <c r="B3" s="21" t="s">
        <v>29</v>
      </c>
      <c r="C3" s="8" t="s">
        <v>38</v>
      </c>
    </row>
    <row r="4" spans="1:17" ht="20.25" customHeight="1">
      <c r="A4" s="1"/>
      <c r="B4" s="1"/>
      <c r="C4" s="8" t="s">
        <v>37</v>
      </c>
      <c r="D4" s="10"/>
      <c r="E4" s="1"/>
      <c r="F4" s="1"/>
      <c r="G4" s="1"/>
      <c r="H4" s="8">
        <v>2011</v>
      </c>
      <c r="I4" s="8"/>
      <c r="J4" s="1"/>
      <c r="K4" s="1"/>
      <c r="L4" s="1"/>
      <c r="M4" s="8">
        <v>2011</v>
      </c>
      <c r="N4" s="1"/>
      <c r="O4" s="1"/>
      <c r="P4" s="1"/>
      <c r="Q4" s="8">
        <v>2011</v>
      </c>
    </row>
    <row r="5" spans="1:17" ht="15.75">
      <c r="A5" s="13" t="s">
        <v>9</v>
      </c>
      <c r="B5" s="13" t="s">
        <v>10</v>
      </c>
      <c r="C5" s="6" t="s">
        <v>19</v>
      </c>
      <c r="D5" s="6" t="s">
        <v>19</v>
      </c>
      <c r="E5" s="6" t="s">
        <v>20</v>
      </c>
      <c r="F5" s="16" t="s">
        <v>16</v>
      </c>
      <c r="G5" s="16" t="s">
        <v>17</v>
      </c>
      <c r="H5" s="6" t="s">
        <v>21</v>
      </c>
      <c r="I5" s="6" t="s">
        <v>22</v>
      </c>
      <c r="J5" s="6" t="s">
        <v>23</v>
      </c>
      <c r="K5" s="16" t="s">
        <v>16</v>
      </c>
      <c r="L5" s="16" t="s">
        <v>17</v>
      </c>
      <c r="M5" s="1" t="s">
        <v>24</v>
      </c>
      <c r="N5" s="1" t="s">
        <v>25</v>
      </c>
      <c r="O5" s="1" t="s">
        <v>26</v>
      </c>
      <c r="P5" s="11" t="s">
        <v>16</v>
      </c>
      <c r="Q5" s="11" t="s">
        <v>17</v>
      </c>
    </row>
    <row r="6" spans="1:17" ht="15.75">
      <c r="A6" s="1"/>
      <c r="B6" s="1"/>
      <c r="D6" s="17"/>
      <c r="E6" s="1"/>
      <c r="F6" s="10"/>
      <c r="G6" s="10"/>
      <c r="H6" s="1"/>
      <c r="I6" s="1"/>
      <c r="J6" s="1"/>
      <c r="K6" s="10"/>
      <c r="L6" s="10"/>
      <c r="M6" s="1"/>
      <c r="N6" s="1"/>
      <c r="O6" s="1"/>
      <c r="P6" s="10"/>
      <c r="Q6" s="10"/>
    </row>
    <row r="8" spans="1:17" ht="15.75">
      <c r="A8" s="1" t="s">
        <v>35</v>
      </c>
      <c r="B8" s="1" t="s">
        <v>1</v>
      </c>
      <c r="C8" s="73">
        <v>137295</v>
      </c>
      <c r="D8" s="5">
        <v>-12039.62</v>
      </c>
      <c r="E8" s="3">
        <v>-13249.63</v>
      </c>
      <c r="F8" s="2">
        <f>SUM(C8:E8)</f>
        <v>112005.75</v>
      </c>
      <c r="G8" s="2">
        <f>F8</f>
        <v>112005.75</v>
      </c>
      <c r="H8" s="4">
        <v>-9146.2</v>
      </c>
      <c r="I8" s="4">
        <v>-12442.48</v>
      </c>
      <c r="J8" s="4">
        <v>-13009.6</v>
      </c>
      <c r="K8" s="2">
        <f>SUM(H8:J8)</f>
        <v>-34598.28</v>
      </c>
      <c r="L8" s="2">
        <f>K8+G8</f>
        <v>77407.47</v>
      </c>
      <c r="M8" s="4">
        <v>-13237.2</v>
      </c>
      <c r="N8" s="4">
        <v>-10527.25</v>
      </c>
      <c r="O8" s="4">
        <v>-9274.19</v>
      </c>
      <c r="P8" s="2">
        <f>SUM(M8:O8)</f>
        <v>-33038.64</v>
      </c>
      <c r="Q8" s="2">
        <f>P8+L8</f>
        <v>44368.83</v>
      </c>
    </row>
    <row r="9" spans="1:17" ht="15.75">
      <c r="A9" s="1" t="s">
        <v>36</v>
      </c>
      <c r="B9" s="1" t="s">
        <v>3</v>
      </c>
      <c r="C9" s="73">
        <v>17300</v>
      </c>
      <c r="D9" s="5">
        <v>168.19</v>
      </c>
      <c r="E9" s="3">
        <v>153.44</v>
      </c>
      <c r="F9" s="2">
        <f>SUM(C9:E9)</f>
        <v>17621.629999999997</v>
      </c>
      <c r="G9" s="2">
        <f>F9</f>
        <v>17621.629999999997</v>
      </c>
      <c r="H9" s="4">
        <v>137.21</v>
      </c>
      <c r="I9" s="4">
        <v>137.21</v>
      </c>
      <c r="J9" s="4">
        <v>121.97</v>
      </c>
      <c r="K9" s="2">
        <f>SUM(H9:J9)</f>
        <v>396.39</v>
      </c>
      <c r="L9" s="2">
        <f>K9+G9</f>
        <v>18018.019999999997</v>
      </c>
      <c r="M9" s="4">
        <v>106.03</v>
      </c>
      <c r="N9" s="4">
        <v>89.81</v>
      </c>
      <c r="O9" s="4">
        <v>76.92</v>
      </c>
      <c r="P9" s="2">
        <f>SUM(M9:O9)</f>
        <v>272.76</v>
      </c>
      <c r="Q9" s="2">
        <f>P9+L9</f>
        <v>18290.779999999995</v>
      </c>
    </row>
    <row r="11" ht="15.75">
      <c r="B11" s="20" t="s">
        <v>31</v>
      </c>
    </row>
    <row r="12" spans="1:25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7"/>
      <c r="Y12" s="27"/>
    </row>
    <row r="13" spans="1:25" ht="18.75">
      <c r="A13" s="27"/>
      <c r="B13" s="27"/>
      <c r="C13" s="8">
        <v>2011</v>
      </c>
      <c r="D13" s="53">
        <v>2012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53"/>
      <c r="X13" s="27"/>
      <c r="Y13" s="27"/>
    </row>
    <row r="14" spans="1:23" ht="18.75">
      <c r="A14" s="53">
        <v>2012</v>
      </c>
      <c r="B14" s="21" t="s">
        <v>29</v>
      </c>
      <c r="C14" s="14" t="s">
        <v>11</v>
      </c>
      <c r="D14" s="6" t="s">
        <v>13</v>
      </c>
      <c r="E14" s="6" t="s">
        <v>14</v>
      </c>
      <c r="F14" s="6" t="s">
        <v>15</v>
      </c>
      <c r="G14" s="16" t="s">
        <v>16</v>
      </c>
      <c r="H14" s="16" t="s">
        <v>17</v>
      </c>
      <c r="I14" s="6" t="s">
        <v>18</v>
      </c>
      <c r="J14" s="6" t="s">
        <v>19</v>
      </c>
      <c r="K14" s="6" t="s">
        <v>20</v>
      </c>
      <c r="L14" s="16" t="s">
        <v>16</v>
      </c>
      <c r="M14" s="16" t="s">
        <v>17</v>
      </c>
      <c r="N14" s="6" t="s">
        <v>21</v>
      </c>
      <c r="O14" s="6" t="s">
        <v>22</v>
      </c>
      <c r="P14" s="6" t="s">
        <v>23</v>
      </c>
      <c r="Q14" s="16" t="s">
        <v>16</v>
      </c>
      <c r="R14" s="16" t="s">
        <v>17</v>
      </c>
      <c r="S14" s="1" t="s">
        <v>24</v>
      </c>
      <c r="T14" s="1" t="s">
        <v>25</v>
      </c>
      <c r="U14" s="1" t="s">
        <v>26</v>
      </c>
      <c r="V14" s="11" t="s">
        <v>16</v>
      </c>
      <c r="W14" s="11" t="s">
        <v>17</v>
      </c>
    </row>
    <row r="15" spans="1:23" ht="18.75">
      <c r="A15" s="53"/>
      <c r="B15" s="21"/>
      <c r="C15" s="11" t="s">
        <v>28</v>
      </c>
      <c r="D15" s="6"/>
      <c r="E15" s="6"/>
      <c r="F15" s="6"/>
      <c r="G15" s="10"/>
      <c r="H15" s="10"/>
      <c r="I15" s="6"/>
      <c r="J15" s="6"/>
      <c r="K15" s="6"/>
      <c r="L15" s="10"/>
      <c r="M15" s="10"/>
      <c r="N15" s="6"/>
      <c r="O15" s="6"/>
      <c r="P15" s="6"/>
      <c r="Q15" s="10"/>
      <c r="R15" s="10"/>
      <c r="S15" s="1"/>
      <c r="T15" s="1"/>
      <c r="U15" s="1"/>
      <c r="V15" s="25"/>
      <c r="W15" s="25"/>
    </row>
    <row r="16" spans="1:23" ht="15.75">
      <c r="A16" s="1" t="s">
        <v>35</v>
      </c>
      <c r="B16" s="1" t="s">
        <v>1</v>
      </c>
      <c r="C16" s="2">
        <f>Q8</f>
        <v>44368.83</v>
      </c>
      <c r="D16" s="63">
        <v>-9145.53</v>
      </c>
      <c r="E16" s="63">
        <v>-9062.72</v>
      </c>
      <c r="F16" s="63">
        <v>-8913.48</v>
      </c>
      <c r="G16" s="2">
        <f>SUM(D16:F16)</f>
        <v>-27121.73</v>
      </c>
      <c r="H16" s="2">
        <f>G16+C16</f>
        <v>17247.100000000002</v>
      </c>
      <c r="I16" s="63">
        <v>-10138.7</v>
      </c>
      <c r="J16" s="63">
        <v>-9071.74</v>
      </c>
      <c r="K16" s="3">
        <v>2874.03</v>
      </c>
      <c r="L16" s="2">
        <f>SUM(I16:K16)</f>
        <v>-16336.410000000002</v>
      </c>
      <c r="M16" s="2">
        <f>L16+H16</f>
        <v>910.6900000000005</v>
      </c>
      <c r="N16" s="63">
        <v>-30601.98</v>
      </c>
      <c r="O16" s="63">
        <v>-12998.65</v>
      </c>
      <c r="P16" s="63">
        <v>-14416.8</v>
      </c>
      <c r="Q16" s="2">
        <f>SUM(N16:P16)</f>
        <v>-58017.42999999999</v>
      </c>
      <c r="R16" s="2">
        <f>Q16+M16</f>
        <v>-57106.73999999999</v>
      </c>
      <c r="S16" s="63">
        <v>-13530.27</v>
      </c>
      <c r="T16" s="63">
        <v>-10391.3</v>
      </c>
      <c r="U16" s="63">
        <v>-8588.26</v>
      </c>
      <c r="V16" s="2">
        <f>SUM(S16:U16)</f>
        <v>-32509.83</v>
      </c>
      <c r="W16" s="2">
        <f>V16+R16</f>
        <v>-89616.56999999999</v>
      </c>
    </row>
    <row r="17" spans="1:23" ht="15.75">
      <c r="A17" s="1" t="s">
        <v>36</v>
      </c>
      <c r="B17" s="1" t="s">
        <v>3</v>
      </c>
      <c r="C17" s="2">
        <f>Q9</f>
        <v>18290.779999999995</v>
      </c>
      <c r="D17" s="63">
        <v>65.56</v>
      </c>
      <c r="E17" s="63">
        <v>54.35</v>
      </c>
      <c r="F17" s="63">
        <v>43.25</v>
      </c>
      <c r="G17" s="2">
        <f>SUM(D17:F17)</f>
        <v>163.16</v>
      </c>
      <c r="H17" s="2">
        <f>G17+C17</f>
        <v>18453.939999999995</v>
      </c>
      <c r="I17" s="63">
        <v>21.13</v>
      </c>
      <c r="J17" s="63">
        <v>8.71</v>
      </c>
      <c r="K17" s="3">
        <v>-2.41</v>
      </c>
      <c r="L17" s="2">
        <f>SUM(I17:K17)</f>
        <v>27.43</v>
      </c>
      <c r="M17" s="2">
        <f>L17+H17</f>
        <v>18481.369999999995</v>
      </c>
      <c r="N17" s="63">
        <v>1.12</v>
      </c>
      <c r="O17" s="63">
        <v>-36.37</v>
      </c>
      <c r="P17" s="63">
        <v>-52.3</v>
      </c>
      <c r="Q17" s="2">
        <f>SUM(N17:P17)</f>
        <v>-87.55</v>
      </c>
      <c r="R17" s="2">
        <f>Q17+M17</f>
        <v>18393.819999999996</v>
      </c>
      <c r="S17" s="63">
        <v>-69.96</v>
      </c>
      <c r="T17" s="63">
        <v>-86.53</v>
      </c>
      <c r="U17" s="63">
        <v>-99.26</v>
      </c>
      <c r="V17" s="2">
        <f>SUM(S17:U17)</f>
        <v>-255.75</v>
      </c>
      <c r="W17" s="2">
        <f>V17+R17</f>
        <v>18138.069999999996</v>
      </c>
    </row>
    <row r="19" spans="1:23" ht="15.75">
      <c r="A19" s="31"/>
      <c r="B19" s="32" t="s">
        <v>32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46"/>
    </row>
    <row r="20" spans="1:23" ht="15.75">
      <c r="A20" s="35" t="s">
        <v>35</v>
      </c>
      <c r="B20" s="55" t="s">
        <v>1</v>
      </c>
      <c r="C20" s="36">
        <f>C16</f>
        <v>44368.83</v>
      </c>
      <c r="D20" s="59">
        <v>-9145.53</v>
      </c>
      <c r="E20" s="59">
        <v>-9062.72</v>
      </c>
      <c r="F20" s="59">
        <v>-8913.48</v>
      </c>
      <c r="G20" s="36">
        <f>SUM(D20:F20)</f>
        <v>-27121.73</v>
      </c>
      <c r="H20" s="36">
        <f>G20+C20</f>
        <v>17247.100000000002</v>
      </c>
      <c r="I20" s="59">
        <v>-10138.7</v>
      </c>
      <c r="J20" s="59">
        <v>-9071.74</v>
      </c>
      <c r="K20" s="5">
        <v>2874.03</v>
      </c>
      <c r="L20" s="36">
        <f>SUM(I20:K20)</f>
        <v>-16336.410000000002</v>
      </c>
      <c r="M20" s="36">
        <f>L20+H20</f>
        <v>910.6900000000005</v>
      </c>
      <c r="N20" s="59">
        <f>-910.69-11209.92</f>
        <v>-12120.61</v>
      </c>
      <c r="O20" s="59">
        <v>-12998.65</v>
      </c>
      <c r="P20" s="59">
        <v>-14416.8</v>
      </c>
      <c r="Q20" s="36">
        <f>SUM(N20:P20)</f>
        <v>-39536.06</v>
      </c>
      <c r="R20" s="36">
        <f>Q20+M20</f>
        <v>-38625.369999999995</v>
      </c>
      <c r="S20" s="59">
        <v>-13530.27</v>
      </c>
      <c r="T20" s="59">
        <v>-10391.3</v>
      </c>
      <c r="U20" s="59">
        <v>-8588.26</v>
      </c>
      <c r="V20" s="36">
        <f>SUM(S20:U20)</f>
        <v>-32509.83</v>
      </c>
      <c r="W20" s="66">
        <f>V20+R20</f>
        <v>-71135.2</v>
      </c>
    </row>
    <row r="21" spans="1:23" ht="15.75">
      <c r="A21" s="40" t="s">
        <v>36</v>
      </c>
      <c r="B21" s="58" t="s">
        <v>3</v>
      </c>
      <c r="C21" s="42">
        <f>C17</f>
        <v>18290.779999999995</v>
      </c>
      <c r="D21" s="60">
        <v>65.56</v>
      </c>
      <c r="E21" s="60">
        <v>54.35</v>
      </c>
      <c r="F21" s="60">
        <v>43.25</v>
      </c>
      <c r="G21" s="42">
        <f>SUM(D21:F21)</f>
        <v>163.16</v>
      </c>
      <c r="H21" s="42">
        <f>G21+C21</f>
        <v>18453.939999999995</v>
      </c>
      <c r="I21" s="60">
        <v>21.13</v>
      </c>
      <c r="J21" s="60">
        <v>8.71</v>
      </c>
      <c r="K21" s="44">
        <v>-2.41</v>
      </c>
      <c r="L21" s="42">
        <f>SUM(I21:K21)</f>
        <v>27.43</v>
      </c>
      <c r="M21" s="42">
        <f>L21+H21</f>
        <v>18481.369999999995</v>
      </c>
      <c r="N21" s="60">
        <v>-18481.37</v>
      </c>
      <c r="O21" s="60">
        <f>ROUND((M20+N20)*0.0147/12,2)</f>
        <v>-13.73</v>
      </c>
      <c r="P21" s="60">
        <f>ROUND((M20+N20+O20)*0.0147/12,2)</f>
        <v>-29.66</v>
      </c>
      <c r="Q21" s="42">
        <f>SUM(N21:P21)</f>
        <v>-18524.76</v>
      </c>
      <c r="R21" s="42">
        <f>Q21+M21</f>
        <v>-43.390000000003056</v>
      </c>
      <c r="S21" s="60">
        <f>ROUND(R20*0.0147/12,2)</f>
        <v>-47.32</v>
      </c>
      <c r="T21" s="60">
        <f>ROUND((R20+S20)*0.0147/12,2)</f>
        <v>-63.89</v>
      </c>
      <c r="U21" s="60">
        <v>-99.26</v>
      </c>
      <c r="V21" s="42">
        <f>SUM(S21:U21)</f>
        <v>-210.47000000000003</v>
      </c>
      <c r="W21" s="67">
        <f>V21+R21</f>
        <v>-253.86000000000308</v>
      </c>
    </row>
    <row r="23" spans="1:2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3:4" ht="18.75">
      <c r="C24" s="53">
        <v>2012</v>
      </c>
      <c r="D24" s="53">
        <v>2013</v>
      </c>
    </row>
    <row r="25" spans="1:23" ht="18.75">
      <c r="A25" s="53">
        <v>2013</v>
      </c>
      <c r="B25" s="21" t="s">
        <v>29</v>
      </c>
      <c r="C25" s="14" t="s">
        <v>11</v>
      </c>
      <c r="D25" s="6" t="s">
        <v>13</v>
      </c>
      <c r="E25" s="6" t="s">
        <v>14</v>
      </c>
      <c r="F25" s="6" t="s">
        <v>15</v>
      </c>
      <c r="G25" s="16" t="s">
        <v>16</v>
      </c>
      <c r="H25" s="16" t="s">
        <v>17</v>
      </c>
      <c r="I25" s="6" t="s">
        <v>18</v>
      </c>
      <c r="J25" s="6" t="s">
        <v>19</v>
      </c>
      <c r="K25" s="6" t="s">
        <v>20</v>
      </c>
      <c r="L25" s="16" t="s">
        <v>16</v>
      </c>
      <c r="M25" s="16" t="s">
        <v>17</v>
      </c>
      <c r="N25" s="6" t="s">
        <v>21</v>
      </c>
      <c r="O25" s="6" t="s">
        <v>22</v>
      </c>
      <c r="P25" s="6" t="s">
        <v>23</v>
      </c>
      <c r="Q25" s="16" t="s">
        <v>16</v>
      </c>
      <c r="R25" s="16" t="s">
        <v>17</v>
      </c>
      <c r="S25" s="1" t="s">
        <v>24</v>
      </c>
      <c r="T25" s="1" t="s">
        <v>25</v>
      </c>
      <c r="U25" s="1" t="s">
        <v>26</v>
      </c>
      <c r="V25" s="11" t="s">
        <v>16</v>
      </c>
      <c r="W25" s="11" t="s">
        <v>17</v>
      </c>
    </row>
    <row r="26" spans="1:23" ht="18.75">
      <c r="A26" s="53"/>
      <c r="B26" s="74" t="s">
        <v>39</v>
      </c>
      <c r="C26" s="11" t="s">
        <v>28</v>
      </c>
      <c r="D26" s="6"/>
      <c r="E26" s="6"/>
      <c r="F26" s="6"/>
      <c r="G26" s="10"/>
      <c r="H26" s="10"/>
      <c r="I26" s="6"/>
      <c r="J26" s="6"/>
      <c r="K26" s="6"/>
      <c r="L26" s="10"/>
      <c r="M26" s="10"/>
      <c r="N26" s="6"/>
      <c r="O26" s="6"/>
      <c r="P26" s="6"/>
      <c r="Q26" s="10"/>
      <c r="R26" s="10"/>
      <c r="S26" s="1"/>
      <c r="T26" s="1"/>
      <c r="U26" s="1"/>
      <c r="V26" s="25"/>
      <c r="W26" s="25"/>
    </row>
    <row r="27" spans="1:23" ht="18.75">
      <c r="A27" s="53"/>
      <c r="B27" s="74" t="s">
        <v>40</v>
      </c>
      <c r="C27" s="25"/>
      <c r="D27" s="6"/>
      <c r="E27" s="6"/>
      <c r="F27" s="6"/>
      <c r="G27" s="10"/>
      <c r="H27" s="10"/>
      <c r="I27" s="6"/>
      <c r="J27" s="6"/>
      <c r="K27" s="6"/>
      <c r="L27" s="10"/>
      <c r="M27" s="10"/>
      <c r="N27" s="6"/>
      <c r="O27" s="6"/>
      <c r="P27" s="6"/>
      <c r="Q27" s="10"/>
      <c r="R27" s="10"/>
      <c r="S27" s="1"/>
      <c r="T27" s="1"/>
      <c r="U27" s="1"/>
      <c r="V27" s="25"/>
      <c r="W27" s="25"/>
    </row>
    <row r="28" spans="1:23" ht="18.75">
      <c r="A28" s="53"/>
      <c r="C28" s="25"/>
      <c r="D28" s="6"/>
      <c r="E28" s="6"/>
      <c r="F28" s="6"/>
      <c r="G28" s="10"/>
      <c r="H28" s="10"/>
      <c r="I28" s="6"/>
      <c r="J28" s="6"/>
      <c r="K28" s="6"/>
      <c r="L28" s="10"/>
      <c r="M28" s="10"/>
      <c r="N28" s="6"/>
      <c r="O28" s="6"/>
      <c r="P28" s="6"/>
      <c r="Q28" s="10"/>
      <c r="R28" s="10"/>
      <c r="S28" s="1"/>
      <c r="T28" s="1"/>
      <c r="U28" s="1"/>
      <c r="V28" s="25"/>
      <c r="W28" s="25"/>
    </row>
    <row r="29" spans="1:23" ht="15.75">
      <c r="A29" s="1" t="s">
        <v>35</v>
      </c>
      <c r="B29" s="1" t="s">
        <v>1</v>
      </c>
      <c r="C29" s="75">
        <f>W16</f>
        <v>-89616.56999999999</v>
      </c>
      <c r="D29" s="63">
        <v>-8957.58</v>
      </c>
      <c r="E29" s="63">
        <v>-8838.97</v>
      </c>
      <c r="F29" s="63">
        <v>-8147.94</v>
      </c>
      <c r="G29" s="75">
        <f>SUM(D29:F29)</f>
        <v>-25944.489999999998</v>
      </c>
      <c r="H29" s="75">
        <f>G29+C29</f>
        <v>-115561.06</v>
      </c>
      <c r="I29" s="63">
        <v>-9585.29</v>
      </c>
      <c r="J29" s="63">
        <v>-9914.51</v>
      </c>
      <c r="K29" s="63">
        <v>-14770.53</v>
      </c>
      <c r="L29" s="75">
        <f>SUM(I29:K29)</f>
        <v>-34270.33</v>
      </c>
      <c r="M29" s="75">
        <f>L29+H29</f>
        <v>-149831.39</v>
      </c>
      <c r="N29" s="63">
        <v>-13944.86</v>
      </c>
      <c r="O29" s="63">
        <v>-11841.94</v>
      </c>
      <c r="P29" s="63">
        <v>-11914.97</v>
      </c>
      <c r="Q29" s="75">
        <f>SUM(N29:P29)</f>
        <v>-37701.770000000004</v>
      </c>
      <c r="R29" s="75">
        <f>Q29+M29</f>
        <v>-187533.16000000003</v>
      </c>
      <c r="S29" s="63">
        <v>-13459.27</v>
      </c>
      <c r="T29" s="63">
        <v>-9911.92</v>
      </c>
      <c r="U29" s="63">
        <f>-6776.69+8959.98-5107</f>
        <v>-2923.71</v>
      </c>
      <c r="V29" s="75">
        <f>SUM(S29:U29)</f>
        <v>-26294.9</v>
      </c>
      <c r="W29" s="75">
        <f>V29+R29</f>
        <v>-213828.06000000003</v>
      </c>
    </row>
    <row r="30" spans="1:23" ht="15.75">
      <c r="A30" s="1" t="s">
        <v>36</v>
      </c>
      <c r="B30" s="1" t="s">
        <v>3</v>
      </c>
      <c r="C30" s="75">
        <f>W17</f>
        <v>18138.069999999996</v>
      </c>
      <c r="D30" s="63">
        <v>-98.8</v>
      </c>
      <c r="E30" s="63">
        <v>-109.78</v>
      </c>
      <c r="F30" s="63">
        <v>-120.61</v>
      </c>
      <c r="G30" s="75">
        <f>SUM(D30:F30)</f>
        <v>-329.19</v>
      </c>
      <c r="H30" s="75">
        <f>G30+C30</f>
        <v>17808.879999999997</v>
      </c>
      <c r="I30" s="63">
        <v>-141.56</v>
      </c>
      <c r="J30" s="63">
        <v>-153.3</v>
      </c>
      <c r="K30" s="63">
        <v>-165.45</v>
      </c>
      <c r="L30" s="75">
        <f>SUM(I30:K30)</f>
        <v>-460.31</v>
      </c>
      <c r="M30" s="75">
        <f>L30+H30</f>
        <v>17348.569999999996</v>
      </c>
      <c r="N30" s="63">
        <v>-183.54</v>
      </c>
      <c r="O30" s="63">
        <v>-200.63</v>
      </c>
      <c r="P30" s="63">
        <v>-215.13</v>
      </c>
      <c r="Q30" s="75">
        <f>SUM(N30:P30)</f>
        <v>-599.3</v>
      </c>
      <c r="R30" s="75">
        <f>Q30+M30</f>
        <v>16749.269999999997</v>
      </c>
      <c r="S30" s="63">
        <v>-229.73</v>
      </c>
      <c r="T30" s="63">
        <v>-246.22</v>
      </c>
      <c r="U30" s="63">
        <v>-258.36</v>
      </c>
      <c r="V30" s="75">
        <f>SUM(S30:U30)</f>
        <v>-734.31</v>
      </c>
      <c r="W30" s="75">
        <f>V30+R30</f>
        <v>16014.959999999997</v>
      </c>
    </row>
    <row r="32" spans="1:26" ht="15.75">
      <c r="A32" s="31"/>
      <c r="B32" s="32" t="s">
        <v>32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6"/>
      <c r="Z32" s="93"/>
    </row>
    <row r="33" spans="1:23" ht="15.75">
      <c r="A33" s="35" t="s">
        <v>35</v>
      </c>
      <c r="B33" s="55" t="s">
        <v>1</v>
      </c>
      <c r="C33" s="36">
        <f>W20</f>
        <v>-71135.2</v>
      </c>
      <c r="D33" s="59">
        <v>-8957.58</v>
      </c>
      <c r="E33" s="59">
        <v>-8838.97</v>
      </c>
      <c r="F33" s="59">
        <v>-8147.94</v>
      </c>
      <c r="G33" s="36">
        <f>SUM(D33:F33)</f>
        <v>-25944.489999999998</v>
      </c>
      <c r="H33" s="36">
        <f>G33+C33</f>
        <v>-97079.69</v>
      </c>
      <c r="I33" s="59">
        <v>-9585.29</v>
      </c>
      <c r="J33" s="59">
        <v>-9914.51</v>
      </c>
      <c r="K33" s="59">
        <v>-14770.53</v>
      </c>
      <c r="L33" s="36">
        <f>SUM(I33:K33)</f>
        <v>-34270.33</v>
      </c>
      <c r="M33" s="36">
        <f>L33+H33</f>
        <v>-131350.02000000002</v>
      </c>
      <c r="N33" s="59">
        <v>-13944.86</v>
      </c>
      <c r="O33" s="59">
        <v>-11841.94</v>
      </c>
      <c r="P33" s="59">
        <v>-11914.97</v>
      </c>
      <c r="Q33" s="36">
        <f>SUM(N33:P33)</f>
        <v>-37701.770000000004</v>
      </c>
      <c r="R33" s="36">
        <f>Q33+M33</f>
        <v>-169051.79000000004</v>
      </c>
      <c r="S33" s="59">
        <v>-13459.27</v>
      </c>
      <c r="T33" s="59">
        <v>-9911.92</v>
      </c>
      <c r="U33" s="59">
        <f>-6776.69+8959.98-5107</f>
        <v>-2923.71</v>
      </c>
      <c r="V33" s="36">
        <f>SUM(S33:U33)</f>
        <v>-26294.9</v>
      </c>
      <c r="W33" s="66">
        <f>V33+R33</f>
        <v>-195346.69000000003</v>
      </c>
    </row>
    <row r="34" spans="1:23" ht="15.75">
      <c r="A34" s="40" t="s">
        <v>36</v>
      </c>
      <c r="B34" s="58" t="s">
        <v>3</v>
      </c>
      <c r="C34" s="42">
        <f>W21</f>
        <v>-253.86000000000308</v>
      </c>
      <c r="D34" s="60">
        <f>ROUND((+C33)*0.0147/12,2)</f>
        <v>-87.14</v>
      </c>
      <c r="E34" s="60">
        <f>ROUND((C33+D33)*0.0147/12,2)</f>
        <v>-98.11</v>
      </c>
      <c r="F34" s="60">
        <f>ROUND((C33+D33+E33)*0.0147/12,2)</f>
        <v>-108.94</v>
      </c>
      <c r="G34" s="42">
        <f>SUM(D34:F34)</f>
        <v>-294.19</v>
      </c>
      <c r="H34" s="42">
        <f>G34+C34</f>
        <v>-548.0500000000031</v>
      </c>
      <c r="I34" s="60">
        <f>ROUND(H33*0.0147/12,2)</f>
        <v>-118.92</v>
      </c>
      <c r="J34" s="60">
        <f>ROUND((H33+I33)*0.0147/12,2)</f>
        <v>-130.66</v>
      </c>
      <c r="K34" s="60">
        <f>ROUND((H33+I33+J33)*0.0147/12,2)</f>
        <v>-142.81</v>
      </c>
      <c r="L34" s="42">
        <f>SUM(I34:K34)</f>
        <v>-392.39</v>
      </c>
      <c r="M34" s="42">
        <f>L34+H34</f>
        <v>-940.4400000000031</v>
      </c>
      <c r="N34" s="60">
        <f>ROUND(M33*0.0147/12,2)</f>
        <v>-160.9</v>
      </c>
      <c r="O34" s="60">
        <f>ROUND((M33+N33)*0.0147/12,2)</f>
        <v>-177.99</v>
      </c>
      <c r="P34" s="60">
        <f>ROUND((M33+N33+O33)*0.0147/12,2)</f>
        <v>-192.49</v>
      </c>
      <c r="Q34" s="42">
        <f>SUM(N34:P34)</f>
        <v>-531.38</v>
      </c>
      <c r="R34" s="42">
        <f>Q34+M34</f>
        <v>-1471.8200000000031</v>
      </c>
      <c r="S34" s="60">
        <f>ROUND(R33*0.0147/12,2)</f>
        <v>-207.09</v>
      </c>
      <c r="T34" s="60">
        <f>ROUND((R33+S33)*0.0147/12,2)</f>
        <v>-223.58</v>
      </c>
      <c r="U34" s="60">
        <f>ROUND((R33+S33+T33)*0.0147/12,2)</f>
        <v>-235.72</v>
      </c>
      <c r="V34" s="42">
        <f>SUM(S34:U34)</f>
        <v>-666.39</v>
      </c>
      <c r="W34" s="67">
        <f>V34+R34</f>
        <v>-2138.210000000003</v>
      </c>
    </row>
    <row r="36" spans="1:23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3:4" ht="18.75">
      <c r="C37" s="53">
        <v>2013</v>
      </c>
      <c r="D37" s="53">
        <v>2014</v>
      </c>
    </row>
    <row r="38" spans="1:23" ht="18.75">
      <c r="A38" s="53">
        <v>2014</v>
      </c>
      <c r="B38" s="21" t="s">
        <v>29</v>
      </c>
      <c r="C38" s="14" t="s">
        <v>11</v>
      </c>
      <c r="D38" s="6" t="s">
        <v>13</v>
      </c>
      <c r="E38" s="6" t="s">
        <v>14</v>
      </c>
      <c r="F38" s="6" t="s">
        <v>15</v>
      </c>
      <c r="G38" s="16" t="s">
        <v>16</v>
      </c>
      <c r="H38" s="16" t="s">
        <v>17</v>
      </c>
      <c r="I38" s="6" t="s">
        <v>18</v>
      </c>
      <c r="J38" s="6" t="s">
        <v>19</v>
      </c>
      <c r="K38" s="6" t="s">
        <v>20</v>
      </c>
      <c r="L38" s="16" t="s">
        <v>16</v>
      </c>
      <c r="M38" s="16" t="s">
        <v>17</v>
      </c>
      <c r="N38" s="6" t="s">
        <v>21</v>
      </c>
      <c r="O38" s="6" t="s">
        <v>22</v>
      </c>
      <c r="P38" s="6" t="s">
        <v>23</v>
      </c>
      <c r="Q38" s="16" t="s">
        <v>16</v>
      </c>
      <c r="R38" s="16" t="s">
        <v>17</v>
      </c>
      <c r="S38" s="1" t="s">
        <v>24</v>
      </c>
      <c r="T38" s="1" t="s">
        <v>25</v>
      </c>
      <c r="U38" s="1" t="s">
        <v>26</v>
      </c>
      <c r="V38" s="11" t="s">
        <v>16</v>
      </c>
      <c r="W38" s="11" t="s">
        <v>17</v>
      </c>
    </row>
    <row r="39" spans="3:23" ht="15.75">
      <c r="C39" s="11" t="s">
        <v>28</v>
      </c>
      <c r="D39" s="6"/>
      <c r="E39" s="6"/>
      <c r="F39" s="6"/>
      <c r="G39" s="10"/>
      <c r="H39" s="10"/>
      <c r="I39" s="6"/>
      <c r="J39" s="6"/>
      <c r="K39" s="6"/>
      <c r="L39" s="10"/>
      <c r="M39" s="10"/>
      <c r="N39" s="6"/>
      <c r="O39" s="6"/>
      <c r="P39" s="6"/>
      <c r="Q39" s="10"/>
      <c r="R39" s="10"/>
      <c r="S39" s="1"/>
      <c r="T39" s="1"/>
      <c r="U39" s="1"/>
      <c r="V39" s="25"/>
      <c r="W39" s="25"/>
    </row>
    <row r="40" spans="1:23" ht="15.75">
      <c r="A40" s="1" t="s">
        <v>35</v>
      </c>
      <c r="B40" s="1" t="s">
        <v>1</v>
      </c>
      <c r="C40" s="2">
        <f>W29</f>
        <v>-213828.06000000003</v>
      </c>
      <c r="D40" s="63">
        <v>-5278.93</v>
      </c>
      <c r="E40" s="63">
        <v>-2828.78</v>
      </c>
      <c r="F40" s="63">
        <v>-4515.85</v>
      </c>
      <c r="G40" s="2">
        <f>SUM(D40:F40)</f>
        <v>-12623.560000000001</v>
      </c>
      <c r="H40" s="2">
        <f>G40+C40</f>
        <v>-226451.62000000002</v>
      </c>
      <c r="I40" s="63">
        <v>-4586.99</v>
      </c>
      <c r="J40" s="63">
        <v>-8114.17</v>
      </c>
      <c r="K40" s="63">
        <v>-12112.26</v>
      </c>
      <c r="L40" s="2">
        <f>SUM(I40:K40)</f>
        <v>-24813.42</v>
      </c>
      <c r="M40" s="2">
        <f>L40+H40</f>
        <v>-251265.04000000004</v>
      </c>
      <c r="N40" s="63">
        <v>-50503.85</v>
      </c>
      <c r="O40" s="63">
        <v>-11982.25</v>
      </c>
      <c r="P40" s="63">
        <v>-12651.65</v>
      </c>
      <c r="Q40" s="2">
        <f>SUM(N40:P40)</f>
        <v>-75137.75</v>
      </c>
      <c r="R40" s="2">
        <f>Q40+M40</f>
        <v>-326402.79000000004</v>
      </c>
      <c r="S40" s="63">
        <v>-9525.21</v>
      </c>
      <c r="T40" s="63">
        <v>-6611.18</v>
      </c>
      <c r="U40" s="63">
        <v>26593.08</v>
      </c>
      <c r="V40" s="2">
        <f>SUM(S40:U40)</f>
        <v>10456.690000000002</v>
      </c>
      <c r="W40" s="2">
        <f>V40+R40</f>
        <v>-315946.10000000003</v>
      </c>
    </row>
    <row r="41" spans="1:23" ht="15.75">
      <c r="A41" s="1" t="s">
        <v>36</v>
      </c>
      <c r="B41" s="1" t="s">
        <v>3</v>
      </c>
      <c r="C41" s="2">
        <f>W30</f>
        <v>16014.959999999997</v>
      </c>
      <c r="D41" s="63">
        <v>-255.68</v>
      </c>
      <c r="E41" s="63">
        <v>-262.15</v>
      </c>
      <c r="F41" s="63">
        <v>-265.62</v>
      </c>
      <c r="G41" s="2">
        <f>SUM(D41:F41)</f>
        <v>-783.4499999999999</v>
      </c>
      <c r="H41" s="2">
        <f>G41+C41</f>
        <v>15231.509999999997</v>
      </c>
      <c r="I41" s="63">
        <v>-277.4</v>
      </c>
      <c r="J41" s="63">
        <v>-283.02</v>
      </c>
      <c r="K41" s="63">
        <v>-292.96</v>
      </c>
      <c r="L41" s="2">
        <f>SUM(I41:K41)</f>
        <v>-853.3799999999999</v>
      </c>
      <c r="M41" s="2">
        <f>L41+H41</f>
        <v>14378.129999999997</v>
      </c>
      <c r="N41" s="63">
        <v>-268.83</v>
      </c>
      <c r="O41" s="63">
        <v>-330.7</v>
      </c>
      <c r="P41" s="63">
        <v>-345.37</v>
      </c>
      <c r="Q41" s="2">
        <f>SUM(N41:P41)</f>
        <v>-944.9</v>
      </c>
      <c r="R41" s="2">
        <f>Q41+M41</f>
        <v>13433.229999999998</v>
      </c>
      <c r="S41" s="63">
        <v>-360.87</v>
      </c>
      <c r="T41" s="63">
        <v>-372.54</v>
      </c>
      <c r="U41" s="63">
        <v>-380.64</v>
      </c>
      <c r="V41" s="2">
        <f>SUM(S41:U41)</f>
        <v>-1114.0500000000002</v>
      </c>
      <c r="W41" s="2">
        <f>V41+R41</f>
        <v>12319.179999999997</v>
      </c>
    </row>
    <row r="43" spans="1:25" ht="15.75">
      <c r="A43" s="31"/>
      <c r="B43" s="32" t="s">
        <v>32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46"/>
      <c r="Y43" s="93"/>
    </row>
    <row r="44" spans="1:23" ht="15.75">
      <c r="A44" s="35" t="s">
        <v>35</v>
      </c>
      <c r="B44" s="55" t="s">
        <v>1</v>
      </c>
      <c r="C44" s="36">
        <f>W33</f>
        <v>-195346.69000000003</v>
      </c>
      <c r="D44" s="59">
        <v>-5278.93</v>
      </c>
      <c r="E44" s="59">
        <v>-2828.78</v>
      </c>
      <c r="F44" s="59">
        <v>-4515.85</v>
      </c>
      <c r="G44" s="36">
        <f>SUM(D44:F44)</f>
        <v>-12623.560000000001</v>
      </c>
      <c r="H44" s="36">
        <f>G44+C44</f>
        <v>-207970.25000000003</v>
      </c>
      <c r="I44" s="59">
        <v>-4586.99</v>
      </c>
      <c r="J44" s="59">
        <v>-8114.17</v>
      </c>
      <c r="K44" s="59">
        <v>-12112.26</v>
      </c>
      <c r="L44" s="36">
        <f>SUM(I44:K44)</f>
        <v>-24813.42</v>
      </c>
      <c r="M44" s="36">
        <f>L44+H44</f>
        <v>-232783.67000000004</v>
      </c>
      <c r="N44" s="59">
        <v>-50503.85</v>
      </c>
      <c r="O44" s="59">
        <v>-11982.25</v>
      </c>
      <c r="P44" s="59">
        <v>-12651.65</v>
      </c>
      <c r="Q44" s="36">
        <f>SUM(N44:P44)</f>
        <v>-75137.75</v>
      </c>
      <c r="R44" s="36">
        <f>Q44+M44</f>
        <v>-307921.42000000004</v>
      </c>
      <c r="S44" s="59">
        <v>-9525.21</v>
      </c>
      <c r="T44" s="59">
        <v>-6611.18</v>
      </c>
      <c r="U44" s="59">
        <v>26593.08</v>
      </c>
      <c r="V44" s="36">
        <f>SUM(S44:U44)</f>
        <v>10456.690000000002</v>
      </c>
      <c r="W44" s="66">
        <f>V44+R44</f>
        <v>-297464.73000000004</v>
      </c>
    </row>
    <row r="45" spans="1:23" ht="15.75">
      <c r="A45" s="40" t="s">
        <v>36</v>
      </c>
      <c r="B45" s="58" t="s">
        <v>3</v>
      </c>
      <c r="C45" s="42">
        <f>W34</f>
        <v>-2138.210000000003</v>
      </c>
      <c r="D45" s="60">
        <f>ROUND((C44)*0.0147/12,2)</f>
        <v>-239.3</v>
      </c>
      <c r="E45" s="60">
        <f>ROUND((+C44+D44)*0.0147/12,2)</f>
        <v>-245.77</v>
      </c>
      <c r="F45" s="60">
        <f>ROUND((C44+D44+E44)*0.0147/12,2)</f>
        <v>-249.23</v>
      </c>
      <c r="G45" s="42">
        <f>SUM(D45:F45)</f>
        <v>-734.3000000000001</v>
      </c>
      <c r="H45" s="42">
        <f>G45+C45</f>
        <v>-2872.5100000000034</v>
      </c>
      <c r="I45" s="60">
        <f>ROUND((H44)*0.0147/12,2)</f>
        <v>-254.76</v>
      </c>
      <c r="J45" s="60">
        <f>ROUND((+H44+I44)*0.0147/12,2)</f>
        <v>-260.38</v>
      </c>
      <c r="K45" s="60">
        <f>ROUND((H44+I44+J44)*0.0147/12,2)</f>
        <v>-270.32</v>
      </c>
      <c r="L45" s="42">
        <f>SUM(I45:K45)</f>
        <v>-785.46</v>
      </c>
      <c r="M45" s="42">
        <f>L45+H45</f>
        <v>-3657.9700000000034</v>
      </c>
      <c r="N45" s="60">
        <f>ROUND((M44)*0.0147/12,2)</f>
        <v>-285.16</v>
      </c>
      <c r="O45" s="60">
        <f>ROUND((+M44+N44)*0.0147/12,2)</f>
        <v>-347.03</v>
      </c>
      <c r="P45" s="60">
        <f>ROUND((M44+N44+O44)*0.0147/12,2)</f>
        <v>-361.71</v>
      </c>
      <c r="Q45" s="42">
        <f>SUM(N45:P45)</f>
        <v>-993.9000000000001</v>
      </c>
      <c r="R45" s="42">
        <f>Q45+M45</f>
        <v>-4651.8700000000035</v>
      </c>
      <c r="S45" s="60">
        <f>ROUND((R44)*0.0147/12,2)</f>
        <v>-377.2</v>
      </c>
      <c r="T45" s="60">
        <f>ROUND((+R44+S44)*0.0147/12,2)</f>
        <v>-388.87</v>
      </c>
      <c r="U45" s="60">
        <f>ROUND((R44+S44+T44)*0.0147/12,2)</f>
        <v>-396.97</v>
      </c>
      <c r="V45" s="42">
        <f>SUM(S45:U45)</f>
        <v>-1163.04</v>
      </c>
      <c r="W45" s="67">
        <f>V45+R45</f>
        <v>-5814.9100000000035</v>
      </c>
    </row>
    <row r="46" spans="22:23" ht="15.75">
      <c r="V46" s="5"/>
      <c r="W46" s="5"/>
    </row>
    <row r="47" spans="1:23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3:4" ht="18.75">
      <c r="C48" s="53">
        <v>2014</v>
      </c>
      <c r="D48" s="53">
        <v>2015</v>
      </c>
    </row>
    <row r="49" spans="1:23" ht="18.75">
      <c r="A49" s="53">
        <v>2015</v>
      </c>
      <c r="B49" s="21" t="s">
        <v>29</v>
      </c>
      <c r="C49" s="14" t="s">
        <v>11</v>
      </c>
      <c r="D49" s="6" t="s">
        <v>13</v>
      </c>
      <c r="E49" s="6" t="s">
        <v>14</v>
      </c>
      <c r="F49" s="6" t="s">
        <v>15</v>
      </c>
      <c r="G49" s="16" t="s">
        <v>16</v>
      </c>
      <c r="H49" s="16" t="s">
        <v>17</v>
      </c>
      <c r="I49" s="6" t="s">
        <v>18</v>
      </c>
      <c r="J49" s="6" t="s">
        <v>19</v>
      </c>
      <c r="K49" s="6" t="s">
        <v>20</v>
      </c>
      <c r="L49" s="16" t="s">
        <v>16</v>
      </c>
      <c r="M49" s="16" t="s">
        <v>17</v>
      </c>
      <c r="N49" s="6" t="s">
        <v>21</v>
      </c>
      <c r="O49" s="6" t="s">
        <v>22</v>
      </c>
      <c r="P49" s="6" t="s">
        <v>23</v>
      </c>
      <c r="Q49" s="16" t="s">
        <v>16</v>
      </c>
      <c r="R49" s="16" t="s">
        <v>17</v>
      </c>
      <c r="S49" s="1" t="s">
        <v>24</v>
      </c>
      <c r="T49" s="1" t="s">
        <v>25</v>
      </c>
      <c r="U49" s="1" t="s">
        <v>26</v>
      </c>
      <c r="V49" s="11" t="s">
        <v>16</v>
      </c>
      <c r="W49" s="11" t="s">
        <v>17</v>
      </c>
    </row>
    <row r="50" spans="3:23" ht="15.75">
      <c r="C50" s="11" t="s">
        <v>28</v>
      </c>
      <c r="D50" s="6"/>
      <c r="E50" s="6"/>
      <c r="F50" s="6"/>
      <c r="G50" s="10"/>
      <c r="H50" s="10"/>
      <c r="I50" s="6"/>
      <c r="J50" s="6"/>
      <c r="K50" s="6"/>
      <c r="L50" s="10"/>
      <c r="M50" s="10"/>
      <c r="N50" s="6"/>
      <c r="O50" s="6"/>
      <c r="P50" s="6"/>
      <c r="Q50" s="10"/>
      <c r="R50" s="10"/>
      <c r="S50" s="1"/>
      <c r="T50" s="1"/>
      <c r="U50" s="1"/>
      <c r="V50" s="25"/>
      <c r="W50" s="25"/>
    </row>
    <row r="51" spans="1:23" ht="15.75">
      <c r="A51" s="1" t="s">
        <v>35</v>
      </c>
      <c r="B51" s="1" t="s">
        <v>1</v>
      </c>
      <c r="C51" s="76">
        <f>W40</f>
        <v>-315946.10000000003</v>
      </c>
      <c r="D51" s="63">
        <v>-4446.96</v>
      </c>
      <c r="E51" s="63">
        <v>-5160.91</v>
      </c>
      <c r="F51" s="63">
        <v>-7188.82</v>
      </c>
      <c r="G51" s="2">
        <f>SUM(D51:F51)</f>
        <v>-16796.69</v>
      </c>
      <c r="H51" s="2">
        <f>G51+C51</f>
        <v>-332742.79000000004</v>
      </c>
      <c r="I51" s="77">
        <v>-7332.29</v>
      </c>
      <c r="J51" s="77">
        <v>-25199.31</v>
      </c>
      <c r="K51" s="77">
        <v>-22975.45</v>
      </c>
      <c r="L51" s="2">
        <f>SUM(I51:K51)</f>
        <v>-55507.05</v>
      </c>
      <c r="M51" s="2">
        <f>L51+H51</f>
        <v>-388249.84</v>
      </c>
      <c r="N51" s="3">
        <v>-22921.13</v>
      </c>
      <c r="O51" s="4">
        <v>-22509.77</v>
      </c>
      <c r="P51" s="4">
        <v>-25392.9</v>
      </c>
      <c r="Q51" s="2">
        <f>SUM(N51:P51)</f>
        <v>-70823.8</v>
      </c>
      <c r="R51" s="2">
        <f>M51+Q51</f>
        <v>-459073.64</v>
      </c>
      <c r="S51" s="4">
        <v>-17615.4</v>
      </c>
      <c r="T51" s="4">
        <v>-16363.95</v>
      </c>
      <c r="U51" s="4">
        <v>-14262.22</v>
      </c>
      <c r="V51" s="2">
        <f>SUM(S51:U51)</f>
        <v>-48241.57000000001</v>
      </c>
      <c r="W51" s="2">
        <f>V51+R51</f>
        <v>-507315.21</v>
      </c>
    </row>
    <row r="52" spans="1:23" ht="15.75">
      <c r="A52" s="1" t="s">
        <v>36</v>
      </c>
      <c r="B52" s="1" t="s">
        <v>3</v>
      </c>
      <c r="C52" s="76">
        <f>W41</f>
        <v>12319.179999999997</v>
      </c>
      <c r="D52" s="63">
        <v>-387.03</v>
      </c>
      <c r="E52" s="63">
        <v>-392.48</v>
      </c>
      <c r="F52" s="63">
        <v>-398.8</v>
      </c>
      <c r="G52" s="2">
        <f>SUM(D52:F52)</f>
        <v>-1178.31</v>
      </c>
      <c r="H52" s="2">
        <f>G52+C52</f>
        <v>11140.869999999997</v>
      </c>
      <c r="I52" s="3">
        <f>ROUND(H51*0.011/12,2)</f>
        <v>-305.01</v>
      </c>
      <c r="J52" s="78">
        <v>-311.74</v>
      </c>
      <c r="K52" s="3">
        <v>-334.83</v>
      </c>
      <c r="L52" s="2">
        <f>SUM(I52:K52)</f>
        <v>-951.5799999999999</v>
      </c>
      <c r="M52" s="2">
        <f>L52+H52</f>
        <v>10189.289999999997</v>
      </c>
      <c r="N52" s="4">
        <f>ROUND(M51*0.011/12,2)</f>
        <v>-355.9</v>
      </c>
      <c r="O52" s="4">
        <f>ROUND((M51+N51)*0.011/12,2)</f>
        <v>-376.91</v>
      </c>
      <c r="P52" s="4">
        <f>ROUND((M51+N51+O51)*0.011/12,2)</f>
        <v>-397.54</v>
      </c>
      <c r="Q52" s="2">
        <f>SUM(N52:P52)</f>
        <v>-1130.35</v>
      </c>
      <c r="R52" s="2">
        <f>M52+Q52</f>
        <v>9058.939999999997</v>
      </c>
      <c r="S52" s="4">
        <f>ROUND(R51*0.011/12,2)</f>
        <v>-420.82</v>
      </c>
      <c r="T52" s="4">
        <f>ROUND((R51+S51)*0.011/12,2)</f>
        <v>-436.96</v>
      </c>
      <c r="U52" s="4">
        <f>ROUND((R51+S51+T51)*0.011/12,2)</f>
        <v>-451.97</v>
      </c>
      <c r="V52" s="2">
        <f>SUM(S52:U52)</f>
        <v>-1309.75</v>
      </c>
      <c r="W52" s="2">
        <f>V52+R52</f>
        <v>7749.189999999997</v>
      </c>
    </row>
    <row r="54" spans="1:23" ht="15.75">
      <c r="A54" s="31"/>
      <c r="B54" s="32" t="s">
        <v>32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46"/>
    </row>
    <row r="55" spans="1:25" ht="15.75">
      <c r="A55" s="35" t="s">
        <v>35</v>
      </c>
      <c r="B55" s="55" t="s">
        <v>1</v>
      </c>
      <c r="C55" s="36">
        <f>W44</f>
        <v>-297464.73000000004</v>
      </c>
      <c r="D55" s="59">
        <v>-4446.96</v>
      </c>
      <c r="E55" s="59">
        <v>-5160.91</v>
      </c>
      <c r="F55" s="59">
        <v>-7188.82</v>
      </c>
      <c r="G55" s="36">
        <f>SUM(D55:F55)</f>
        <v>-16796.69</v>
      </c>
      <c r="H55" s="36">
        <f>G55+C55</f>
        <v>-314261.42000000004</v>
      </c>
      <c r="I55" s="59">
        <v>-7332.29</v>
      </c>
      <c r="J55" s="59">
        <v>-25199.31</v>
      </c>
      <c r="K55" s="59">
        <v>-22975.45</v>
      </c>
      <c r="L55" s="36">
        <f>SUM(I55:K55)</f>
        <v>-55507.05</v>
      </c>
      <c r="M55" s="36">
        <f>L55+H55</f>
        <v>-369768.47000000003</v>
      </c>
      <c r="N55" s="59">
        <v>-22921.13</v>
      </c>
      <c r="O55" s="59">
        <v>-22509.77</v>
      </c>
      <c r="P55" s="59">
        <v>-25392.9</v>
      </c>
      <c r="Q55" s="36">
        <f>SUM(N55:P55)</f>
        <v>-70823.8</v>
      </c>
      <c r="R55" s="36">
        <f>Q55+M55</f>
        <v>-440592.27</v>
      </c>
      <c r="S55" s="59">
        <v>-17615.4</v>
      </c>
      <c r="T55" s="59">
        <v>-16363.95</v>
      </c>
      <c r="U55" s="59">
        <v>-14262.22</v>
      </c>
      <c r="V55" s="36">
        <f>SUM(S55:U55)</f>
        <v>-48241.57000000001</v>
      </c>
      <c r="W55" s="66">
        <f>V55+R55</f>
        <v>-488833.84</v>
      </c>
      <c r="Y55" s="93"/>
    </row>
    <row r="56" spans="1:23" ht="15.75">
      <c r="A56" s="40" t="s">
        <v>36</v>
      </c>
      <c r="B56" s="58" t="s">
        <v>3</v>
      </c>
      <c r="C56" s="42">
        <f>W45</f>
        <v>-5814.9100000000035</v>
      </c>
      <c r="D56" s="60">
        <f>ROUND((C55)*0.0147/12,2)</f>
        <v>-364.39</v>
      </c>
      <c r="E56" s="60">
        <f>ROUND((+C55+D55)*0.0147/12,2)</f>
        <v>-369.84</v>
      </c>
      <c r="F56" s="60">
        <f>ROUND((C55+D55+E55)*0.0147/12,2)</f>
        <v>-376.16</v>
      </c>
      <c r="G56" s="42">
        <f>SUM(D56:F56)</f>
        <v>-1110.39</v>
      </c>
      <c r="H56" s="42">
        <f>G56+C56</f>
        <v>-6925.300000000004</v>
      </c>
      <c r="I56" s="60">
        <f>ROUND((H55)*0.011/12,2)</f>
        <v>-288.07</v>
      </c>
      <c r="J56" s="60">
        <f>ROUND((+H55+I55)*0.011/12,2)</f>
        <v>-294.79</v>
      </c>
      <c r="K56" s="60">
        <f>ROUND((H55+I55+J55)*0.011/12,2)</f>
        <v>-317.89</v>
      </c>
      <c r="L56" s="42">
        <f>SUM(I56:K56)</f>
        <v>-900.75</v>
      </c>
      <c r="M56" s="42">
        <f>L56+H56</f>
        <v>-7826.050000000004</v>
      </c>
      <c r="N56" s="60">
        <f>ROUND((M55)*0.011/12,2)</f>
        <v>-338.95</v>
      </c>
      <c r="O56" s="60">
        <f>ROUND((+M55+N55)*0.011/12,2)</f>
        <v>-359.97</v>
      </c>
      <c r="P56" s="60">
        <f>ROUND((M55+N55+O55)*0.011/12,2)</f>
        <v>-380.6</v>
      </c>
      <c r="Q56" s="42">
        <f>SUM(N56:P56)</f>
        <v>-1079.52</v>
      </c>
      <c r="R56" s="42">
        <f>Q56+M56</f>
        <v>-8905.570000000003</v>
      </c>
      <c r="S56" s="60">
        <f>ROUND((R55)*0.011/12,2)</f>
        <v>-403.88</v>
      </c>
      <c r="T56" s="60">
        <f>ROUND((+R55+S55)*0.011/12,2)</f>
        <v>-420.02</v>
      </c>
      <c r="U56" s="60">
        <f>ROUND((R55+S55+T55)*0.011/12,2)</f>
        <v>-435.02</v>
      </c>
      <c r="V56" s="42">
        <f>SUM(S56:U56)</f>
        <v>-1258.92</v>
      </c>
      <c r="W56" s="67">
        <f>V56+R56</f>
        <v>-10164.490000000003</v>
      </c>
    </row>
    <row r="58" spans="1:23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3:4" ht="18.75">
      <c r="C59" s="53">
        <v>2015</v>
      </c>
      <c r="D59" s="53">
        <v>2016</v>
      </c>
    </row>
    <row r="60" spans="1:23" ht="18.75">
      <c r="A60" s="53">
        <v>2016</v>
      </c>
      <c r="B60" s="21" t="s">
        <v>29</v>
      </c>
      <c r="C60" s="14" t="s">
        <v>11</v>
      </c>
      <c r="D60" s="6" t="s">
        <v>13</v>
      </c>
      <c r="E60" s="6" t="s">
        <v>14</v>
      </c>
      <c r="F60" s="6" t="s">
        <v>15</v>
      </c>
      <c r="G60" s="16" t="s">
        <v>16</v>
      </c>
      <c r="H60" s="16" t="s">
        <v>17</v>
      </c>
      <c r="I60" s="6" t="s">
        <v>18</v>
      </c>
      <c r="J60" s="6" t="s">
        <v>19</v>
      </c>
      <c r="K60" s="6" t="s">
        <v>20</v>
      </c>
      <c r="L60" s="16" t="s">
        <v>16</v>
      </c>
      <c r="M60" s="16" t="s">
        <v>17</v>
      </c>
      <c r="N60" s="6" t="s">
        <v>21</v>
      </c>
      <c r="O60" s="6" t="s">
        <v>22</v>
      </c>
      <c r="P60" s="6" t="s">
        <v>23</v>
      </c>
      <c r="Q60" s="16" t="s">
        <v>16</v>
      </c>
      <c r="R60" s="16" t="s">
        <v>17</v>
      </c>
      <c r="S60" s="1" t="s">
        <v>24</v>
      </c>
      <c r="T60" s="1" t="s">
        <v>25</v>
      </c>
      <c r="U60" s="1" t="s">
        <v>26</v>
      </c>
      <c r="V60" s="11" t="s">
        <v>16</v>
      </c>
      <c r="W60" s="11" t="s">
        <v>17</v>
      </c>
    </row>
    <row r="61" spans="3:23" ht="15.75">
      <c r="C61" s="11" t="s">
        <v>28</v>
      </c>
      <c r="D61" s="6"/>
      <c r="E61" s="6"/>
      <c r="F61" s="6"/>
      <c r="G61" s="10"/>
      <c r="H61" s="10"/>
      <c r="I61" s="6"/>
      <c r="J61" s="6"/>
      <c r="K61" s="6"/>
      <c r="L61" s="10"/>
      <c r="M61" s="10"/>
      <c r="N61" s="6"/>
      <c r="O61" s="6"/>
      <c r="P61" s="6"/>
      <c r="Q61" s="10"/>
      <c r="R61" s="10"/>
      <c r="S61" s="1"/>
      <c r="T61" s="1"/>
      <c r="U61" s="1"/>
      <c r="V61" s="25"/>
      <c r="W61" s="25"/>
    </row>
    <row r="62" spans="1:23" ht="15.75">
      <c r="A62" s="1" t="s">
        <v>35</v>
      </c>
      <c r="B62" s="1" t="s">
        <v>1</v>
      </c>
      <c r="C62" s="76">
        <f>W51</f>
        <v>-507315.21</v>
      </c>
      <c r="D62" s="4">
        <v>-10654.16</v>
      </c>
      <c r="E62" s="4">
        <v>-13769.1</v>
      </c>
      <c r="F62" s="4">
        <v>-25003.5</v>
      </c>
      <c r="G62" s="2">
        <f>SUM(D62:F62)</f>
        <v>-49426.76</v>
      </c>
      <c r="H62" s="2">
        <f>G62+C62</f>
        <v>-556741.97</v>
      </c>
      <c r="I62" s="77">
        <v>-4704.49</v>
      </c>
      <c r="J62" s="77">
        <v>71.22</v>
      </c>
      <c r="K62" s="77">
        <v>48.03</v>
      </c>
      <c r="L62" s="2">
        <f>SUM(I62:K62)</f>
        <v>-4585.24</v>
      </c>
      <c r="M62" s="2">
        <f>L62+H62</f>
        <v>-561327.21</v>
      </c>
      <c r="N62" s="63">
        <v>0.05</v>
      </c>
      <c r="O62" s="63">
        <v>251.4</v>
      </c>
      <c r="P62" s="63">
        <v>0</v>
      </c>
      <c r="Q62" s="75">
        <f>SUM(N62:P62)</f>
        <v>251.45000000000002</v>
      </c>
      <c r="R62" s="75">
        <f>Q62+M62</f>
        <v>-561075.76</v>
      </c>
      <c r="S62" s="63">
        <v>0</v>
      </c>
      <c r="T62" s="63">
        <v>0</v>
      </c>
      <c r="U62" s="63">
        <v>0</v>
      </c>
      <c r="V62" s="75">
        <f>SUM(S62:U62)</f>
        <v>0</v>
      </c>
      <c r="W62" s="75">
        <f>V62+R62</f>
        <v>-561075.76</v>
      </c>
    </row>
    <row r="63" spans="1:23" ht="15.75">
      <c r="A63" s="1" t="s">
        <v>36</v>
      </c>
      <c r="B63" s="1" t="s">
        <v>3</v>
      </c>
      <c r="C63" s="76">
        <f>W52</f>
        <v>7749.189999999997</v>
      </c>
      <c r="D63" s="4">
        <f>ROUND(C62*0.011/12,2)</f>
        <v>-465.04</v>
      </c>
      <c r="E63" s="4">
        <f>ROUND((C62+D62)*0.011/12,2)</f>
        <v>-474.81</v>
      </c>
      <c r="F63" s="4">
        <f>ROUND((C62+D62+E62)*0.011/12,2)</f>
        <v>-487.43</v>
      </c>
      <c r="G63" s="2">
        <f>SUM(D63:F63)</f>
        <v>-1427.28</v>
      </c>
      <c r="H63" s="2">
        <f>G63+C63</f>
        <v>6321.909999999997</v>
      </c>
      <c r="I63" s="3">
        <f>ROUND(H62*0.011/12,2)</f>
        <v>-510.35</v>
      </c>
      <c r="J63" s="78">
        <v>-514.66</v>
      </c>
      <c r="K63" s="3">
        <v>-514.59</v>
      </c>
      <c r="L63" s="2">
        <f>SUM(I63:K63)</f>
        <v>-1539.6</v>
      </c>
      <c r="M63" s="2">
        <f>L63+H63</f>
        <v>4782.309999999998</v>
      </c>
      <c r="N63" s="63">
        <v>-514.55</v>
      </c>
      <c r="O63" s="63">
        <v>-514.55</v>
      </c>
      <c r="P63" s="63">
        <v>-514.32</v>
      </c>
      <c r="Q63" s="75">
        <f>SUM(N63:P63)</f>
        <v>-1543.42</v>
      </c>
      <c r="R63" s="75">
        <f>Q63+M63</f>
        <v>3238.8899999999976</v>
      </c>
      <c r="S63" s="63">
        <v>-514.32</v>
      </c>
      <c r="T63" s="63">
        <v>-514.32</v>
      </c>
      <c r="U63" s="63">
        <v>-514.32</v>
      </c>
      <c r="V63" s="75">
        <f>SUM(S63:U63)</f>
        <v>-1542.96</v>
      </c>
      <c r="W63" s="75">
        <f>V63+R63</f>
        <v>1695.9299999999976</v>
      </c>
    </row>
    <row r="65" spans="1:23" ht="15.75">
      <c r="A65" s="31"/>
      <c r="B65" s="32" t="s">
        <v>32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46"/>
    </row>
    <row r="66" spans="1:25" ht="15.75">
      <c r="A66" s="35" t="s">
        <v>35</v>
      </c>
      <c r="B66" s="55" t="s">
        <v>1</v>
      </c>
      <c r="C66" s="36">
        <f>W55</f>
        <v>-488833.84</v>
      </c>
      <c r="D66" s="59">
        <v>-10654.16</v>
      </c>
      <c r="E66" s="59">
        <v>-13769.1</v>
      </c>
      <c r="F66" s="59">
        <v>-25003.5</v>
      </c>
      <c r="G66" s="36">
        <f>SUM(D66:F66)</f>
        <v>-49426.76</v>
      </c>
      <c r="H66" s="36">
        <f>G66+C66</f>
        <v>-538260.6</v>
      </c>
      <c r="I66" s="59">
        <v>-4704.49</v>
      </c>
      <c r="J66" s="59">
        <v>71.22</v>
      </c>
      <c r="K66" s="59">
        <v>48.03</v>
      </c>
      <c r="L66" s="36">
        <f>SUM(I66:K66)</f>
        <v>-4585.24</v>
      </c>
      <c r="M66" s="36">
        <f>L66+H66</f>
        <v>-542845.84</v>
      </c>
      <c r="N66" s="59">
        <v>0.05</v>
      </c>
      <c r="O66" s="59">
        <v>251.4</v>
      </c>
      <c r="P66" s="59">
        <v>0</v>
      </c>
      <c r="Q66" s="36">
        <f>SUM(N66:P66)</f>
        <v>251.45000000000002</v>
      </c>
      <c r="R66" s="36">
        <f>Q66+M66</f>
        <v>-542594.39</v>
      </c>
      <c r="S66" s="59">
        <v>0</v>
      </c>
      <c r="T66" s="59">
        <v>0</v>
      </c>
      <c r="U66" s="59">
        <v>0</v>
      </c>
      <c r="V66" s="36">
        <f>SUM(S66:U66)</f>
        <v>0</v>
      </c>
      <c r="W66" s="66">
        <f>V66+R66</f>
        <v>-542594.39</v>
      </c>
      <c r="Y66" s="93"/>
    </row>
    <row r="67" spans="1:23" ht="15.75">
      <c r="A67" s="40" t="s">
        <v>36</v>
      </c>
      <c r="B67" s="58" t="s">
        <v>3</v>
      </c>
      <c r="C67" s="42">
        <f>W56</f>
        <v>-10164.490000000003</v>
      </c>
      <c r="D67" s="60">
        <f>ROUND((C66)*0.011/12,2)</f>
        <v>-448.1</v>
      </c>
      <c r="E67" s="60">
        <f>ROUND((+C66+D66)*0.011/12,2)</f>
        <v>-457.86</v>
      </c>
      <c r="F67" s="60">
        <f>ROUND((C66+D66+E66)*0.011/12,2)</f>
        <v>-470.49</v>
      </c>
      <c r="G67" s="42">
        <f>SUM(D67:F67)</f>
        <v>-1376.45</v>
      </c>
      <c r="H67" s="42">
        <f>G67+C67</f>
        <v>-11540.940000000004</v>
      </c>
      <c r="I67" s="60">
        <f>ROUND((H66)*0.011/12,2)</f>
        <v>-493.41</v>
      </c>
      <c r="J67" s="60">
        <f>ROUND((+H66+I66)*0.011/12,2)</f>
        <v>-497.72</v>
      </c>
      <c r="K67" s="60">
        <f>ROUND((H66+I66+J66)*0.011/12,2)</f>
        <v>-497.65</v>
      </c>
      <c r="L67" s="42">
        <f>SUM(I67:K67)</f>
        <v>-1488.7800000000002</v>
      </c>
      <c r="M67" s="42">
        <f>L67+H67</f>
        <v>-13029.720000000005</v>
      </c>
      <c r="N67" s="60">
        <f>ROUND((M66)*0.011/12,2)</f>
        <v>-497.61</v>
      </c>
      <c r="O67" s="60">
        <f>ROUND((+M66+N66)*0.011/12,2)</f>
        <v>-497.61</v>
      </c>
      <c r="P67" s="60">
        <f>ROUND((M66+N66+O66)*0.011/12,2)</f>
        <v>-497.38</v>
      </c>
      <c r="Q67" s="42">
        <f>SUM(N67:P67)</f>
        <v>-1492.6</v>
      </c>
      <c r="R67" s="42">
        <f>Q67+M67</f>
        <v>-14522.320000000005</v>
      </c>
      <c r="S67" s="60">
        <f>ROUND((R66)*0.011/12,2)</f>
        <v>-497.38</v>
      </c>
      <c r="T67" s="60">
        <f>ROUND((+R66+S66)*0.011/12,2)</f>
        <v>-497.38</v>
      </c>
      <c r="U67" s="60">
        <f>ROUND((R66+S66+T66)*0.011/12,2)</f>
        <v>-497.38</v>
      </c>
      <c r="V67" s="42">
        <f>SUM(S67:U67)</f>
        <v>-1492.1399999999999</v>
      </c>
      <c r="W67" s="67">
        <f>V67+R67</f>
        <v>-16014.460000000005</v>
      </c>
    </row>
    <row r="69" spans="1:23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3:4" ht="18.75">
      <c r="C70" s="53">
        <v>2016</v>
      </c>
      <c r="D70" s="53">
        <v>2017</v>
      </c>
    </row>
    <row r="71" spans="1:23" ht="18.75">
      <c r="A71" s="53">
        <v>2017</v>
      </c>
      <c r="B71" s="21" t="s">
        <v>29</v>
      </c>
      <c r="C71" s="14" t="s">
        <v>11</v>
      </c>
      <c r="D71" s="6" t="s">
        <v>13</v>
      </c>
      <c r="E71" s="6" t="s">
        <v>14</v>
      </c>
      <c r="F71" s="6" t="s">
        <v>15</v>
      </c>
      <c r="G71" s="16" t="s">
        <v>16</v>
      </c>
      <c r="H71" s="16" t="s">
        <v>17</v>
      </c>
      <c r="I71" s="6" t="s">
        <v>18</v>
      </c>
      <c r="J71" s="6" t="s">
        <v>19</v>
      </c>
      <c r="K71" s="6" t="s">
        <v>20</v>
      </c>
      <c r="L71" s="16" t="s">
        <v>16</v>
      </c>
      <c r="M71" s="16" t="s">
        <v>17</v>
      </c>
      <c r="N71" s="6" t="s">
        <v>21</v>
      </c>
      <c r="O71" s="6" t="s">
        <v>22</v>
      </c>
      <c r="P71" s="6" t="s">
        <v>23</v>
      </c>
      <c r="Q71" s="16" t="s">
        <v>16</v>
      </c>
      <c r="R71" s="16" t="s">
        <v>17</v>
      </c>
      <c r="S71" s="1" t="s">
        <v>24</v>
      </c>
      <c r="T71" s="1" t="s">
        <v>25</v>
      </c>
      <c r="U71" s="1" t="s">
        <v>26</v>
      </c>
      <c r="V71" s="11" t="s">
        <v>16</v>
      </c>
      <c r="W71" s="11" t="s">
        <v>17</v>
      </c>
    </row>
    <row r="72" spans="3:23" ht="15.75">
      <c r="C72" s="11" t="s">
        <v>28</v>
      </c>
      <c r="D72" s="6"/>
      <c r="E72" s="6"/>
      <c r="F72" s="6"/>
      <c r="G72" s="10"/>
      <c r="H72" s="10"/>
      <c r="I72" s="6"/>
      <c r="J72" s="6"/>
      <c r="K72" s="6"/>
      <c r="L72" s="10"/>
      <c r="M72" s="10"/>
      <c r="N72" s="6"/>
      <c r="O72" s="6"/>
      <c r="P72" s="6"/>
      <c r="Q72" s="10"/>
      <c r="R72" s="10"/>
      <c r="S72" s="1"/>
      <c r="T72" s="1"/>
      <c r="U72" s="1"/>
      <c r="V72" s="25"/>
      <c r="W72" s="25"/>
    </row>
    <row r="73" spans="1:23" ht="15.75">
      <c r="A73" s="1" t="s">
        <v>35</v>
      </c>
      <c r="B73" s="1" t="s">
        <v>1</v>
      </c>
      <c r="C73" s="76">
        <f>W62</f>
        <v>-561075.76</v>
      </c>
      <c r="D73" s="63">
        <v>0</v>
      </c>
      <c r="E73" s="63">
        <v>0</v>
      </c>
      <c r="F73" s="63">
        <v>0</v>
      </c>
      <c r="G73" s="76">
        <f>SUM(D73:F73)</f>
        <v>0</v>
      </c>
      <c r="H73" s="76">
        <f>G73+C73</f>
        <v>-561075.76</v>
      </c>
      <c r="I73" s="63">
        <v>0</v>
      </c>
      <c r="J73" s="63">
        <v>0</v>
      </c>
      <c r="K73" s="63">
        <v>0</v>
      </c>
      <c r="L73" s="76">
        <f>SUM(I73:K73)</f>
        <v>0</v>
      </c>
      <c r="M73" s="76">
        <f>L73+H73</f>
        <v>-561075.76</v>
      </c>
      <c r="N73" s="63">
        <v>0</v>
      </c>
      <c r="O73" s="63">
        <v>0</v>
      </c>
      <c r="P73" s="63">
        <v>0</v>
      </c>
      <c r="Q73" s="76">
        <f>SUM(N73:P73)</f>
        <v>0</v>
      </c>
      <c r="R73" s="76">
        <f>Q73+M73</f>
        <v>-561075.76</v>
      </c>
      <c r="S73" s="63">
        <v>0</v>
      </c>
      <c r="T73" s="63">
        <v>0</v>
      </c>
      <c r="U73" s="63">
        <v>0</v>
      </c>
      <c r="V73" s="76">
        <f>SUM(S73:U73)</f>
        <v>0</v>
      </c>
      <c r="W73" s="76">
        <f>V73+R73</f>
        <v>-561075.76</v>
      </c>
    </row>
    <row r="74" spans="1:23" ht="15.75">
      <c r="A74" s="1" t="s">
        <v>36</v>
      </c>
      <c r="B74" s="1" t="s">
        <v>3</v>
      </c>
      <c r="C74" s="76">
        <f>W63</f>
        <v>1695.9299999999976</v>
      </c>
      <c r="D74" s="63">
        <v>-514.32</v>
      </c>
      <c r="E74" s="63">
        <v>-514.32</v>
      </c>
      <c r="F74" s="63">
        <v>-514.32</v>
      </c>
      <c r="G74" s="76">
        <f>SUM(D74:F74)</f>
        <v>-1542.96</v>
      </c>
      <c r="H74" s="76">
        <f>G74+C74</f>
        <v>152.96999999999753</v>
      </c>
      <c r="I74" s="63">
        <v>-514.32</v>
      </c>
      <c r="J74" s="63">
        <v>-514.32</v>
      </c>
      <c r="K74" s="63">
        <v>-514.32</v>
      </c>
      <c r="L74" s="76">
        <f>SUM(I74:K74)</f>
        <v>-1542.96</v>
      </c>
      <c r="M74" s="76">
        <f>L74+H74</f>
        <v>-1389.9900000000025</v>
      </c>
      <c r="N74" s="63">
        <v>-514.32</v>
      </c>
      <c r="O74" s="63">
        <v>-514.32</v>
      </c>
      <c r="P74" s="63">
        <v>-514.32</v>
      </c>
      <c r="Q74" s="76">
        <f>SUM(N74:P74)</f>
        <v>-1542.96</v>
      </c>
      <c r="R74" s="76">
        <f>Q74+M74</f>
        <v>-2932.9500000000025</v>
      </c>
      <c r="S74" s="63">
        <v>-701.34</v>
      </c>
      <c r="T74" s="63">
        <v>-701.34</v>
      </c>
      <c r="U74" s="63">
        <v>-701.34</v>
      </c>
      <c r="V74" s="76">
        <f>SUM(S74:U74)</f>
        <v>-2104.02</v>
      </c>
      <c r="W74" s="76">
        <f>V74+R74</f>
        <v>-5036.970000000003</v>
      </c>
    </row>
    <row r="76" spans="1:23" ht="15.75">
      <c r="A76" s="31"/>
      <c r="B76" s="32" t="s">
        <v>32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46"/>
    </row>
    <row r="77" spans="1:23" ht="15.75">
      <c r="A77" s="35" t="s">
        <v>35</v>
      </c>
      <c r="B77" s="55" t="s">
        <v>1</v>
      </c>
      <c r="C77" s="36">
        <f>W66</f>
        <v>-542594.39</v>
      </c>
      <c r="D77" s="59">
        <v>0</v>
      </c>
      <c r="E77" s="59">
        <v>0</v>
      </c>
      <c r="F77" s="59">
        <v>0</v>
      </c>
      <c r="G77" s="36">
        <f>SUM(D77:F77)</f>
        <v>0</v>
      </c>
      <c r="H77" s="36">
        <f>G77+C77</f>
        <v>-542594.39</v>
      </c>
      <c r="I77" s="59">
        <v>0</v>
      </c>
      <c r="J77" s="59">
        <v>0</v>
      </c>
      <c r="K77" s="59">
        <v>0</v>
      </c>
      <c r="L77" s="36">
        <f>SUM(I77:K77)</f>
        <v>0</v>
      </c>
      <c r="M77" s="36">
        <f>L77+H77</f>
        <v>-542594.39</v>
      </c>
      <c r="N77" s="59">
        <v>0</v>
      </c>
      <c r="O77" s="59">
        <v>0</v>
      </c>
      <c r="P77" s="59">
        <v>0</v>
      </c>
      <c r="Q77" s="36">
        <f>SUM(N77:P77)</f>
        <v>0</v>
      </c>
      <c r="R77" s="36">
        <f>Q77+M77</f>
        <v>-542594.39</v>
      </c>
      <c r="S77" s="59">
        <v>0</v>
      </c>
      <c r="T77" s="59">
        <v>0</v>
      </c>
      <c r="U77" s="59">
        <v>0</v>
      </c>
      <c r="V77" s="36">
        <f>SUM(S77:U77)</f>
        <v>0</v>
      </c>
      <c r="W77" s="66">
        <f>V77+R77</f>
        <v>-542594.39</v>
      </c>
    </row>
    <row r="78" spans="1:23" ht="15.75">
      <c r="A78" s="40" t="s">
        <v>36</v>
      </c>
      <c r="B78" s="58" t="s">
        <v>3</v>
      </c>
      <c r="C78" s="42">
        <f>W67</f>
        <v>-16014.460000000005</v>
      </c>
      <c r="D78" s="60">
        <f>ROUND((C77)*0.011/12,2)</f>
        <v>-497.38</v>
      </c>
      <c r="E78" s="60">
        <f>ROUND((+C77+D77)*0.011/12,2)</f>
        <v>-497.38</v>
      </c>
      <c r="F78" s="60">
        <f>ROUND((C77+D77+E77)*0.011/12,2)</f>
        <v>-497.38</v>
      </c>
      <c r="G78" s="42">
        <f>SUM(D78:F78)</f>
        <v>-1492.1399999999999</v>
      </c>
      <c r="H78" s="42">
        <f>G78+C78</f>
        <v>-17506.600000000006</v>
      </c>
      <c r="I78" s="60">
        <f>ROUND((H77)*0.011/12,2)</f>
        <v>-497.38</v>
      </c>
      <c r="J78" s="60">
        <f>ROUND((+H77+I77)*0.011/12,2)</f>
        <v>-497.38</v>
      </c>
      <c r="K78" s="60">
        <f>ROUND((H77+I77+J77)*0.011/12,2)</f>
        <v>-497.38</v>
      </c>
      <c r="L78" s="42">
        <f>SUM(I78:K78)</f>
        <v>-1492.1399999999999</v>
      </c>
      <c r="M78" s="42">
        <f>L78+H78</f>
        <v>-18998.740000000005</v>
      </c>
      <c r="N78" s="60">
        <f>ROUND((M77)*0.011/12,2)</f>
        <v>-497.38</v>
      </c>
      <c r="O78" s="60">
        <f>ROUND((+M77+N77)*0.011/12,2)</f>
        <v>-497.38</v>
      </c>
      <c r="P78" s="60">
        <f>ROUND((M77+N77+O77)*0.011/12,2)</f>
        <v>-497.38</v>
      </c>
      <c r="Q78" s="42">
        <f>SUM(N78:P78)</f>
        <v>-1492.1399999999999</v>
      </c>
      <c r="R78" s="42">
        <f>Q78+M78</f>
        <v>-20490.880000000005</v>
      </c>
      <c r="S78" s="60">
        <f>ROUND((R77)*0.015/12,2)</f>
        <v>-678.24</v>
      </c>
      <c r="T78" s="60">
        <f>ROUND((+R77+S77)*0.015/12,2)</f>
        <v>-678.24</v>
      </c>
      <c r="U78" s="60">
        <f>ROUND((R77+S77+T77)*0.015/12,2)</f>
        <v>-678.24</v>
      </c>
      <c r="V78" s="42">
        <f>SUM(S78:U78)</f>
        <v>-2034.72</v>
      </c>
      <c r="W78" s="67">
        <f>V78+R78</f>
        <v>-22525.600000000006</v>
      </c>
    </row>
    <row r="80" spans="1:3" ht="18.75">
      <c r="A80" s="53"/>
      <c r="B80" s="21" t="s">
        <v>32</v>
      </c>
      <c r="C80" s="94" t="s">
        <v>70</v>
      </c>
    </row>
    <row r="81" spans="2:3" ht="15.75">
      <c r="B81" s="94">
        <v>2018</v>
      </c>
      <c r="C81" s="62">
        <f>-(678.24*3)-(854.59*6)-(981.19*3)</f>
        <v>-10105.83</v>
      </c>
    </row>
    <row r="82" spans="2:3" ht="15.75">
      <c r="B82" s="94">
        <v>2019</v>
      </c>
      <c r="C82" s="95">
        <f>-(981.19*4)</f>
        <v>-3924.76</v>
      </c>
    </row>
    <row r="83" spans="2:3" ht="15">
      <c r="B83" t="s">
        <v>71</v>
      </c>
      <c r="C83" s="62">
        <f>SUM(C81:C82)</f>
        <v>-14030.59</v>
      </c>
    </row>
    <row r="84" spans="2:3" ht="15">
      <c r="B84" t="s">
        <v>73</v>
      </c>
      <c r="C84" s="95">
        <f>W78</f>
        <v>-22525.600000000006</v>
      </c>
    </row>
    <row r="85" spans="2:3" ht="15">
      <c r="B85" t="s">
        <v>72</v>
      </c>
      <c r="C85" s="62">
        <f>SUM(C83:C84)</f>
        <v>-36556.19</v>
      </c>
    </row>
    <row r="86" spans="2:3" ht="15">
      <c r="B86" t="s">
        <v>74</v>
      </c>
      <c r="C86" s="62">
        <f>W77</f>
        <v>-542594.39</v>
      </c>
    </row>
    <row r="87" spans="2:3" ht="15.75" thickBot="1">
      <c r="B87" t="s">
        <v>75</v>
      </c>
      <c r="C87" s="96">
        <f>SUM(C85:C86)</f>
        <v>-579150.5800000001</v>
      </c>
    </row>
    <row r="88" ht="15.75" thickTop="1"/>
  </sheetData>
  <sheetProtection/>
  <printOptions/>
  <pageMargins left="0.7" right="0.7" top="0.75" bottom="0.75" header="0.3" footer="0.3"/>
  <pageSetup horizontalDpi="600" verticalDpi="600" orientation="portrait" r:id="rId3"/>
  <ignoredErrors>
    <ignoredError sqref="C8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N55">
      <selection activeCell="U81" sqref="U80:W81"/>
    </sheetView>
  </sheetViews>
  <sheetFormatPr defaultColWidth="9.140625" defaultRowHeight="15"/>
  <cols>
    <col min="1" max="1" width="17.00390625" style="0" bestFit="1" customWidth="1"/>
    <col min="2" max="2" width="38.8515625" style="0" bestFit="1" customWidth="1"/>
    <col min="3" max="4" width="21.140625" style="0" customWidth="1"/>
    <col min="5" max="6" width="14.7109375" style="0" customWidth="1"/>
    <col min="7" max="7" width="15.57421875" style="0" customWidth="1"/>
    <col min="8" max="8" width="16.00390625" style="0" customWidth="1"/>
    <col min="9" max="9" width="18.00390625" style="0" customWidth="1"/>
    <col min="10" max="10" width="15.57421875" style="0" customWidth="1"/>
    <col min="11" max="11" width="14.7109375" style="0" customWidth="1"/>
    <col min="12" max="12" width="14.28125" style="0" customWidth="1"/>
    <col min="13" max="13" width="17.28125" style="0" customWidth="1"/>
    <col min="14" max="14" width="17.57421875" style="0" customWidth="1"/>
    <col min="15" max="15" width="18.00390625" style="0" customWidth="1"/>
    <col min="16" max="16" width="16.00390625" style="0" customWidth="1"/>
    <col min="17" max="18" width="15.57421875" style="0" customWidth="1"/>
    <col min="19" max="19" width="18.00390625" style="0" customWidth="1"/>
    <col min="20" max="20" width="16.00390625" style="0" customWidth="1"/>
    <col min="21" max="21" width="14.8515625" style="0" customWidth="1"/>
    <col min="22" max="22" width="16.00390625" style="0" customWidth="1"/>
    <col min="23" max="23" width="17.28125" style="0" customWidth="1"/>
    <col min="24" max="24" width="20.8515625" style="0" customWidth="1"/>
    <col min="25" max="28" width="20.8515625" style="0" bestFit="1" customWidth="1"/>
  </cols>
  <sheetData>
    <row r="1" spans="1:3" ht="18.75">
      <c r="A1" s="53">
        <v>2013</v>
      </c>
      <c r="B1" s="21" t="s">
        <v>29</v>
      </c>
      <c r="C1" s="21" t="s">
        <v>41</v>
      </c>
    </row>
    <row r="2" spans="1:26" ht="18.75">
      <c r="A2" s="1"/>
      <c r="B2" s="1"/>
      <c r="C2" s="8">
        <v>2012</v>
      </c>
      <c r="D2" s="9" t="s">
        <v>8</v>
      </c>
      <c r="E2" s="8">
        <v>2013</v>
      </c>
      <c r="F2" s="1"/>
      <c r="G2" s="1"/>
      <c r="H2" s="10"/>
      <c r="I2" s="10"/>
      <c r="J2" s="8">
        <v>2013</v>
      </c>
      <c r="K2" s="10"/>
      <c r="L2" s="1"/>
      <c r="M2" s="1"/>
      <c r="N2" s="1"/>
      <c r="O2" s="8">
        <v>2013</v>
      </c>
      <c r="P2" s="8"/>
      <c r="Q2" s="1"/>
      <c r="R2" s="1"/>
      <c r="S2" s="1"/>
      <c r="T2" s="8">
        <v>2013</v>
      </c>
      <c r="U2" s="1"/>
      <c r="V2" s="1"/>
      <c r="W2" s="11">
        <v>2013</v>
      </c>
      <c r="X2" s="1"/>
      <c r="Y2" s="53">
        <v>2013</v>
      </c>
      <c r="Z2" s="12"/>
    </row>
    <row r="3" spans="1:26" ht="15.75">
      <c r="A3" s="13" t="s">
        <v>9</v>
      </c>
      <c r="B3" s="13" t="s">
        <v>10</v>
      </c>
      <c r="C3" s="14" t="s">
        <v>11</v>
      </c>
      <c r="D3" s="15" t="s">
        <v>12</v>
      </c>
      <c r="E3" s="6" t="s">
        <v>13</v>
      </c>
      <c r="F3" s="6" t="s">
        <v>14</v>
      </c>
      <c r="G3" s="6" t="s">
        <v>15</v>
      </c>
      <c r="H3" s="16" t="s">
        <v>16</v>
      </c>
      <c r="I3" s="16" t="s">
        <v>17</v>
      </c>
      <c r="J3" s="6" t="s">
        <v>18</v>
      </c>
      <c r="K3" s="6" t="s">
        <v>19</v>
      </c>
      <c r="L3" s="6" t="s">
        <v>20</v>
      </c>
      <c r="M3" s="16" t="s">
        <v>16</v>
      </c>
      <c r="N3" s="16" t="s">
        <v>17</v>
      </c>
      <c r="O3" s="6" t="s">
        <v>21</v>
      </c>
      <c r="P3" s="6" t="s">
        <v>22</v>
      </c>
      <c r="Q3" s="6" t="s">
        <v>23</v>
      </c>
      <c r="R3" s="16" t="s">
        <v>16</v>
      </c>
      <c r="S3" s="16" t="s">
        <v>17</v>
      </c>
      <c r="T3" s="1" t="s">
        <v>24</v>
      </c>
      <c r="U3" s="1" t="s">
        <v>25</v>
      </c>
      <c r="V3" s="1" t="s">
        <v>26</v>
      </c>
      <c r="W3" s="11" t="s">
        <v>27</v>
      </c>
      <c r="X3" s="11" t="s">
        <v>16</v>
      </c>
      <c r="Y3" s="2" t="s">
        <v>17</v>
      </c>
      <c r="Z3" s="25"/>
    </row>
    <row r="4" spans="1:26" ht="15.75">
      <c r="A4" s="1"/>
      <c r="B4" s="1"/>
      <c r="C4" s="11" t="s">
        <v>28</v>
      </c>
      <c r="D4" s="1"/>
      <c r="E4" s="1"/>
      <c r="F4" s="1"/>
      <c r="G4" s="1"/>
      <c r="H4" s="16"/>
      <c r="I4" s="16"/>
      <c r="J4" s="1"/>
      <c r="K4" s="17"/>
      <c r="L4" s="1"/>
      <c r="M4" s="16"/>
      <c r="N4" s="16"/>
      <c r="O4" s="1"/>
      <c r="P4" s="1"/>
      <c r="Q4" s="1"/>
      <c r="R4" s="16"/>
      <c r="S4" s="16"/>
      <c r="T4" s="1"/>
      <c r="U4" s="1"/>
      <c r="V4" s="1"/>
      <c r="W4" s="18"/>
      <c r="X4" s="16"/>
      <c r="Y4" s="2"/>
      <c r="Z4" s="26"/>
    </row>
    <row r="5" spans="25:26" ht="15.75">
      <c r="Y5" s="2"/>
      <c r="Z5" s="27"/>
    </row>
    <row r="6" spans="1:26" ht="15.75">
      <c r="A6" s="1" t="s">
        <v>0</v>
      </c>
      <c r="B6" s="1" t="s">
        <v>1</v>
      </c>
      <c r="C6" s="2">
        <v>-4110079.1</v>
      </c>
      <c r="D6" s="3">
        <v>-160775.97</v>
      </c>
      <c r="E6" s="4">
        <v>160817.97</v>
      </c>
      <c r="F6" s="4">
        <v>165205.89</v>
      </c>
      <c r="G6" s="4">
        <v>166299.55</v>
      </c>
      <c r="H6" s="2">
        <f>SUM(E6:G6)</f>
        <v>492323.41</v>
      </c>
      <c r="I6" s="2">
        <f>H6+C6</f>
        <v>-3617755.69</v>
      </c>
      <c r="J6" s="3">
        <v>139913.17</v>
      </c>
      <c r="K6" s="5">
        <v>134671.28</v>
      </c>
      <c r="L6" s="3">
        <v>135940.07</v>
      </c>
      <c r="M6" s="2">
        <f>SUM(J6:L6)</f>
        <v>410524.52</v>
      </c>
      <c r="N6" s="2">
        <f>I6+M6</f>
        <v>-3207231.17</v>
      </c>
      <c r="O6" s="4">
        <v>142424.81</v>
      </c>
      <c r="P6" s="4">
        <v>172412.59</v>
      </c>
      <c r="Q6" s="4">
        <v>156478.83</v>
      </c>
      <c r="R6" s="2">
        <f>SUM(O6:Q6)</f>
        <v>471316.23</v>
      </c>
      <c r="S6" s="2">
        <f>N6+R6</f>
        <v>-2735914.94</v>
      </c>
      <c r="T6" s="4">
        <v>134806.75</v>
      </c>
      <c r="U6" s="4">
        <v>133165.87</v>
      </c>
      <c r="V6" s="4">
        <v>149231.29</v>
      </c>
      <c r="W6" s="2">
        <v>179781.37</v>
      </c>
      <c r="X6" s="2">
        <f>SUM(T6:W6)+D6</f>
        <v>436209.31000000006</v>
      </c>
      <c r="Y6" s="2">
        <f>X6+S6</f>
        <v>-2299705.63</v>
      </c>
      <c r="Z6" s="3"/>
    </row>
    <row r="7" spans="1:26" ht="15.75">
      <c r="A7" s="1" t="s">
        <v>2</v>
      </c>
      <c r="B7" s="1" t="s">
        <v>3</v>
      </c>
      <c r="C7" s="2">
        <v>-53711.31</v>
      </c>
      <c r="D7" s="4"/>
      <c r="E7" s="4">
        <f>ROUND((C6+D6)*0.0147/12,2)</f>
        <v>-5231.8</v>
      </c>
      <c r="F7" s="4">
        <f>ROUND((C6+D6+E6)*0.0147/12,2)</f>
        <v>-5034.8</v>
      </c>
      <c r="G7" s="4">
        <f>ROUND((C6+D6+E6+F6)*0.0147/12,2)</f>
        <v>-4832.42</v>
      </c>
      <c r="H7" s="2">
        <f>SUM(E7:G7)</f>
        <v>-15099.02</v>
      </c>
      <c r="I7" s="2">
        <f>H7+C7</f>
        <v>-68810.33</v>
      </c>
      <c r="J7" s="3">
        <f>ROUND(I6*0.0147/12,2)</f>
        <v>-4431.75</v>
      </c>
      <c r="K7" s="5">
        <f>ROUND((I6+J6)*0.0147/12,2)</f>
        <v>-4260.36</v>
      </c>
      <c r="L7" s="3">
        <f>ROUND((I6+J6+K6)*0.0147/12,2)</f>
        <v>-4095.38</v>
      </c>
      <c r="M7" s="2">
        <f>SUM(J7:L7)</f>
        <v>-12787.490000000002</v>
      </c>
      <c r="N7" s="2">
        <f>I7+M7</f>
        <v>-81597.82</v>
      </c>
      <c r="O7" s="4">
        <f>ROUND(N6*0.0147/12,2)</f>
        <v>-3928.86</v>
      </c>
      <c r="P7" s="4">
        <f>ROUND((N6+O6)*0.0147/12,2)</f>
        <v>-3754.39</v>
      </c>
      <c r="Q7" s="4">
        <f>ROUND((N6+O6+P6)*0.0147/12,2)</f>
        <v>-3543.18</v>
      </c>
      <c r="R7" s="2">
        <f>SUM(O7:Q7)</f>
        <v>-11226.43</v>
      </c>
      <c r="S7" s="2">
        <f>N7+R7</f>
        <v>-92824.25</v>
      </c>
      <c r="T7" s="4">
        <f>ROUND(S6*0.0147/12,2)</f>
        <v>-3351.5</v>
      </c>
      <c r="U7" s="4">
        <f>ROUND((S6+T6)*0.0147/12,2)</f>
        <v>-3186.36</v>
      </c>
      <c r="V7" s="4">
        <f>ROUND((S6+T6+U6)*0.0147/12,2)</f>
        <v>-3023.23</v>
      </c>
      <c r="W7" s="2"/>
      <c r="X7" s="2">
        <f>SUM(T7:W7)+D7</f>
        <v>-9561.09</v>
      </c>
      <c r="Y7" s="2">
        <f>X7+S7</f>
        <v>-102385.34</v>
      </c>
      <c r="Z7" s="3"/>
    </row>
    <row r="8" spans="1:26" ht="15.75">
      <c r="A8" s="10"/>
      <c r="B8" s="25"/>
      <c r="C8" s="3"/>
      <c r="D8" s="3"/>
      <c r="E8" s="3"/>
      <c r="F8" s="3"/>
      <c r="G8" s="3"/>
      <c r="H8" s="3"/>
      <c r="I8" s="3"/>
      <c r="J8" s="3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  <c r="Z8" s="3"/>
    </row>
    <row r="9" spans="1:26" ht="15.75">
      <c r="A9" s="1" t="s">
        <v>4</v>
      </c>
      <c r="B9" s="7" t="s">
        <v>5</v>
      </c>
      <c r="C9" s="2">
        <v>1619162.39</v>
      </c>
      <c r="D9" s="4">
        <v>56069.81</v>
      </c>
      <c r="E9" s="4">
        <v>-56046.42</v>
      </c>
      <c r="F9" s="4">
        <v>-55878.78</v>
      </c>
      <c r="G9" s="4">
        <v>-53803.24</v>
      </c>
      <c r="H9" s="2">
        <f>SUM(E9:G9)</f>
        <v>-165728.44</v>
      </c>
      <c r="I9" s="2">
        <f>H9+C9</f>
        <v>1453433.95</v>
      </c>
      <c r="J9" s="3">
        <v>-53604.64</v>
      </c>
      <c r="K9" s="5">
        <v>-54668.98</v>
      </c>
      <c r="L9" s="3">
        <v>-66782.53</v>
      </c>
      <c r="M9" s="2">
        <f>SUM(J9:L9)</f>
        <v>-175056.15</v>
      </c>
      <c r="N9" s="2">
        <f>I9+M9</f>
        <v>1278377.8</v>
      </c>
      <c r="O9" s="4">
        <v>-67352.71</v>
      </c>
      <c r="P9" s="4">
        <v>-69731.42</v>
      </c>
      <c r="Q9" s="4">
        <v>-66024.73</v>
      </c>
      <c r="R9" s="2">
        <f>SUM(O9:Q9)</f>
        <v>-203108.86</v>
      </c>
      <c r="S9" s="2">
        <f>N9+R9</f>
        <v>1075268.94</v>
      </c>
      <c r="T9" s="4">
        <v>-64558.57</v>
      </c>
      <c r="U9" s="4">
        <v>-56480.68</v>
      </c>
      <c r="V9" s="4">
        <v>-53796.81</v>
      </c>
      <c r="W9" s="2">
        <v>-56344.81</v>
      </c>
      <c r="X9" s="2">
        <f>SUM(T9:W9)+D9</f>
        <v>-175111.06</v>
      </c>
      <c r="Y9" s="2">
        <f>X9+S9</f>
        <v>900157.8799999999</v>
      </c>
      <c r="Z9" s="3"/>
    </row>
    <row r="10" spans="1:26" ht="15.75">
      <c r="A10" s="1" t="s">
        <v>6</v>
      </c>
      <c r="B10" s="7" t="s">
        <v>7</v>
      </c>
      <c r="C10" s="2">
        <v>35393</v>
      </c>
      <c r="D10" s="4"/>
      <c r="E10" s="4">
        <f>ROUND((C9+D9)*0.0147/12,2)</f>
        <v>2052.16</v>
      </c>
      <c r="F10" s="4">
        <f>ROUND((C9+D9+E9)*0.0147/12,2)</f>
        <v>1983.5</v>
      </c>
      <c r="G10" s="4">
        <f>ROUND((C9+D9+E9+F9)*0.0147/12,2)</f>
        <v>1915.05</v>
      </c>
      <c r="H10" s="2">
        <f>SUM(E10:G10)</f>
        <v>5950.71</v>
      </c>
      <c r="I10" s="2">
        <f>H10+C10</f>
        <v>41343.71</v>
      </c>
      <c r="J10" s="3">
        <f>ROUND(I9*0.0147/12,2)</f>
        <v>1780.46</v>
      </c>
      <c r="K10" s="5">
        <f>ROUND((I9+J9)*0.0147/12,2)</f>
        <v>1714.79</v>
      </c>
      <c r="L10" s="3">
        <f>ROUND((I9+J9+K9)*0.0147/12,2)</f>
        <v>1647.82</v>
      </c>
      <c r="M10" s="2">
        <f>SUM(J10:L10)</f>
        <v>5143.07</v>
      </c>
      <c r="N10" s="2">
        <f>I10+M10</f>
        <v>46486.78</v>
      </c>
      <c r="O10" s="4">
        <f>ROUND(N9*0.0147/12,2)</f>
        <v>1566.01</v>
      </c>
      <c r="P10" s="4">
        <f>ROUND((N9+O9)*0.0147/12,2)</f>
        <v>1483.51</v>
      </c>
      <c r="Q10" s="4">
        <f>ROUND((N9+O9+P9)*0.0147/12,2)</f>
        <v>1398.08</v>
      </c>
      <c r="R10" s="2">
        <f>SUM(O10:Q10)</f>
        <v>4447.6</v>
      </c>
      <c r="S10" s="2">
        <f>N10+R10</f>
        <v>50934.38</v>
      </c>
      <c r="T10" s="4">
        <f>ROUND(S9*0.0147/12,2)</f>
        <v>1317.2</v>
      </c>
      <c r="U10" s="4">
        <f>ROUND((S9+T9)*0.0147/12,2)</f>
        <v>1238.12</v>
      </c>
      <c r="V10" s="4">
        <f>ROUND((S9+T9+U9)*0.0147/12,2)</f>
        <v>1168.93</v>
      </c>
      <c r="W10" s="2"/>
      <c r="X10" s="2">
        <f>SUM(T10:V10)</f>
        <v>3724.25</v>
      </c>
      <c r="Y10" s="2">
        <f>X10+S10</f>
        <v>54658.63</v>
      </c>
      <c r="Z10" s="3"/>
    </row>
    <row r="11" spans="25:26" ht="15.75">
      <c r="Y11" s="2"/>
      <c r="Z11" s="27"/>
    </row>
    <row r="12" spans="2:26" ht="15.75">
      <c r="B12" s="8" t="s">
        <v>30</v>
      </c>
      <c r="Y12" s="2"/>
      <c r="Z12" s="27"/>
    </row>
    <row r="13" spans="1:26" ht="15.75">
      <c r="A13" s="1" t="s">
        <v>0</v>
      </c>
      <c r="B13" s="1" t="s">
        <v>1</v>
      </c>
      <c r="C13" s="2">
        <v>-4110079.1</v>
      </c>
      <c r="D13" s="3">
        <v>-160775.97</v>
      </c>
      <c r="E13" s="4">
        <v>160817.97</v>
      </c>
      <c r="F13" s="4">
        <v>165205.89</v>
      </c>
      <c r="G13" s="4">
        <v>166299.55</v>
      </c>
      <c r="H13" s="2">
        <f>SUM(E13:G13)</f>
        <v>492323.41</v>
      </c>
      <c r="I13" s="2">
        <f>H13+C13</f>
        <v>-3617755.69</v>
      </c>
      <c r="J13" s="3">
        <v>139913.17</v>
      </c>
      <c r="K13" s="5">
        <v>134671.28</v>
      </c>
      <c r="L13" s="3">
        <v>135940.07</v>
      </c>
      <c r="M13" s="2">
        <f>SUM(J13:L13)</f>
        <v>410524.52</v>
      </c>
      <c r="N13" s="2">
        <f>I13+M13</f>
        <v>-3207231.17</v>
      </c>
      <c r="O13" s="4">
        <v>142424.81</v>
      </c>
      <c r="P13" s="4">
        <v>172412.59</v>
      </c>
      <c r="Q13" s="4">
        <v>156478.83</v>
      </c>
      <c r="R13" s="2">
        <f>SUM(O13:Q13)</f>
        <v>471316.23</v>
      </c>
      <c r="S13" s="2">
        <f>N13+R13</f>
        <v>-2735914.94</v>
      </c>
      <c r="T13" s="4">
        <v>134806.75</v>
      </c>
      <c r="U13" s="4">
        <v>133165.87</v>
      </c>
      <c r="V13" s="4">
        <v>149231.29</v>
      </c>
      <c r="W13" s="2">
        <v>179781.37</v>
      </c>
      <c r="X13" s="2">
        <f>SUM(T13:W13)+D13</f>
        <v>436209.31000000006</v>
      </c>
      <c r="Y13" s="2">
        <f>X13+S13</f>
        <v>-2299705.63</v>
      </c>
      <c r="Z13" s="3"/>
    </row>
    <row r="14" spans="1:26" ht="15.75">
      <c r="A14" s="1" t="s">
        <v>2</v>
      </c>
      <c r="B14" s="1" t="s">
        <v>3</v>
      </c>
      <c r="C14" s="2">
        <v>-53711.31</v>
      </c>
      <c r="D14" s="4"/>
      <c r="E14" s="4">
        <f>ROUND((C13+D13)*0.0147/12,2)</f>
        <v>-5231.8</v>
      </c>
      <c r="F14" s="4">
        <f>ROUND((C13+D13+E13)*0.0147/12,2)</f>
        <v>-5034.8</v>
      </c>
      <c r="G14" s="4">
        <f>ROUND((C13+D13+E13+F13)*0.0147/12,2)</f>
        <v>-4832.42</v>
      </c>
      <c r="H14" s="2">
        <f>SUM(E14:G14)</f>
        <v>-15099.02</v>
      </c>
      <c r="I14" s="2">
        <f>H14+C14</f>
        <v>-68810.33</v>
      </c>
      <c r="J14" s="3">
        <f>ROUND(I13*0.0147/12,2)</f>
        <v>-4431.75</v>
      </c>
      <c r="K14" s="5">
        <f>ROUND((I13+J13)*0.0147/12,2)</f>
        <v>-4260.36</v>
      </c>
      <c r="L14" s="3">
        <f>ROUND((I13+J13+K13)*0.0147/12,2)</f>
        <v>-4095.38</v>
      </c>
      <c r="M14" s="2">
        <f>SUM(J14:L14)</f>
        <v>-12787.490000000002</v>
      </c>
      <c r="N14" s="2">
        <f>I14+M14</f>
        <v>-81597.82</v>
      </c>
      <c r="O14" s="4">
        <f>ROUND(N13*0.0147/12,2)</f>
        <v>-3928.86</v>
      </c>
      <c r="P14" s="4">
        <f>ROUND((N13+O13)*0.0147/12,2)</f>
        <v>-3754.39</v>
      </c>
      <c r="Q14" s="4">
        <f>ROUND((N13+O13+P13)*0.0147/12,2)</f>
        <v>-3543.18</v>
      </c>
      <c r="R14" s="2">
        <f>SUM(O14:Q14)</f>
        <v>-11226.43</v>
      </c>
      <c r="S14" s="2">
        <f>N14+R14</f>
        <v>-92824.25</v>
      </c>
      <c r="T14" s="4">
        <f>ROUND(S13*0.0147/12,2)</f>
        <v>-3351.5</v>
      </c>
      <c r="U14" s="4">
        <f>ROUND((S13+T13)*0.0147/12,2)</f>
        <v>-3186.36</v>
      </c>
      <c r="V14" s="4">
        <f>ROUND((S13+T13+U13)*0.0147/12,2)</f>
        <v>-3023.23</v>
      </c>
      <c r="W14" s="2"/>
      <c r="X14" s="2">
        <f>SUM(T14:W14)+D14</f>
        <v>-9561.09</v>
      </c>
      <c r="Y14" s="2">
        <f>X14+S14</f>
        <v>-102385.34</v>
      </c>
      <c r="Z14" s="3"/>
    </row>
    <row r="15" spans="1:26" ht="15.75">
      <c r="A15" s="10"/>
      <c r="B15" s="25"/>
      <c r="C15" s="3"/>
      <c r="D15" s="3"/>
      <c r="E15" s="3"/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</row>
    <row r="16" spans="1:26" ht="15.75">
      <c r="A16" s="1" t="s">
        <v>4</v>
      </c>
      <c r="B16" s="7" t="s">
        <v>5</v>
      </c>
      <c r="C16" s="2">
        <v>1619162.39</v>
      </c>
      <c r="D16" s="4">
        <v>56069.81</v>
      </c>
      <c r="E16" s="4">
        <v>-56046.42</v>
      </c>
      <c r="F16" s="4">
        <v>-55878.78</v>
      </c>
      <c r="G16" s="4">
        <v>-53803.24</v>
      </c>
      <c r="H16" s="2">
        <f>SUM(E16:G16)</f>
        <v>-165728.44</v>
      </c>
      <c r="I16" s="2">
        <f>H16+C16</f>
        <v>1453433.95</v>
      </c>
      <c r="J16" s="3">
        <v>-53604.64</v>
      </c>
      <c r="K16" s="5">
        <v>-54668.98</v>
      </c>
      <c r="L16" s="3">
        <v>-66782.53</v>
      </c>
      <c r="M16" s="2">
        <f>SUM(J16:L16)</f>
        <v>-175056.15</v>
      </c>
      <c r="N16" s="2">
        <f>I16+M16</f>
        <v>1278377.8</v>
      </c>
      <c r="O16" s="4">
        <v>-67352.71</v>
      </c>
      <c r="P16" s="4">
        <v>-69731.42</v>
      </c>
      <c r="Q16" s="4">
        <v>-66024.73</v>
      </c>
      <c r="R16" s="2">
        <f>SUM(O16:Q16)</f>
        <v>-203108.86</v>
      </c>
      <c r="S16" s="2">
        <f>N16+R16</f>
        <v>1075268.94</v>
      </c>
      <c r="T16" s="4">
        <v>-64558.57</v>
      </c>
      <c r="U16" s="4">
        <v>-56480.68</v>
      </c>
      <c r="V16" s="4">
        <v>-53796.81</v>
      </c>
      <c r="W16" s="2">
        <v>-56344.81</v>
      </c>
      <c r="X16" s="2">
        <f>SUM(T16:W16)+D16</f>
        <v>-175111.06</v>
      </c>
      <c r="Y16" s="2">
        <f>X16+S16</f>
        <v>900157.8799999999</v>
      </c>
      <c r="Z16" s="3"/>
    </row>
    <row r="17" spans="1:26" ht="15.75">
      <c r="A17" s="1" t="s">
        <v>6</v>
      </c>
      <c r="B17" s="7" t="s">
        <v>7</v>
      </c>
      <c r="C17" s="2">
        <v>35393</v>
      </c>
      <c r="D17" s="4"/>
      <c r="E17" s="4">
        <f>ROUND((C16+D16)*0.0147/12,2)</f>
        <v>2052.16</v>
      </c>
      <c r="F17" s="4">
        <f>ROUND((C16+D16+E16)*0.0147/12,2)</f>
        <v>1983.5</v>
      </c>
      <c r="G17" s="4">
        <f>ROUND((C16+D16+E16+F16)*0.0147/12,2)</f>
        <v>1915.05</v>
      </c>
      <c r="H17" s="2">
        <f>SUM(E17:G17)</f>
        <v>5950.71</v>
      </c>
      <c r="I17" s="2">
        <f>H17+C17</f>
        <v>41343.71</v>
      </c>
      <c r="J17" s="3">
        <f>ROUND(I16*0.0147/12,2)</f>
        <v>1780.46</v>
      </c>
      <c r="K17" s="5">
        <f>ROUND((I16+J16)*0.0147/12,2)</f>
        <v>1714.79</v>
      </c>
      <c r="L17" s="3">
        <f>ROUND((I16+J16+K16)*0.0147/12,2)</f>
        <v>1647.82</v>
      </c>
      <c r="M17" s="2">
        <f>SUM(J17:L17)</f>
        <v>5143.07</v>
      </c>
      <c r="N17" s="2">
        <f>I17+M17</f>
        <v>46486.78</v>
      </c>
      <c r="O17" s="4">
        <f>ROUND(N16*0.0147/12,2)</f>
        <v>1566.01</v>
      </c>
      <c r="P17" s="4">
        <f>ROUND((N16+O16)*0.0147/12,2)</f>
        <v>1483.51</v>
      </c>
      <c r="Q17" s="4">
        <f>ROUND((N16+O16+P16)*0.0147/12,2)</f>
        <v>1398.08</v>
      </c>
      <c r="R17" s="2">
        <f>SUM(O17:Q17)</f>
        <v>4447.6</v>
      </c>
      <c r="S17" s="2">
        <f>N17+R17</f>
        <v>50934.38</v>
      </c>
      <c r="T17" s="4">
        <f>ROUND(S16*0.0147/12,2)</f>
        <v>1317.2</v>
      </c>
      <c r="U17" s="4">
        <f>ROUND((S16+T16)*0.0147/12,2)</f>
        <v>1238.12</v>
      </c>
      <c r="V17" s="4">
        <f>ROUND((S16+T16+U16)*0.0147/12,2)</f>
        <v>1168.93</v>
      </c>
      <c r="W17" s="2"/>
      <c r="X17" s="2">
        <f>SUM(T17:V17)</f>
        <v>3724.25</v>
      </c>
      <c r="Y17" s="2">
        <f>X17+S17</f>
        <v>54658.63</v>
      </c>
      <c r="Z17" s="3"/>
    </row>
    <row r="19" spans="1:27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.75">
      <c r="A20" s="53">
        <v>2014</v>
      </c>
      <c r="B20" s="21" t="s">
        <v>29</v>
      </c>
      <c r="C20" s="8">
        <v>2013</v>
      </c>
      <c r="D20" s="9" t="s">
        <v>8</v>
      </c>
      <c r="E20" s="8">
        <v>2014</v>
      </c>
      <c r="F20" s="1"/>
      <c r="G20" s="1"/>
      <c r="H20" s="10"/>
      <c r="I20" s="10"/>
      <c r="J20" s="8">
        <v>2014</v>
      </c>
      <c r="K20" s="10"/>
      <c r="L20" s="1"/>
      <c r="P20" s="8"/>
      <c r="Q20" s="1"/>
      <c r="R20" s="1"/>
      <c r="S20" s="1"/>
      <c r="T20" s="8">
        <v>2014</v>
      </c>
      <c r="U20" s="1"/>
      <c r="V20" s="1"/>
      <c r="W20" s="11">
        <v>2014</v>
      </c>
      <c r="X20" s="1"/>
      <c r="Y20" s="53">
        <v>2014</v>
      </c>
      <c r="Z20" s="8"/>
      <c r="AA20" s="12"/>
    </row>
    <row r="21" spans="1:26" ht="15.75">
      <c r="A21" s="19"/>
      <c r="B21" s="21"/>
      <c r="C21" s="14" t="s">
        <v>11</v>
      </c>
      <c r="D21" s="15" t="s">
        <v>12</v>
      </c>
      <c r="E21" s="6" t="s">
        <v>13</v>
      </c>
      <c r="F21" s="6" t="s">
        <v>14</v>
      </c>
      <c r="G21" s="6" t="s">
        <v>15</v>
      </c>
      <c r="H21" s="16" t="s">
        <v>16</v>
      </c>
      <c r="I21" s="16" t="s">
        <v>17</v>
      </c>
      <c r="J21" s="6" t="s">
        <v>18</v>
      </c>
      <c r="K21" s="6" t="s">
        <v>19</v>
      </c>
      <c r="L21" s="6" t="s">
        <v>20</v>
      </c>
      <c r="M21" s="24" t="s">
        <v>27</v>
      </c>
      <c r="N21" s="16" t="s">
        <v>16</v>
      </c>
      <c r="O21" s="16" t="s">
        <v>17</v>
      </c>
      <c r="P21" s="6" t="s">
        <v>21</v>
      </c>
      <c r="Q21" s="6" t="s">
        <v>22</v>
      </c>
      <c r="R21" s="6" t="s">
        <v>23</v>
      </c>
      <c r="S21" s="16" t="s">
        <v>16</v>
      </c>
      <c r="T21" s="16" t="s">
        <v>17</v>
      </c>
      <c r="U21" s="1" t="s">
        <v>24</v>
      </c>
      <c r="V21" s="1" t="s">
        <v>25</v>
      </c>
      <c r="W21" s="1" t="s">
        <v>26</v>
      </c>
      <c r="X21" s="11" t="s">
        <v>16</v>
      </c>
      <c r="Y21" s="2" t="s">
        <v>17</v>
      </c>
      <c r="Z21" s="25"/>
    </row>
    <row r="22" spans="1:26" ht="15.75">
      <c r="A22" s="1" t="s">
        <v>0</v>
      </c>
      <c r="B22" s="1" t="s">
        <v>1</v>
      </c>
      <c r="C22" s="2">
        <v>-2299705.63</v>
      </c>
      <c r="D22" s="3">
        <v>-179781.37</v>
      </c>
      <c r="E22" s="4">
        <v>179123.97</v>
      </c>
      <c r="F22" s="4">
        <v>185181.04</v>
      </c>
      <c r="G22" s="4">
        <v>163959.82</v>
      </c>
      <c r="H22" s="2">
        <f>SUM(E22:G22)</f>
        <v>528264.8300000001</v>
      </c>
      <c r="I22" s="2">
        <f>H22+C22</f>
        <v>-1771440.7999999998</v>
      </c>
      <c r="J22" s="3">
        <v>167261.99</v>
      </c>
      <c r="K22" s="5">
        <v>136973.69</v>
      </c>
      <c r="L22" s="3">
        <v>133037.4</v>
      </c>
      <c r="M22" s="23">
        <f>D22+141309.86</f>
        <v>-38471.51000000001</v>
      </c>
      <c r="N22" s="2">
        <f>SUM(J22:M22)</f>
        <v>398801.56999999995</v>
      </c>
      <c r="O22" s="2">
        <f>I22+N22</f>
        <v>-1372639.23</v>
      </c>
      <c r="P22" s="4">
        <f>-141309.86+143038.98+152371.63-0.3</f>
        <v>154100.45000000004</v>
      </c>
      <c r="Q22" s="4">
        <v>156854.96</v>
      </c>
      <c r="R22" s="4">
        <v>133798.37</v>
      </c>
      <c r="S22" s="2">
        <f>SUM(P22:R22)</f>
        <v>444753.78</v>
      </c>
      <c r="T22" s="2">
        <f>S22+O22</f>
        <v>-927885.45</v>
      </c>
      <c r="U22" s="3">
        <v>133473.33</v>
      </c>
      <c r="V22" s="4">
        <v>149694.04</v>
      </c>
      <c r="W22" s="4">
        <v>168135.46</v>
      </c>
      <c r="X22" s="2">
        <f>SUM(U22:W22)</f>
        <v>451302.82999999996</v>
      </c>
      <c r="Y22" s="2">
        <f>X22+T22</f>
        <v>-476582.62</v>
      </c>
      <c r="Z22" s="3"/>
    </row>
    <row r="23" spans="1:26" ht="15.75">
      <c r="A23" s="1" t="s">
        <v>2</v>
      </c>
      <c r="B23" s="1" t="s">
        <v>3</v>
      </c>
      <c r="C23" s="2">
        <v>-102385.34</v>
      </c>
      <c r="D23" s="3"/>
      <c r="E23" s="4">
        <f>ROUND((C22+D22)*0.0147/12,2)</f>
        <v>-3037.37</v>
      </c>
      <c r="F23" s="4">
        <f>ROUND((C22+D22+E22)*0.0147/12,2)</f>
        <v>-2817.94</v>
      </c>
      <c r="G23" s="4">
        <f>ROUND((C22+D22+E22+F22)*0.0147/12,2)</f>
        <v>-2591.1</v>
      </c>
      <c r="H23" s="2">
        <f>SUM(E23:G23)</f>
        <v>-8446.41</v>
      </c>
      <c r="I23" s="2">
        <f>H23+C23</f>
        <v>-110831.75</v>
      </c>
      <c r="J23" s="3">
        <f>ROUND(I22*0.0147/12,2)</f>
        <v>-2170.01</v>
      </c>
      <c r="K23" s="5">
        <f>ROUND((I22+J22)*0.0147/12,2)</f>
        <v>-1965.12</v>
      </c>
      <c r="L23" s="3">
        <f>ROUND((I22+J22+K22)*0.0147/12,2)</f>
        <v>-1797.33</v>
      </c>
      <c r="M23" s="23"/>
      <c r="N23" s="2">
        <f>SUM(J23:M23)</f>
        <v>-5932.46</v>
      </c>
      <c r="O23" s="2">
        <f>I23+N23</f>
        <v>-116764.21</v>
      </c>
      <c r="P23" s="4">
        <f>ROUND(O22*0.0147/12,2)</f>
        <v>-1681.48</v>
      </c>
      <c r="Q23" s="4">
        <f>ROUND((O22+P22)*0.0147/12,2)</f>
        <v>-1492.71</v>
      </c>
      <c r="R23" s="4">
        <f>ROUND((O22+P22+Q22)*0.0147/12,2)</f>
        <v>-1300.56</v>
      </c>
      <c r="S23" s="2">
        <f>SUM(P23:R23)</f>
        <v>-4474.75</v>
      </c>
      <c r="T23" s="2">
        <f>S23+O23</f>
        <v>-121238.96</v>
      </c>
      <c r="U23" s="3">
        <v>-1136.66</v>
      </c>
      <c r="V23" s="4">
        <v>-973.15</v>
      </c>
      <c r="W23" s="4">
        <v>-789.78</v>
      </c>
      <c r="X23" s="2">
        <f>SUM(U23:W23)</f>
        <v>-2899.59</v>
      </c>
      <c r="Y23" s="2">
        <f>X23+T23</f>
        <v>-124138.55</v>
      </c>
      <c r="Z23" s="3"/>
    </row>
    <row r="24" spans="1:26" ht="15.75">
      <c r="A24" s="1"/>
      <c r="B24" s="6"/>
      <c r="C24" s="3"/>
      <c r="D24" s="3"/>
      <c r="E24" s="3"/>
      <c r="F24" s="3"/>
      <c r="G24" s="3"/>
      <c r="H24" s="3"/>
      <c r="I24" s="3"/>
      <c r="J24" s="3"/>
      <c r="K24" s="5"/>
      <c r="L24" s="3"/>
      <c r="M24" s="3"/>
      <c r="N24" s="3"/>
      <c r="O24" s="3"/>
      <c r="P24" s="4"/>
      <c r="Q24" s="4"/>
      <c r="R24" s="4"/>
      <c r="S24" s="3"/>
      <c r="T24" s="3"/>
      <c r="U24" s="3"/>
      <c r="V24" s="3"/>
      <c r="W24" s="3"/>
      <c r="X24" s="3"/>
      <c r="Y24" s="2"/>
      <c r="Z24" s="3"/>
    </row>
    <row r="25" spans="1:26" ht="15.75">
      <c r="A25" s="1" t="s">
        <v>4</v>
      </c>
      <c r="B25" s="7" t="s">
        <v>5</v>
      </c>
      <c r="C25" s="2">
        <v>900157.88</v>
      </c>
      <c r="D25" s="3">
        <v>56344.81</v>
      </c>
      <c r="E25" s="4">
        <f>-56518.72-0.2</f>
        <v>-56518.92</v>
      </c>
      <c r="F25" s="4">
        <v>-54058.56</v>
      </c>
      <c r="G25" s="4">
        <v>-52756.95</v>
      </c>
      <c r="H25" s="2">
        <f>SUM(E25:G25)</f>
        <v>-163334.43</v>
      </c>
      <c r="I25" s="2">
        <f>H25+C25</f>
        <v>736823.45</v>
      </c>
      <c r="J25" s="3">
        <v>-53637.72</v>
      </c>
      <c r="K25" s="5">
        <v>-52855.91</v>
      </c>
      <c r="L25" s="3">
        <v>-60337.43</v>
      </c>
      <c r="M25" s="23">
        <f>-64143.44+D25</f>
        <v>-7798.630000000005</v>
      </c>
      <c r="N25" s="2">
        <f>SUM(J25:M25)</f>
        <v>-174629.69</v>
      </c>
      <c r="O25" s="2">
        <f>I25+N25</f>
        <v>562193.76</v>
      </c>
      <c r="P25" s="4">
        <f>64143.44-67384.65-62087.4</f>
        <v>-65328.60999999999</v>
      </c>
      <c r="Q25" s="4">
        <v>-66397.13</v>
      </c>
      <c r="R25" s="4">
        <f>-62666.58</f>
        <v>-62666.58</v>
      </c>
      <c r="S25" s="2">
        <f>SUM(P25:R25)</f>
        <v>-194392.32</v>
      </c>
      <c r="T25" s="2">
        <f>S25+O25</f>
        <v>367801.44</v>
      </c>
      <c r="U25" s="3">
        <v>-55867.25</v>
      </c>
      <c r="V25" s="4">
        <v>-53630.24</v>
      </c>
      <c r="W25" s="4">
        <v>-54978.26</v>
      </c>
      <c r="X25" s="2">
        <f>SUM(U25:W25)</f>
        <v>-164475.75</v>
      </c>
      <c r="Y25" s="2">
        <f>X25+T25</f>
        <v>203325.69</v>
      </c>
      <c r="Z25" s="3"/>
    </row>
    <row r="26" spans="1:26" ht="15.75">
      <c r="A26" s="1" t="s">
        <v>6</v>
      </c>
      <c r="B26" s="7" t="s">
        <v>7</v>
      </c>
      <c r="C26" s="2">
        <v>54658.63</v>
      </c>
      <c r="D26" s="3"/>
      <c r="E26" s="4">
        <f>ROUND((C25+D25)*0.0147/12,2)</f>
        <v>1171.72</v>
      </c>
      <c r="F26" s="4">
        <f>ROUND((C25+D25+E25)*0.0147/12,2)</f>
        <v>1102.48</v>
      </c>
      <c r="G26" s="4">
        <f>ROUND((C25+D25+E25+F25)*0.0147/12,2)</f>
        <v>1036.26</v>
      </c>
      <c r="H26" s="2">
        <f>SUM(E26:G26)</f>
        <v>3310.46</v>
      </c>
      <c r="I26" s="2">
        <f>H26+C26</f>
        <v>57969.09</v>
      </c>
      <c r="J26" s="3">
        <f>ROUND(I25*0.0147/12,2)</f>
        <v>902.61</v>
      </c>
      <c r="K26" s="5">
        <f>ROUND((I25+J25)*0.0147/12,2)</f>
        <v>836.9</v>
      </c>
      <c r="L26" s="3">
        <f>ROUND((I25+J25+K25)*0.0147/12,2)</f>
        <v>772.15</v>
      </c>
      <c r="M26" s="23"/>
      <c r="N26" s="2">
        <f>SUM(J26:M26)</f>
        <v>2511.66</v>
      </c>
      <c r="O26" s="2">
        <f>I26+N26</f>
        <v>60480.75</v>
      </c>
      <c r="P26" s="4">
        <f>ROUND(O25*0.0147/12,2)</f>
        <v>688.69</v>
      </c>
      <c r="Q26" s="4">
        <f>ROUND((O25+P25)*0.0147/12,2)</f>
        <v>608.66</v>
      </c>
      <c r="R26" s="4">
        <f>ROUND((O25+P25+Q25)*0.0147/12,2)</f>
        <v>527.32</v>
      </c>
      <c r="S26" s="2">
        <f>SUM(P26:R26)</f>
        <v>1824.67</v>
      </c>
      <c r="T26" s="2">
        <f>S26+O26</f>
        <v>62305.42</v>
      </c>
      <c r="U26" s="3">
        <v>450.56</v>
      </c>
      <c r="V26" s="4">
        <v>382.12</v>
      </c>
      <c r="W26" s="4">
        <v>316.42</v>
      </c>
      <c r="X26" s="2">
        <f>SUM(U26:W26)</f>
        <v>1149.1000000000001</v>
      </c>
      <c r="Y26" s="2">
        <f>X26+T26</f>
        <v>63454.52</v>
      </c>
      <c r="Z26" s="3"/>
    </row>
    <row r="28" ht="15.75">
      <c r="B28" s="20" t="s">
        <v>31</v>
      </c>
    </row>
    <row r="30" spans="1:28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2" spans="1:28" ht="18.75">
      <c r="A32" s="53">
        <v>2015</v>
      </c>
      <c r="B32" s="21" t="s">
        <v>29</v>
      </c>
      <c r="C32" s="8">
        <v>2014</v>
      </c>
      <c r="D32" s="8">
        <v>2015</v>
      </c>
      <c r="E32" s="1"/>
      <c r="F32" s="1"/>
      <c r="G32" s="10"/>
      <c r="H32" s="10"/>
      <c r="I32" s="8">
        <v>2015</v>
      </c>
      <c r="J32" s="29"/>
      <c r="K32" s="10"/>
      <c r="L32" s="10"/>
      <c r="M32" s="10"/>
      <c r="N32" s="8">
        <v>2015</v>
      </c>
      <c r="O32" s="8"/>
      <c r="P32" s="1"/>
      <c r="Q32" s="1"/>
      <c r="R32" s="1"/>
      <c r="S32" s="8">
        <v>2015</v>
      </c>
      <c r="T32" s="1"/>
      <c r="U32" s="1"/>
      <c r="V32" s="1"/>
      <c r="W32" s="1"/>
      <c r="X32" s="8"/>
      <c r="Y32" s="12"/>
      <c r="Z32" s="12"/>
      <c r="AA32" s="27"/>
      <c r="AB32" s="27"/>
    </row>
    <row r="33" spans="1:27" ht="15.75">
      <c r="A33" s="6"/>
      <c r="B33" s="1"/>
      <c r="C33" s="14" t="s">
        <v>11</v>
      </c>
      <c r="D33" s="6" t="s">
        <v>13</v>
      </c>
      <c r="E33" s="6" t="s">
        <v>14</v>
      </c>
      <c r="F33" s="6" t="s">
        <v>15</v>
      </c>
      <c r="G33" s="16" t="s">
        <v>16</v>
      </c>
      <c r="H33" s="16" t="s">
        <v>17</v>
      </c>
      <c r="I33" s="6" t="s">
        <v>18</v>
      </c>
      <c r="J33" s="6" t="s">
        <v>19</v>
      </c>
      <c r="K33" s="6" t="s">
        <v>20</v>
      </c>
      <c r="L33" s="16" t="s">
        <v>16</v>
      </c>
      <c r="M33" s="16" t="s">
        <v>17</v>
      </c>
      <c r="N33" s="6" t="s">
        <v>21</v>
      </c>
      <c r="O33" s="6" t="s">
        <v>22</v>
      </c>
      <c r="P33" s="6" t="s">
        <v>23</v>
      </c>
      <c r="Q33" s="16" t="s">
        <v>16</v>
      </c>
      <c r="R33" s="16" t="s">
        <v>17</v>
      </c>
      <c r="S33" s="1" t="s">
        <v>24</v>
      </c>
      <c r="T33" s="1" t="s">
        <v>25</v>
      </c>
      <c r="U33" s="1" t="s">
        <v>26</v>
      </c>
      <c r="V33" s="11" t="s">
        <v>16</v>
      </c>
      <c r="W33" s="16" t="s">
        <v>17</v>
      </c>
      <c r="X33" s="25"/>
      <c r="Y33" s="25"/>
      <c r="Z33" s="27"/>
      <c r="AA33" s="27"/>
    </row>
    <row r="34" spans="1:27" ht="15.75">
      <c r="A34" s="1"/>
      <c r="B34" s="1"/>
      <c r="C34" s="11" t="s">
        <v>28</v>
      </c>
      <c r="D34" s="10"/>
      <c r="E34" s="10"/>
      <c r="F34" s="10"/>
      <c r="G34" s="10"/>
      <c r="H34" s="10"/>
      <c r="I34" s="10"/>
      <c r="J34" s="17"/>
      <c r="K34" s="1"/>
      <c r="L34" s="10"/>
      <c r="M34" s="10"/>
      <c r="N34" s="1"/>
      <c r="O34" s="1"/>
      <c r="P34" s="1"/>
      <c r="Q34" s="16"/>
      <c r="R34" s="16"/>
      <c r="S34" s="1"/>
      <c r="T34" s="1"/>
      <c r="U34" s="1"/>
      <c r="V34" s="16"/>
      <c r="W34" s="16"/>
      <c r="X34" s="26"/>
      <c r="Y34" s="26"/>
      <c r="Z34" s="27"/>
      <c r="AA34" s="27"/>
    </row>
    <row r="35" spans="1:27" ht="15.75">
      <c r="A35" s="1" t="s">
        <v>0</v>
      </c>
      <c r="B35" s="10" t="s">
        <v>1</v>
      </c>
      <c r="C35" s="2">
        <v>-476582.62</v>
      </c>
      <c r="D35" s="4">
        <v>186019.33</v>
      </c>
      <c r="E35" s="4">
        <v>177072.09</v>
      </c>
      <c r="F35" s="4">
        <v>153526.48</v>
      </c>
      <c r="G35" s="2">
        <f>SUM(D35:F35)</f>
        <v>516617.9</v>
      </c>
      <c r="H35" s="2">
        <f>G35+C35</f>
        <v>40035.28000000003</v>
      </c>
      <c r="I35" s="3">
        <f>-2701.4+0.3+133248.38</f>
        <v>130547.28</v>
      </c>
      <c r="J35" s="3">
        <v>1616.26</v>
      </c>
      <c r="K35" s="3">
        <v>21.9</v>
      </c>
      <c r="L35" s="2">
        <v>132185.44</v>
      </c>
      <c r="M35" s="2">
        <v>172220.72000000003</v>
      </c>
      <c r="N35" s="3">
        <v>0</v>
      </c>
      <c r="O35" s="3">
        <v>0</v>
      </c>
      <c r="P35" s="3">
        <v>0</v>
      </c>
      <c r="Q35" s="3">
        <v>0</v>
      </c>
      <c r="R35" s="3">
        <v>172220.72000000003</v>
      </c>
      <c r="S35" s="3">
        <v>0</v>
      </c>
      <c r="T35" s="3">
        <v>0</v>
      </c>
      <c r="U35" s="3">
        <v>0</v>
      </c>
      <c r="V35" s="3">
        <v>0</v>
      </c>
      <c r="W35" s="3">
        <v>172220.72000000003</v>
      </c>
      <c r="X35" s="3"/>
      <c r="Y35" s="3"/>
      <c r="Z35" s="3"/>
      <c r="AA35" s="27"/>
    </row>
    <row r="36" spans="1:27" ht="15.75">
      <c r="A36" s="1" t="s">
        <v>2</v>
      </c>
      <c r="B36" s="10" t="s">
        <v>3</v>
      </c>
      <c r="C36" s="2">
        <v>-124138.55</v>
      </c>
      <c r="D36" s="4">
        <f>ROUND((C35)*0.0147/12,2)</f>
        <v>-583.81</v>
      </c>
      <c r="E36" s="4">
        <f>ROUND((C35+D35)*0.0147/12,2)</f>
        <v>-355.94</v>
      </c>
      <c r="F36" s="4">
        <f>ROUND((C35+D35+E35)*0.0147/12,2)</f>
        <v>-139.03</v>
      </c>
      <c r="G36" s="2">
        <f>SUM(D36:F36)</f>
        <v>-1078.78</v>
      </c>
      <c r="H36" s="2">
        <f>G36+C36</f>
        <v>-125217.33</v>
      </c>
      <c r="I36" s="3">
        <f>ROUND(H35*0.011/12,2)</f>
        <v>36.7</v>
      </c>
      <c r="J36" s="3">
        <v>156.37</v>
      </c>
      <c r="K36" s="3">
        <v>157.85</v>
      </c>
      <c r="L36" s="2">
        <v>350.91999999999996</v>
      </c>
      <c r="M36" s="2">
        <v>-124866.41</v>
      </c>
      <c r="N36" s="3">
        <v>157.87</v>
      </c>
      <c r="O36" s="3">
        <v>157.87</v>
      </c>
      <c r="P36" s="3">
        <v>157.87</v>
      </c>
      <c r="Q36" s="3">
        <v>473.61</v>
      </c>
      <c r="R36" s="3">
        <v>-124392.8</v>
      </c>
      <c r="S36" s="3">
        <v>157.87</v>
      </c>
      <c r="T36" s="3">
        <v>157.87</v>
      </c>
      <c r="U36" s="3">
        <v>157.87</v>
      </c>
      <c r="V36" s="3">
        <v>473.61</v>
      </c>
      <c r="W36" s="3">
        <v>-123919.19</v>
      </c>
      <c r="X36" s="3"/>
      <c r="Y36" s="3"/>
      <c r="Z36" s="3"/>
      <c r="AA36" s="27"/>
    </row>
    <row r="37" spans="1:27" ht="15.75">
      <c r="A37" s="1"/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7"/>
    </row>
    <row r="38" spans="1:27" ht="15.75">
      <c r="A38" s="1" t="s">
        <v>4</v>
      </c>
      <c r="B38" s="28" t="s">
        <v>5</v>
      </c>
      <c r="C38" s="2">
        <v>203325.69</v>
      </c>
      <c r="D38" s="4">
        <v>-57693.74</v>
      </c>
      <c r="E38" s="4">
        <v>-55967.28</v>
      </c>
      <c r="F38" s="4">
        <v>-54745.32</v>
      </c>
      <c r="G38" s="2">
        <f>SUM(D38:F38)</f>
        <v>-168406.34</v>
      </c>
      <c r="H38" s="2">
        <f>G38+C38</f>
        <v>34919.350000000006</v>
      </c>
      <c r="I38" s="3">
        <v>-51187.65</v>
      </c>
      <c r="J38" s="3">
        <v>-4.68</v>
      </c>
      <c r="K38" s="3">
        <v>0</v>
      </c>
      <c r="L38" s="2">
        <v>-51192.33</v>
      </c>
      <c r="M38" s="2">
        <v>-16272.979999999996</v>
      </c>
      <c r="N38" s="3">
        <v>0</v>
      </c>
      <c r="O38" s="3">
        <v>0</v>
      </c>
      <c r="P38" s="3">
        <v>0</v>
      </c>
      <c r="Q38" s="3">
        <v>0</v>
      </c>
      <c r="R38" s="3">
        <v>-16272.979999999996</v>
      </c>
      <c r="S38" s="3">
        <v>0</v>
      </c>
      <c r="T38" s="3">
        <v>0</v>
      </c>
      <c r="U38" s="3">
        <v>0</v>
      </c>
      <c r="V38" s="3">
        <v>0</v>
      </c>
      <c r="W38" s="3">
        <v>-16272.979999999996</v>
      </c>
      <c r="X38" s="3"/>
      <c r="Y38" s="3"/>
      <c r="Z38" s="3"/>
      <c r="AA38" s="27"/>
    </row>
    <row r="39" spans="1:27" ht="15.75">
      <c r="A39" s="1" t="s">
        <v>6</v>
      </c>
      <c r="B39" s="7" t="s">
        <v>7</v>
      </c>
      <c r="C39" s="2">
        <v>63454.52</v>
      </c>
      <c r="D39" s="4">
        <f>ROUND((C38)*0.0147/12,2)</f>
        <v>249.07</v>
      </c>
      <c r="E39" s="4">
        <f>ROUND((C38+D38)*0.0147/12,2)</f>
        <v>178.4</v>
      </c>
      <c r="F39" s="4">
        <f>ROUND((C38+D38+E38)*0.0147/12,2)</f>
        <v>109.84</v>
      </c>
      <c r="G39" s="2">
        <f>SUM(D39:F39)</f>
        <v>537.3100000000001</v>
      </c>
      <c r="H39" s="2">
        <f>G39+C39</f>
        <v>63991.829999999994</v>
      </c>
      <c r="I39" s="3">
        <f>ROUND(H38*0.011/12,2)</f>
        <v>32.01</v>
      </c>
      <c r="J39" s="3">
        <v>-14.91</v>
      </c>
      <c r="K39" s="3">
        <v>-14.92</v>
      </c>
      <c r="L39" s="2">
        <v>2.179999999999998</v>
      </c>
      <c r="M39" s="2">
        <v>63994.009999999995</v>
      </c>
      <c r="N39" s="3">
        <v>-14.92</v>
      </c>
      <c r="O39" s="3">
        <v>-14.92</v>
      </c>
      <c r="P39" s="3">
        <v>-14.92</v>
      </c>
      <c r="Q39" s="3">
        <v>-44.76</v>
      </c>
      <c r="R39" s="3">
        <v>63949.24999999999</v>
      </c>
      <c r="S39" s="3">
        <v>-14.92</v>
      </c>
      <c r="T39" s="3">
        <v>-14.92</v>
      </c>
      <c r="U39" s="3">
        <v>-14.92</v>
      </c>
      <c r="V39" s="3">
        <v>-44.76</v>
      </c>
      <c r="W39" s="3">
        <v>63904.48999999999</v>
      </c>
      <c r="X39" s="3"/>
      <c r="Y39" s="3"/>
      <c r="Z39" s="3"/>
      <c r="AA39" s="27"/>
    </row>
    <row r="40" spans="7:14" ht="15.75">
      <c r="G40" s="3"/>
      <c r="H40" s="3"/>
      <c r="L40" s="3"/>
      <c r="M40" s="3"/>
      <c r="N40" s="52"/>
    </row>
    <row r="41" spans="1:24" ht="15.75">
      <c r="A41" s="31"/>
      <c r="B41" s="32" t="s">
        <v>32</v>
      </c>
      <c r="C41" s="33"/>
      <c r="D41" s="33"/>
      <c r="E41" s="33"/>
      <c r="F41" s="33"/>
      <c r="G41" s="34"/>
      <c r="H41" s="34"/>
      <c r="I41" s="33"/>
      <c r="J41" s="33"/>
      <c r="K41" s="33"/>
      <c r="L41" s="34"/>
      <c r="M41" s="34"/>
      <c r="N41" s="38"/>
      <c r="O41" s="33"/>
      <c r="P41" s="33"/>
      <c r="Q41" s="33"/>
      <c r="R41" s="33"/>
      <c r="S41" s="33"/>
      <c r="T41" s="33"/>
      <c r="U41" s="33"/>
      <c r="V41" s="33"/>
      <c r="W41" s="46"/>
      <c r="X41" s="71"/>
    </row>
    <row r="42" spans="1:24" ht="15.75">
      <c r="A42" s="35" t="s">
        <v>0</v>
      </c>
      <c r="B42" s="17" t="s">
        <v>1</v>
      </c>
      <c r="C42" s="36">
        <v>-476582.62</v>
      </c>
      <c r="D42" s="37">
        <v>186019.33</v>
      </c>
      <c r="E42" s="37">
        <v>177072.09</v>
      </c>
      <c r="F42" s="37">
        <f>153526.48-40035.28</f>
        <v>113491.20000000001</v>
      </c>
      <c r="G42" s="36">
        <f>SUM(D42:F42)</f>
        <v>476582.62</v>
      </c>
      <c r="H42" s="36">
        <f>G42+C42</f>
        <v>0</v>
      </c>
      <c r="I42" s="37">
        <v>45504.26</v>
      </c>
      <c r="J42" s="37">
        <v>1616.26</v>
      </c>
      <c r="K42" s="37">
        <v>21.9</v>
      </c>
      <c r="L42" s="36">
        <f>SUM(I42:K42)</f>
        <v>47142.420000000006</v>
      </c>
      <c r="M42" s="36">
        <f>L42+H42</f>
        <v>47142.420000000006</v>
      </c>
      <c r="N42" s="45">
        <v>0</v>
      </c>
      <c r="O42" s="45">
        <v>0</v>
      </c>
      <c r="P42" s="45">
        <v>0</v>
      </c>
      <c r="Q42" s="47">
        <f>SUM(N42:P42)</f>
        <v>0</v>
      </c>
      <c r="R42" s="47">
        <f>Q42+M42</f>
        <v>47142.420000000006</v>
      </c>
      <c r="S42" s="5">
        <v>0</v>
      </c>
      <c r="T42" s="5">
        <v>0</v>
      </c>
      <c r="U42" s="5">
        <v>0</v>
      </c>
      <c r="V42" s="36">
        <f>SUM(S42:U42)</f>
        <v>0</v>
      </c>
      <c r="W42" s="66">
        <f>V42+R42</f>
        <v>47142.420000000006</v>
      </c>
      <c r="X42" s="17"/>
    </row>
    <row r="43" spans="1:24" ht="15.75">
      <c r="A43" s="35" t="s">
        <v>2</v>
      </c>
      <c r="B43" s="17" t="s">
        <v>3</v>
      </c>
      <c r="C43" s="36">
        <v>-124138.55</v>
      </c>
      <c r="D43" s="37">
        <f>ROUND((C42)*0.0147/12,2)</f>
        <v>-583.81</v>
      </c>
      <c r="E43" s="37">
        <f>ROUND((C42+D42)*0.0147/12,2)</f>
        <v>-355.94</v>
      </c>
      <c r="F43" s="37">
        <v>40035.28</v>
      </c>
      <c r="G43" s="36">
        <f>SUM(D43:F43)</f>
        <v>39095.53</v>
      </c>
      <c r="H43" s="36">
        <f>G43+C43</f>
        <v>-85043.02</v>
      </c>
      <c r="I43" s="37">
        <v>85043.02</v>
      </c>
      <c r="J43" s="37">
        <f>ROUND(I42*0.0147/12,2)</f>
        <v>55.74</v>
      </c>
      <c r="K43" s="37">
        <f>ROUND((I42+J42)*0.0147/12,2)</f>
        <v>57.72</v>
      </c>
      <c r="L43" s="36">
        <f>SUM(I43:K43)</f>
        <v>85156.48000000001</v>
      </c>
      <c r="M43" s="36">
        <f>L43+H43</f>
        <v>113.4600000000064</v>
      </c>
      <c r="N43" s="45">
        <f>ROUND(M42*0.0147/12,2)</f>
        <v>57.75</v>
      </c>
      <c r="O43" s="45">
        <f>ROUND((M42+N42)*0.0147/12,2)</f>
        <v>57.75</v>
      </c>
      <c r="P43" s="45">
        <f>ROUND((M42+N42+O42)*0.0147/12,2)</f>
        <v>57.75</v>
      </c>
      <c r="Q43" s="47">
        <f>SUM(N43:P43)</f>
        <v>173.25</v>
      </c>
      <c r="R43" s="47">
        <f>Q43+M43</f>
        <v>286.7100000000064</v>
      </c>
      <c r="S43" s="5">
        <f>ROUND(R42*0.011/12,2)</f>
        <v>43.21</v>
      </c>
      <c r="T43" s="5">
        <f>ROUND((R42+S42)*0.011/12,2)</f>
        <v>43.21</v>
      </c>
      <c r="U43" s="5">
        <f>ROUND((R42+S42+T42)*0.011/12,2)</f>
        <v>43.21</v>
      </c>
      <c r="V43" s="36">
        <f>SUM(S43:U43)</f>
        <v>129.63</v>
      </c>
      <c r="W43" s="66">
        <f>V43+R43</f>
        <v>416.3400000000064</v>
      </c>
      <c r="X43" s="17"/>
    </row>
    <row r="44" spans="1:24" ht="15.75">
      <c r="A44" s="35"/>
      <c r="B44" s="30"/>
      <c r="C44" s="36"/>
      <c r="D44" s="38"/>
      <c r="E44" s="38"/>
      <c r="F44" s="38"/>
      <c r="G44" s="38"/>
      <c r="H44" s="38"/>
      <c r="I44" s="38"/>
      <c r="J44" s="38"/>
      <c r="K44" s="38"/>
      <c r="L44" s="5"/>
      <c r="M44" s="5"/>
      <c r="N44" s="45"/>
      <c r="O44" s="45"/>
      <c r="P44" s="45"/>
      <c r="Q44" s="17"/>
      <c r="R44" s="17"/>
      <c r="S44" s="5"/>
      <c r="T44" s="5"/>
      <c r="U44" s="5"/>
      <c r="V44" s="17"/>
      <c r="W44" s="49"/>
      <c r="X44" s="17"/>
    </row>
    <row r="45" spans="1:24" ht="15.75">
      <c r="A45" s="35" t="s">
        <v>4</v>
      </c>
      <c r="B45" s="39" t="s">
        <v>5</v>
      </c>
      <c r="C45" s="36">
        <v>203325.69</v>
      </c>
      <c r="D45" s="37">
        <v>-57693.74</v>
      </c>
      <c r="E45" s="37">
        <v>-55967.28</v>
      </c>
      <c r="F45" s="5">
        <v>-54745.32</v>
      </c>
      <c r="G45" s="36">
        <f>SUM(D45:F45)</f>
        <v>-168406.34</v>
      </c>
      <c r="H45" s="36">
        <f>G45+C45</f>
        <v>34919.350000000006</v>
      </c>
      <c r="I45" s="5">
        <v>-34919.35</v>
      </c>
      <c r="J45" s="5">
        <v>0</v>
      </c>
      <c r="K45" s="5">
        <v>0</v>
      </c>
      <c r="L45" s="36">
        <f>SUM(I45:K45)</f>
        <v>-34919.35</v>
      </c>
      <c r="M45" s="36">
        <f>L45+H45</f>
        <v>0</v>
      </c>
      <c r="N45" s="45">
        <v>0</v>
      </c>
      <c r="O45" s="45">
        <v>0</v>
      </c>
      <c r="P45" s="45">
        <v>0</v>
      </c>
      <c r="Q45" s="47">
        <f>SUM(N45:P45)</f>
        <v>0</v>
      </c>
      <c r="R45" s="47">
        <f>Q45+M45</f>
        <v>0</v>
      </c>
      <c r="S45" s="5">
        <v>0</v>
      </c>
      <c r="T45" s="5">
        <v>0</v>
      </c>
      <c r="U45" s="5">
        <v>0</v>
      </c>
      <c r="V45" s="36">
        <f>SUM(S45:U45)</f>
        <v>0</v>
      </c>
      <c r="W45" s="66">
        <f>V45+R45</f>
        <v>0</v>
      </c>
      <c r="X45" s="17"/>
    </row>
    <row r="46" spans="1:24" ht="15.75">
      <c r="A46" s="40" t="s">
        <v>6</v>
      </c>
      <c r="B46" s="41" t="s">
        <v>7</v>
      </c>
      <c r="C46" s="42">
        <v>63454.52</v>
      </c>
      <c r="D46" s="43">
        <f>ROUND((C45)*0.0147/12,2)</f>
        <v>249.07</v>
      </c>
      <c r="E46" s="43">
        <f>ROUND((C45+D45)*0.0147/12,2)</f>
        <v>178.4</v>
      </c>
      <c r="F46" s="43">
        <f>ROUND((C45+D45+E45)*0.0147/12,2)</f>
        <v>109.84</v>
      </c>
      <c r="G46" s="42">
        <f>SUM(D46:F46)</f>
        <v>537.3100000000001</v>
      </c>
      <c r="H46" s="42">
        <f>G46+C46</f>
        <v>63991.829999999994</v>
      </c>
      <c r="I46" s="44">
        <v>-16268.3</v>
      </c>
      <c r="J46" s="44">
        <v>-4.68</v>
      </c>
      <c r="K46" s="44">
        <f>ROUND((H45+I45+J45)*0.0147/12,2)</f>
        <v>0</v>
      </c>
      <c r="L46" s="42">
        <f>SUM(I46:K46)</f>
        <v>-16272.98</v>
      </c>
      <c r="M46" s="42">
        <f>L46+H46</f>
        <v>47718.84999999999</v>
      </c>
      <c r="N46" s="50">
        <f>ROUND(M45*0.0147/12,2)</f>
        <v>0</v>
      </c>
      <c r="O46" s="50">
        <f>ROUND((M45+N45)*0.0147/12,2)</f>
        <v>0</v>
      </c>
      <c r="P46" s="50">
        <f>ROUND((M45+N45+O45)*0.0147/12,2)</f>
        <v>0</v>
      </c>
      <c r="Q46" s="51">
        <f>SUM(N46:P46)</f>
        <v>0</v>
      </c>
      <c r="R46" s="51">
        <f>Q46+M46</f>
        <v>47718.84999999999</v>
      </c>
      <c r="S46" s="44">
        <v>0</v>
      </c>
      <c r="T46" s="44">
        <v>0</v>
      </c>
      <c r="U46" s="44">
        <v>0</v>
      </c>
      <c r="V46" s="42">
        <f>SUM(S46:U46)</f>
        <v>0</v>
      </c>
      <c r="W46" s="67">
        <f>V46+R46</f>
        <v>47718.84999999999</v>
      </c>
      <c r="X46" s="17"/>
    </row>
    <row r="48" spans="1:28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4" ht="18.75">
      <c r="A49" s="53">
        <v>2016</v>
      </c>
      <c r="B49" s="21" t="s">
        <v>29</v>
      </c>
      <c r="C49" s="21" t="s">
        <v>33</v>
      </c>
      <c r="D49" s="53">
        <v>2016</v>
      </c>
    </row>
    <row r="50" spans="1:24" ht="15.75">
      <c r="A50" s="1" t="s">
        <v>0</v>
      </c>
      <c r="B50" s="1" t="s">
        <v>1</v>
      </c>
      <c r="C50" s="2">
        <v>172220.72</v>
      </c>
      <c r="D50" s="4">
        <v>0</v>
      </c>
      <c r="E50" s="4">
        <v>0</v>
      </c>
      <c r="F50" s="4">
        <v>0</v>
      </c>
      <c r="G50" s="2">
        <f>SUM(D50:F50)</f>
        <v>0</v>
      </c>
      <c r="H50" s="2">
        <f>G50+C50</f>
        <v>172220.72</v>
      </c>
      <c r="I50" s="3">
        <v>0</v>
      </c>
      <c r="J50" s="5">
        <v>0</v>
      </c>
      <c r="K50" s="3">
        <v>0</v>
      </c>
      <c r="L50" s="2">
        <f>SUM(H50:K50)</f>
        <v>172220.72</v>
      </c>
      <c r="M50" s="2">
        <f>G50+L50</f>
        <v>172220.72</v>
      </c>
      <c r="N50" s="4">
        <v>0</v>
      </c>
      <c r="O50" s="4">
        <v>0</v>
      </c>
      <c r="P50" s="4">
        <v>0</v>
      </c>
      <c r="Q50" s="2">
        <f>SUM(N50:P50)</f>
        <v>0</v>
      </c>
      <c r="R50" s="2">
        <f>M50+Q50</f>
        <v>172220.72</v>
      </c>
      <c r="S50" s="4">
        <v>0</v>
      </c>
      <c r="T50" s="4">
        <v>0</v>
      </c>
      <c r="U50" s="4">
        <v>0</v>
      </c>
      <c r="V50" s="2">
        <f>SUM(S50:U50)</f>
        <v>0</v>
      </c>
      <c r="W50" s="2">
        <f>V50+R50</f>
        <v>172220.72</v>
      </c>
      <c r="X50" s="3"/>
    </row>
    <row r="51" spans="1:24" ht="15.75">
      <c r="A51" s="1" t="s">
        <v>2</v>
      </c>
      <c r="B51" s="1" t="s">
        <v>3</v>
      </c>
      <c r="C51" s="2">
        <v>-123919.19</v>
      </c>
      <c r="D51" s="4">
        <f>ROUND(C50*0.011/12,2)</f>
        <v>157.87</v>
      </c>
      <c r="E51" s="4">
        <f>ROUND((C50+D50)*0.011/12,2)</f>
        <v>157.87</v>
      </c>
      <c r="F51" s="4">
        <f>ROUND((C50+D50+E50)*0.011/12,2)</f>
        <v>157.87</v>
      </c>
      <c r="G51" s="2">
        <f>SUM(D51:F51)</f>
        <v>473.61</v>
      </c>
      <c r="H51" s="2">
        <f>G51+C51</f>
        <v>-123445.58</v>
      </c>
      <c r="I51" s="26">
        <f>ROUND(H50*0.011/12,2)</f>
        <v>157.87</v>
      </c>
      <c r="J51" s="54">
        <f>ROUND((G50+H50+I50)*0.011/12,2)</f>
        <v>157.87</v>
      </c>
      <c r="K51" s="26">
        <f>ROUND((G50+H50+I50+J50)*0.011/12,2)</f>
        <v>157.87</v>
      </c>
      <c r="L51" s="2">
        <f>SUM(I51:K51)</f>
        <v>473.61</v>
      </c>
      <c r="M51" s="2">
        <f>L51+H51</f>
        <v>-122971.97</v>
      </c>
      <c r="N51" s="4">
        <f>ROUND(M50*0.011/12,2)</f>
        <v>157.87</v>
      </c>
      <c r="O51" s="4">
        <f>ROUND((M50+N50)*0.011/12,2)</f>
        <v>157.87</v>
      </c>
      <c r="P51" s="4">
        <f>ROUND((M50+N50+O50)*0.011/12,2)</f>
        <v>157.87</v>
      </c>
      <c r="Q51" s="2">
        <f>SUM(N51:P51)</f>
        <v>473.61</v>
      </c>
      <c r="R51" s="2">
        <f>M51+Q51</f>
        <v>-122498.36</v>
      </c>
      <c r="S51" s="4">
        <f>ROUND(R50*0.011/12,2)</f>
        <v>157.87</v>
      </c>
      <c r="T51" s="4">
        <f>ROUND((R50+S50)*0.011/12,2)</f>
        <v>157.87</v>
      </c>
      <c r="U51" s="4">
        <f>ROUND((R50+S50+T50)*0.011/12,2)</f>
        <v>157.87</v>
      </c>
      <c r="V51" s="2">
        <f>SUM(S51:U51)</f>
        <v>473.61</v>
      </c>
      <c r="W51" s="2">
        <f>V51+R51</f>
        <v>-122024.75</v>
      </c>
      <c r="X51" s="3"/>
    </row>
    <row r="52" spans="1:24" ht="15.75">
      <c r="A52" s="1"/>
      <c r="B52" s="6"/>
      <c r="C52" s="2"/>
      <c r="D52" s="4"/>
      <c r="E52" s="4"/>
      <c r="F52" s="4"/>
      <c r="G52" s="2"/>
      <c r="H52" s="2"/>
      <c r="I52" s="3"/>
      <c r="J52" s="5"/>
      <c r="K52" s="3"/>
      <c r="L52" s="3"/>
      <c r="M52" s="3"/>
      <c r="N52" s="4"/>
      <c r="O52" s="4"/>
      <c r="P52" s="4"/>
      <c r="Q52" s="3"/>
      <c r="R52" s="3"/>
      <c r="S52" s="4"/>
      <c r="T52" s="4"/>
      <c r="U52" s="4"/>
      <c r="V52" s="3"/>
      <c r="W52" s="3"/>
      <c r="X52" s="3"/>
    </row>
    <row r="53" spans="1:24" ht="15.75">
      <c r="A53" s="1" t="s">
        <v>4</v>
      </c>
      <c r="B53" s="7" t="s">
        <v>5</v>
      </c>
      <c r="C53" s="2">
        <v>-16272.98</v>
      </c>
      <c r="D53" s="4">
        <v>0</v>
      </c>
      <c r="E53" s="4">
        <v>0</v>
      </c>
      <c r="F53" s="4">
        <v>0</v>
      </c>
      <c r="G53" s="2">
        <f>SUM(D53:F53)</f>
        <v>0</v>
      </c>
      <c r="H53" s="2">
        <f>G53+C53</f>
        <v>-16272.98</v>
      </c>
      <c r="I53" s="3">
        <v>0</v>
      </c>
      <c r="J53" s="5">
        <v>0</v>
      </c>
      <c r="K53" s="3">
        <v>0</v>
      </c>
      <c r="L53" s="2">
        <f>SUM(H53:K53)</f>
        <v>-16272.98</v>
      </c>
      <c r="M53" s="2">
        <f>G53+L53</f>
        <v>-16272.98</v>
      </c>
      <c r="N53" s="4">
        <v>0</v>
      </c>
      <c r="O53" s="4">
        <v>42.02</v>
      </c>
      <c r="P53" s="4">
        <v>0</v>
      </c>
      <c r="Q53" s="2">
        <f>SUM(N53:P53)</f>
        <v>42.02</v>
      </c>
      <c r="R53" s="2">
        <f>M53+Q53</f>
        <v>-16230.96</v>
      </c>
      <c r="S53" s="4">
        <v>0</v>
      </c>
      <c r="T53" s="4">
        <v>0</v>
      </c>
      <c r="U53" s="4">
        <v>0</v>
      </c>
      <c r="V53" s="2">
        <f>SUM(S53:U53)</f>
        <v>0</v>
      </c>
      <c r="W53" s="2">
        <f>V53+R53</f>
        <v>-16230.96</v>
      </c>
      <c r="X53" s="3"/>
    </row>
    <row r="54" spans="1:24" ht="15.75">
      <c r="A54" s="1" t="s">
        <v>6</v>
      </c>
      <c r="B54" s="7" t="s">
        <v>7</v>
      </c>
      <c r="C54" s="2">
        <v>63904.49</v>
      </c>
      <c r="D54" s="4">
        <f>ROUND(C53*0.011/12,2)</f>
        <v>-14.92</v>
      </c>
      <c r="E54" s="4">
        <f>ROUND((C53+D53)*0.011/12,2)</f>
        <v>-14.92</v>
      </c>
      <c r="F54" s="4">
        <f>ROUND((C53+D53+E53)*0.011/12,2)</f>
        <v>-14.92</v>
      </c>
      <c r="G54" s="2">
        <f>SUM(D54:F54)</f>
        <v>-44.76</v>
      </c>
      <c r="H54" s="2">
        <f>G54+C54</f>
        <v>63859.729999999996</v>
      </c>
      <c r="I54" s="3">
        <f>ROUND(H53*0.011/12,2)</f>
        <v>-14.92</v>
      </c>
      <c r="J54" s="3">
        <f>ROUND((G53+H53+I53)*0.011/12,2)</f>
        <v>-14.92</v>
      </c>
      <c r="K54" s="3">
        <f>ROUND((G53+H53+I53+J53)*0.011/12,2)</f>
        <v>-14.92</v>
      </c>
      <c r="L54" s="2">
        <f>SUM(I54:K54)</f>
        <v>-44.76</v>
      </c>
      <c r="M54" s="2">
        <f>L54+H54</f>
        <v>63814.969999999994</v>
      </c>
      <c r="N54" s="4">
        <f>ROUND(M53*0.011/12,2)</f>
        <v>-14.92</v>
      </c>
      <c r="O54" s="4">
        <f>ROUND((M53+N53)*0.011/12,2)</f>
        <v>-14.92</v>
      </c>
      <c r="P54" s="4">
        <f>ROUND((M53+N53+O53)*0.011/12,2)</f>
        <v>-14.88</v>
      </c>
      <c r="Q54" s="2">
        <f>SUM(N54:P54)</f>
        <v>-44.72</v>
      </c>
      <c r="R54" s="2">
        <f>M54+Q54</f>
        <v>63770.24999999999</v>
      </c>
      <c r="S54" s="4">
        <f>ROUND(R53*0.011/12,2)</f>
        <v>-14.88</v>
      </c>
      <c r="T54" s="4">
        <f>ROUND((R53+S53)*0.011/12,2)</f>
        <v>-14.88</v>
      </c>
      <c r="U54" s="4">
        <f>ROUND((R53+S53+T53)*0.011/12,2)</f>
        <v>-14.88</v>
      </c>
      <c r="V54" s="2">
        <f>SUM(S54:U54)</f>
        <v>-44.64</v>
      </c>
      <c r="W54" s="2">
        <f>V54+R54</f>
        <v>63725.60999999999</v>
      </c>
      <c r="X54" s="3"/>
    </row>
    <row r="55" ht="15">
      <c r="X55" s="38"/>
    </row>
    <row r="56" spans="1:24" ht="15.75">
      <c r="A56" s="31"/>
      <c r="B56" s="32" t="s">
        <v>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46"/>
      <c r="X56" s="38"/>
    </row>
    <row r="57" spans="1:24" ht="15.75">
      <c r="A57" s="55" t="s">
        <v>0</v>
      </c>
      <c r="B57" s="55" t="s">
        <v>1</v>
      </c>
      <c r="C57" s="36">
        <v>47142.420000000006</v>
      </c>
      <c r="D57" s="59">
        <v>0</v>
      </c>
      <c r="E57" s="59">
        <v>0</v>
      </c>
      <c r="F57" s="59">
        <v>0</v>
      </c>
      <c r="G57" s="36">
        <f>SUM(D57:F57)</f>
        <v>0</v>
      </c>
      <c r="H57" s="36">
        <f>G57+C57</f>
        <v>47142.420000000006</v>
      </c>
      <c r="I57" s="59">
        <v>0</v>
      </c>
      <c r="J57" s="59">
        <v>0</v>
      </c>
      <c r="K57" s="59">
        <v>0</v>
      </c>
      <c r="L57" s="36">
        <f>SUM(I57:K57)</f>
        <v>0</v>
      </c>
      <c r="M57" s="36">
        <f>L57+H57</f>
        <v>47142.420000000006</v>
      </c>
      <c r="N57" s="59">
        <v>0</v>
      </c>
      <c r="O57" s="59">
        <v>0</v>
      </c>
      <c r="P57" s="59">
        <v>0</v>
      </c>
      <c r="Q57" s="36">
        <f>SUM(N57:P57)</f>
        <v>0</v>
      </c>
      <c r="R57" s="36">
        <f>Q57+M57</f>
        <v>47142.420000000006</v>
      </c>
      <c r="S57" s="59">
        <v>0</v>
      </c>
      <c r="T57" s="59">
        <v>0</v>
      </c>
      <c r="U57" s="59">
        <v>0</v>
      </c>
      <c r="V57" s="36">
        <f>SUM(S57:U57)</f>
        <v>0</v>
      </c>
      <c r="W57" s="66">
        <f>V57+R57</f>
        <v>47142.420000000006</v>
      </c>
      <c r="X57" s="59"/>
    </row>
    <row r="58" spans="1:24" ht="15.75">
      <c r="A58" s="55" t="s">
        <v>2</v>
      </c>
      <c r="B58" s="55" t="s">
        <v>3</v>
      </c>
      <c r="C58" s="36">
        <v>416.3400000000064</v>
      </c>
      <c r="D58" s="59">
        <f>ROUND(C57*0.011/12,2)</f>
        <v>43.21</v>
      </c>
      <c r="E58" s="59">
        <f>ROUND((C57+D57)*0.011/12,2)</f>
        <v>43.21</v>
      </c>
      <c r="F58" s="59">
        <f>ROUND((C57+D57+E57)*0.011/12,2)</f>
        <v>43.21</v>
      </c>
      <c r="G58" s="36">
        <f>SUM(D58:F58)</f>
        <v>129.63</v>
      </c>
      <c r="H58" s="36">
        <f>G58+C58</f>
        <v>545.9700000000064</v>
      </c>
      <c r="I58" s="59">
        <f>ROUND(H57*0.011/12,2)</f>
        <v>43.21</v>
      </c>
      <c r="J58" s="59">
        <v>43.21</v>
      </c>
      <c r="K58" s="59">
        <v>43.21</v>
      </c>
      <c r="L58" s="36">
        <f>SUM(I58:K58)</f>
        <v>129.63</v>
      </c>
      <c r="M58" s="36">
        <f>L58+H58</f>
        <v>675.6000000000064</v>
      </c>
      <c r="N58" s="59">
        <f>ROUND(M57*0.011/12,2)</f>
        <v>43.21</v>
      </c>
      <c r="O58" s="59">
        <f>ROUND((M57+N57)*0.011/12,2)</f>
        <v>43.21</v>
      </c>
      <c r="P58" s="59">
        <f>ROUND((M57+N57+O57)*0.011/12,2)</f>
        <v>43.21</v>
      </c>
      <c r="Q58" s="36">
        <f>SUM(N58:P58)</f>
        <v>129.63</v>
      </c>
      <c r="R58" s="36">
        <f>Q58+M58</f>
        <v>805.2300000000064</v>
      </c>
      <c r="S58" s="59">
        <f>ROUND(R57*0.011/12,2)</f>
        <v>43.21</v>
      </c>
      <c r="T58" s="59">
        <f>ROUND((R57+S57)*0.011/12,2)</f>
        <v>43.21</v>
      </c>
      <c r="U58" s="59">
        <f>ROUND((R57+S57+T57)*0.011/12,2)</f>
        <v>43.21</v>
      </c>
      <c r="V58" s="36">
        <f>SUM(S58:U58)</f>
        <v>129.63</v>
      </c>
      <c r="W58" s="66">
        <f>V58+R58</f>
        <v>934.8600000000064</v>
      </c>
      <c r="X58" s="59"/>
    </row>
    <row r="59" spans="1:24" ht="15.75">
      <c r="A59" s="55"/>
      <c r="B59" s="56"/>
      <c r="C59" s="36"/>
      <c r="D59" s="59"/>
      <c r="E59" s="59"/>
      <c r="F59" s="59"/>
      <c r="G59" s="36"/>
      <c r="H59" s="36"/>
      <c r="I59" s="59"/>
      <c r="J59" s="59"/>
      <c r="K59" s="59"/>
      <c r="L59" s="36"/>
      <c r="M59" s="36"/>
      <c r="N59" s="59"/>
      <c r="O59" s="59"/>
      <c r="P59" s="59"/>
      <c r="Q59" s="5"/>
      <c r="R59" s="5"/>
      <c r="S59" s="59"/>
      <c r="T59" s="59"/>
      <c r="U59" s="59"/>
      <c r="V59" s="5"/>
      <c r="W59" s="69"/>
      <c r="X59" s="59"/>
    </row>
    <row r="60" spans="1:24" ht="15.75">
      <c r="A60" s="55" t="s">
        <v>4</v>
      </c>
      <c r="B60" s="57" t="s">
        <v>5</v>
      </c>
      <c r="C60" s="36">
        <v>0</v>
      </c>
      <c r="D60" s="59">
        <v>0</v>
      </c>
      <c r="E60" s="59">
        <v>0</v>
      </c>
      <c r="F60" s="59">
        <v>0</v>
      </c>
      <c r="G60" s="36">
        <f>SUM(D60:F60)</f>
        <v>0</v>
      </c>
      <c r="H60" s="36">
        <f>G60+C60</f>
        <v>0</v>
      </c>
      <c r="I60" s="59">
        <v>0</v>
      </c>
      <c r="J60" s="59">
        <v>0</v>
      </c>
      <c r="K60" s="59">
        <v>0</v>
      </c>
      <c r="L60" s="36">
        <f>SUM(I60:K60)</f>
        <v>0</v>
      </c>
      <c r="M60" s="36">
        <f>L60+H60</f>
        <v>0</v>
      </c>
      <c r="N60" s="59">
        <v>0</v>
      </c>
      <c r="O60" s="59">
        <v>0</v>
      </c>
      <c r="P60" s="59">
        <v>0</v>
      </c>
      <c r="Q60" s="36">
        <f>SUM(N60:P60)</f>
        <v>0</v>
      </c>
      <c r="R60" s="36">
        <f>Q60+M60</f>
        <v>0</v>
      </c>
      <c r="S60" s="59">
        <v>0</v>
      </c>
      <c r="T60" s="59">
        <v>0</v>
      </c>
      <c r="U60" s="59">
        <v>0</v>
      </c>
      <c r="V60" s="36">
        <f>SUM(S60:U60)</f>
        <v>0</v>
      </c>
      <c r="W60" s="66">
        <f>V60+R60</f>
        <v>0</v>
      </c>
      <c r="X60" s="59"/>
    </row>
    <row r="61" spans="1:24" ht="15.75">
      <c r="A61" s="58" t="s">
        <v>6</v>
      </c>
      <c r="B61" s="41" t="s">
        <v>7</v>
      </c>
      <c r="C61" s="42">
        <v>47718.84999999999</v>
      </c>
      <c r="D61" s="60">
        <f>ROUND(C60*0.011/12,2)</f>
        <v>0</v>
      </c>
      <c r="E61" s="60">
        <f>ROUND((C60+D60)*0.011/12,2)</f>
        <v>0</v>
      </c>
      <c r="F61" s="60">
        <f>ROUND((C60+D60+E60)*0.011/12,2)</f>
        <v>0</v>
      </c>
      <c r="G61" s="42">
        <f>SUM(D61:F61)</f>
        <v>0</v>
      </c>
      <c r="H61" s="42">
        <f>G61+C61</f>
        <v>47718.84999999999</v>
      </c>
      <c r="I61" s="60">
        <f>ROUND(H60*0.011/12,2)</f>
        <v>0</v>
      </c>
      <c r="J61" s="60">
        <v>0</v>
      </c>
      <c r="K61" s="60">
        <v>0</v>
      </c>
      <c r="L61" s="42">
        <f>SUM(I61:K61)</f>
        <v>0</v>
      </c>
      <c r="M61" s="42">
        <f>L61+H61</f>
        <v>47718.84999999999</v>
      </c>
      <c r="N61" s="60">
        <f>ROUND(M60*0.011/12,2)</f>
        <v>0</v>
      </c>
      <c r="O61" s="60">
        <f>ROUND((M60+N60)*0.011/12,2)</f>
        <v>0</v>
      </c>
      <c r="P61" s="60">
        <f>ROUND((M60+N60+O60)*0.011/12,2)</f>
        <v>0</v>
      </c>
      <c r="Q61" s="42">
        <f>SUM(N61:P61)</f>
        <v>0</v>
      </c>
      <c r="R61" s="42">
        <f>Q61+M61</f>
        <v>47718.84999999999</v>
      </c>
      <c r="S61" s="60">
        <f>ROUND(R60*0.011/12,2)</f>
        <v>0</v>
      </c>
      <c r="T61" s="60">
        <f>ROUND((R60+S60)*0.011/12,2)</f>
        <v>0</v>
      </c>
      <c r="U61" s="60">
        <f>ROUND((R60+S60+T60)*0.011/12,2)</f>
        <v>0</v>
      </c>
      <c r="V61" s="42">
        <f>SUM(S61:U61)</f>
        <v>0</v>
      </c>
      <c r="W61" s="67">
        <f>V61+R61</f>
        <v>47718.84999999999</v>
      </c>
      <c r="X61" s="59"/>
    </row>
    <row r="63" spans="1:28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1:4" ht="18.75">
      <c r="A64" s="53">
        <v>2017</v>
      </c>
      <c r="B64" s="21" t="s">
        <v>29</v>
      </c>
      <c r="C64" s="21" t="s">
        <v>34</v>
      </c>
      <c r="D64" s="53">
        <v>2017</v>
      </c>
    </row>
    <row r="65" spans="1:23" ht="15.75">
      <c r="A65" s="1" t="s">
        <v>0</v>
      </c>
      <c r="B65" s="1" t="s">
        <v>1</v>
      </c>
      <c r="C65" s="36">
        <v>172220.72</v>
      </c>
      <c r="D65" s="63">
        <v>0</v>
      </c>
      <c r="E65" s="63">
        <v>0</v>
      </c>
      <c r="F65" s="63">
        <v>0</v>
      </c>
      <c r="G65" s="36">
        <v>0</v>
      </c>
      <c r="H65" s="36">
        <v>172220.72</v>
      </c>
      <c r="I65" s="63">
        <v>0</v>
      </c>
      <c r="J65" s="63">
        <v>0</v>
      </c>
      <c r="K65" s="63">
        <v>0</v>
      </c>
      <c r="L65" s="36">
        <v>0</v>
      </c>
      <c r="M65" s="36">
        <v>172220.72</v>
      </c>
      <c r="N65" s="63">
        <v>0</v>
      </c>
      <c r="O65" s="63">
        <v>0</v>
      </c>
      <c r="P65" s="63">
        <v>0</v>
      </c>
      <c r="Q65" s="36">
        <v>0</v>
      </c>
      <c r="R65" s="48">
        <v>172220.72</v>
      </c>
      <c r="S65" s="63">
        <v>0</v>
      </c>
      <c r="T65" s="63">
        <v>0</v>
      </c>
      <c r="U65" s="63">
        <v>0</v>
      </c>
      <c r="V65" s="48">
        <v>0</v>
      </c>
      <c r="W65" s="36">
        <v>172220.72</v>
      </c>
    </row>
    <row r="66" spans="1:23" ht="15.75">
      <c r="A66" s="1" t="s">
        <v>2</v>
      </c>
      <c r="B66" s="1" t="s">
        <v>3</v>
      </c>
      <c r="C66" s="36">
        <v>-122024.75</v>
      </c>
      <c r="D66" s="63">
        <v>157.87</v>
      </c>
      <c r="E66" s="63">
        <v>157.87</v>
      </c>
      <c r="F66" s="63">
        <v>157.87</v>
      </c>
      <c r="G66" s="36">
        <v>473.61</v>
      </c>
      <c r="H66" s="36">
        <v>-121551.14</v>
      </c>
      <c r="I66" s="64">
        <v>157.87</v>
      </c>
      <c r="J66" s="64">
        <v>157.87</v>
      </c>
      <c r="K66" s="64">
        <v>157.87</v>
      </c>
      <c r="L66" s="36">
        <v>473.61</v>
      </c>
      <c r="M66" s="36">
        <v>-121077.53</v>
      </c>
      <c r="N66" s="63">
        <v>157.87</v>
      </c>
      <c r="O66" s="63">
        <v>157.87</v>
      </c>
      <c r="P66" s="63">
        <v>157.87</v>
      </c>
      <c r="Q66" s="48">
        <v>473.61</v>
      </c>
      <c r="R66" s="48">
        <v>-120603.92</v>
      </c>
      <c r="S66" s="63">
        <v>215.28</v>
      </c>
      <c r="T66" s="63">
        <v>215.28</v>
      </c>
      <c r="U66" s="63">
        <v>215.28</v>
      </c>
      <c r="V66" s="48">
        <v>645.84</v>
      </c>
      <c r="W66" s="36">
        <v>-119958.08</v>
      </c>
    </row>
    <row r="67" spans="1:23" ht="15.75">
      <c r="A67" s="1"/>
      <c r="B67" s="6"/>
      <c r="C67" s="5"/>
      <c r="D67" s="70"/>
      <c r="E67" s="70"/>
      <c r="F67" s="70"/>
      <c r="G67" s="5"/>
      <c r="H67" s="5"/>
      <c r="I67" s="70"/>
      <c r="J67" s="70"/>
      <c r="K67" s="70"/>
      <c r="L67" s="5"/>
      <c r="M67" s="5"/>
      <c r="N67" s="70"/>
      <c r="O67" s="70"/>
      <c r="P67" s="70"/>
      <c r="Q67" s="17"/>
      <c r="R67" s="17"/>
      <c r="S67" s="70"/>
      <c r="T67" s="70"/>
      <c r="U67" s="70"/>
      <c r="V67" s="17"/>
      <c r="W67" s="5"/>
    </row>
    <row r="68" spans="1:23" ht="15.75">
      <c r="A68" s="1" t="s">
        <v>4</v>
      </c>
      <c r="B68" s="7" t="s">
        <v>5</v>
      </c>
      <c r="C68" s="36">
        <v>-16230.96</v>
      </c>
      <c r="D68" s="63">
        <v>0</v>
      </c>
      <c r="E68" s="63">
        <v>0</v>
      </c>
      <c r="F68" s="63">
        <v>0</v>
      </c>
      <c r="G68" s="36">
        <v>0</v>
      </c>
      <c r="H68" s="36">
        <v>-16230.96</v>
      </c>
      <c r="I68" s="63">
        <v>0</v>
      </c>
      <c r="J68" s="63">
        <v>0</v>
      </c>
      <c r="K68" s="63">
        <v>0</v>
      </c>
      <c r="L68" s="36">
        <v>0</v>
      </c>
      <c r="M68" s="36">
        <v>-16230.96</v>
      </c>
      <c r="N68" s="63">
        <v>0</v>
      </c>
      <c r="O68" s="63">
        <v>0</v>
      </c>
      <c r="P68" s="63">
        <v>0</v>
      </c>
      <c r="Q68" s="36">
        <v>0</v>
      </c>
      <c r="R68" s="48">
        <v>-16230.96</v>
      </c>
      <c r="S68" s="63">
        <v>0</v>
      </c>
      <c r="T68" s="63">
        <v>0</v>
      </c>
      <c r="U68" s="63">
        <v>0</v>
      </c>
      <c r="V68" s="48">
        <v>0</v>
      </c>
      <c r="W68" s="36">
        <v>-16230.96</v>
      </c>
    </row>
    <row r="69" spans="1:23" ht="15.75">
      <c r="A69" s="1" t="s">
        <v>6</v>
      </c>
      <c r="B69" s="7" t="s">
        <v>7</v>
      </c>
      <c r="C69" s="36">
        <v>63725.61</v>
      </c>
      <c r="D69" s="63">
        <v>-14.88</v>
      </c>
      <c r="E69" s="63">
        <v>-14.88</v>
      </c>
      <c r="F69" s="63">
        <v>-14.88</v>
      </c>
      <c r="G69" s="36">
        <v>-44.64</v>
      </c>
      <c r="H69" s="36">
        <v>63680.97</v>
      </c>
      <c r="I69" s="64">
        <v>-14.88</v>
      </c>
      <c r="J69" s="64">
        <v>-14.88</v>
      </c>
      <c r="K69" s="64">
        <v>-14.88</v>
      </c>
      <c r="L69" s="36">
        <v>-44.64</v>
      </c>
      <c r="M69" s="36">
        <v>63636.33</v>
      </c>
      <c r="N69" s="63">
        <v>-14.88</v>
      </c>
      <c r="O69" s="63">
        <v>-14.88</v>
      </c>
      <c r="P69" s="63">
        <v>-14.88</v>
      </c>
      <c r="Q69" s="48">
        <v>-44.64</v>
      </c>
      <c r="R69" s="48">
        <v>63591.69</v>
      </c>
      <c r="S69" s="63">
        <v>-20.29</v>
      </c>
      <c r="T69" s="63">
        <v>-20.29</v>
      </c>
      <c r="U69" s="63">
        <v>-20.29</v>
      </c>
      <c r="V69" s="48">
        <v>-60.87</v>
      </c>
      <c r="W69" s="36">
        <v>63530.82</v>
      </c>
    </row>
    <row r="70" ht="15">
      <c r="W70" s="62"/>
    </row>
    <row r="71" spans="1:23" ht="15.75">
      <c r="A71" s="31"/>
      <c r="B71" s="32" t="s">
        <v>32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72"/>
    </row>
    <row r="72" spans="1:23" ht="15.75">
      <c r="A72" s="55" t="s">
        <v>0</v>
      </c>
      <c r="B72" s="55" t="s">
        <v>1</v>
      </c>
      <c r="C72" s="36">
        <v>47142.420000000006</v>
      </c>
      <c r="D72" s="59">
        <v>0</v>
      </c>
      <c r="E72" s="59">
        <v>0</v>
      </c>
      <c r="F72" s="59">
        <v>0</v>
      </c>
      <c r="G72" s="36">
        <f>SUM(D72:F72)</f>
        <v>0</v>
      </c>
      <c r="H72" s="36">
        <f>G72+C72</f>
        <v>47142.420000000006</v>
      </c>
      <c r="I72" s="59">
        <v>0</v>
      </c>
      <c r="J72" s="59">
        <v>0</v>
      </c>
      <c r="K72" s="59">
        <v>0</v>
      </c>
      <c r="L72" s="36">
        <f>SUM(I72:K72)</f>
        <v>0</v>
      </c>
      <c r="M72" s="36">
        <f>L72+H72</f>
        <v>47142.420000000006</v>
      </c>
      <c r="N72" s="63">
        <v>0</v>
      </c>
      <c r="O72" s="63">
        <v>0</v>
      </c>
      <c r="P72" s="63">
        <v>0</v>
      </c>
      <c r="Q72" s="36">
        <f>SUM(N72:P72)</f>
        <v>0</v>
      </c>
      <c r="R72" s="36">
        <f>Q72+M72</f>
        <v>47142.420000000006</v>
      </c>
      <c r="S72" s="63">
        <v>0</v>
      </c>
      <c r="T72" s="63">
        <v>0</v>
      </c>
      <c r="U72" s="63">
        <v>0</v>
      </c>
      <c r="V72" s="36">
        <f>SUM(S72:U72)</f>
        <v>0</v>
      </c>
      <c r="W72" s="66">
        <f>V72+R72</f>
        <v>47142.420000000006</v>
      </c>
    </row>
    <row r="73" spans="1:23" ht="15.75">
      <c r="A73" s="55" t="s">
        <v>2</v>
      </c>
      <c r="B73" s="55" t="s">
        <v>3</v>
      </c>
      <c r="C73" s="36">
        <v>934.8600000000064</v>
      </c>
      <c r="D73" s="59">
        <f>ROUND(C72*0.0217/12,2)</f>
        <v>85.25</v>
      </c>
      <c r="E73" s="59">
        <f>ROUND((C72+D72)*0.011/12,2)</f>
        <v>43.21</v>
      </c>
      <c r="F73" s="59">
        <f>ROUND((C72+D72+E72)*0.011/12,2)</f>
        <v>43.21</v>
      </c>
      <c r="G73" s="36">
        <f>SUM(D73:F73)</f>
        <v>171.67000000000002</v>
      </c>
      <c r="H73" s="36">
        <f>G73+C73</f>
        <v>1106.5300000000063</v>
      </c>
      <c r="I73" s="65">
        <f>ROUND(H72*0.011/12,2)</f>
        <v>43.21</v>
      </c>
      <c r="J73" s="65">
        <f>ROUND((G72+H72+I72)*0.011/12,2)</f>
        <v>43.21</v>
      </c>
      <c r="K73" s="65">
        <f>ROUND((G72+H72+I72+J72)*0.011/12,2)</f>
        <v>43.21</v>
      </c>
      <c r="L73" s="36">
        <f>SUM(I73:K73)</f>
        <v>129.63</v>
      </c>
      <c r="M73" s="36">
        <f>L73+H73</f>
        <v>1236.1600000000062</v>
      </c>
      <c r="N73" s="59">
        <f>ROUND(M72*0.011/12,2)</f>
        <v>43.21</v>
      </c>
      <c r="O73" s="59">
        <f>ROUND((M72+N72)*0.011/12,2)</f>
        <v>43.21</v>
      </c>
      <c r="P73" s="59">
        <f>ROUND((M72+N72+O72)*0.011/12,2)</f>
        <v>43.21</v>
      </c>
      <c r="Q73" s="36">
        <f>SUM(N73:P73)</f>
        <v>129.63</v>
      </c>
      <c r="R73" s="36">
        <f>Q73+M73</f>
        <v>1365.7900000000063</v>
      </c>
      <c r="S73" s="59">
        <f>ROUND(R72*0.015/12,2)</f>
        <v>58.93</v>
      </c>
      <c r="T73" s="59">
        <f>ROUND((R72+S72)*0.015/12,2)</f>
        <v>58.93</v>
      </c>
      <c r="U73" s="59">
        <f>ROUND((R72+S72+T72)*0.015/12,2)</f>
        <v>58.93</v>
      </c>
      <c r="V73" s="36">
        <f>SUM(S73:U73)</f>
        <v>176.79</v>
      </c>
      <c r="W73" s="66">
        <f>V73+R73</f>
        <v>1542.5800000000063</v>
      </c>
    </row>
    <row r="74" spans="1:23" ht="15.75">
      <c r="A74" s="55"/>
      <c r="B74" s="56"/>
      <c r="C74" s="5"/>
      <c r="D74" s="68"/>
      <c r="E74" s="68"/>
      <c r="F74" s="68"/>
      <c r="G74" s="5"/>
      <c r="H74" s="5"/>
      <c r="I74" s="68"/>
      <c r="J74" s="68"/>
      <c r="K74" s="68"/>
      <c r="L74" s="5"/>
      <c r="M74" s="5"/>
      <c r="N74" s="68"/>
      <c r="O74" s="68"/>
      <c r="P74" s="68"/>
      <c r="Q74" s="5"/>
      <c r="R74" s="5"/>
      <c r="S74" s="68"/>
      <c r="T74" s="68"/>
      <c r="U74" s="68"/>
      <c r="V74" s="5"/>
      <c r="W74" s="69"/>
    </row>
    <row r="75" spans="1:23" ht="15.75">
      <c r="A75" s="55" t="s">
        <v>4</v>
      </c>
      <c r="B75" s="57" t="s">
        <v>5</v>
      </c>
      <c r="C75" s="36">
        <v>0</v>
      </c>
      <c r="D75" s="59">
        <v>0</v>
      </c>
      <c r="E75" s="59">
        <v>0</v>
      </c>
      <c r="F75" s="59">
        <v>0</v>
      </c>
      <c r="G75" s="36">
        <f>SUM(D75:F75)</f>
        <v>0</v>
      </c>
      <c r="H75" s="36">
        <f>G75+C75</f>
        <v>0</v>
      </c>
      <c r="I75" s="59">
        <v>0</v>
      </c>
      <c r="J75" s="59">
        <v>0</v>
      </c>
      <c r="K75" s="59">
        <v>0</v>
      </c>
      <c r="L75" s="36">
        <f>SUM(I75:K75)</f>
        <v>0</v>
      </c>
      <c r="M75" s="36">
        <f>L75+H75</f>
        <v>0</v>
      </c>
      <c r="N75" s="63">
        <v>0</v>
      </c>
      <c r="O75" s="63">
        <v>0</v>
      </c>
      <c r="P75" s="63">
        <v>0</v>
      </c>
      <c r="Q75" s="36">
        <f>SUM(N75:P75)</f>
        <v>0</v>
      </c>
      <c r="R75" s="36">
        <f>Q75+M75</f>
        <v>0</v>
      </c>
      <c r="S75" s="63">
        <v>0</v>
      </c>
      <c r="T75" s="63">
        <v>0</v>
      </c>
      <c r="U75" s="63">
        <v>0</v>
      </c>
      <c r="V75" s="36">
        <f>SUM(S75:U75)</f>
        <v>0</v>
      </c>
      <c r="W75" s="66">
        <f>V75+R75</f>
        <v>0</v>
      </c>
    </row>
    <row r="76" spans="1:23" ht="15.75">
      <c r="A76" s="58" t="s">
        <v>6</v>
      </c>
      <c r="B76" s="41" t="s">
        <v>7</v>
      </c>
      <c r="C76" s="42">
        <v>47718.84999999999</v>
      </c>
      <c r="D76" s="60">
        <f>ROUND(C75*0.011/12,2)</f>
        <v>0</v>
      </c>
      <c r="E76" s="60">
        <f>ROUND((C75+D75)*0.011/12,2)</f>
        <v>0</v>
      </c>
      <c r="F76" s="60">
        <f>ROUND((C75+D75+E75)*0.011/12,2)</f>
        <v>0</v>
      </c>
      <c r="G76" s="42">
        <f>SUM(D76:F76)</f>
        <v>0</v>
      </c>
      <c r="H76" s="42">
        <f>G76+C76</f>
        <v>47718.84999999999</v>
      </c>
      <c r="I76" s="60">
        <f>ROUND(H75*0.011/12,2)</f>
        <v>0</v>
      </c>
      <c r="J76" s="60">
        <f>ROUND((G75+H75+I75)*0.011/12,2)</f>
        <v>0</v>
      </c>
      <c r="K76" s="60">
        <f>ROUND((G75+H75+I75+J75)*0.011/12,2)</f>
        <v>0</v>
      </c>
      <c r="L76" s="42">
        <f>SUM(I76:K76)</f>
        <v>0</v>
      </c>
      <c r="M76" s="42">
        <f>L76+H76</f>
        <v>47718.84999999999</v>
      </c>
      <c r="N76" s="60">
        <f>ROUND(M75*0.011/12,2)</f>
        <v>0</v>
      </c>
      <c r="O76" s="60">
        <f>ROUND((M75+N75)*0.011/12,2)</f>
        <v>0</v>
      </c>
      <c r="P76" s="60">
        <f>ROUND((M75+N75+O75)*0.011/12,2)</f>
        <v>0</v>
      </c>
      <c r="Q76" s="42">
        <f>SUM(N76:P76)</f>
        <v>0</v>
      </c>
      <c r="R76" s="42">
        <f>Q76+M76</f>
        <v>47718.84999999999</v>
      </c>
      <c r="S76" s="60">
        <f>ROUND(R75*0.015/12,2)</f>
        <v>0</v>
      </c>
      <c r="T76" s="60">
        <f>ROUND((R75+S75)*0.015/12,2)</f>
        <v>0</v>
      </c>
      <c r="U76" s="60">
        <f>ROUND((R75+S75+T75)*0.015/12,2)</f>
        <v>0</v>
      </c>
      <c r="V76" s="42">
        <f>SUM(S76:U76)</f>
        <v>0</v>
      </c>
      <c r="W76" s="67">
        <f>V76+R76</f>
        <v>47718.84999999999</v>
      </c>
    </row>
    <row r="78" spans="2:3" ht="15">
      <c r="B78" t="s">
        <v>32</v>
      </c>
      <c r="C78" t="s">
        <v>70</v>
      </c>
    </row>
    <row r="79" spans="2:3" ht="15">
      <c r="B79">
        <v>2018</v>
      </c>
      <c r="C79" s="62">
        <f>(58.93*3)+(74.25*6)+(85.25*3)</f>
        <v>878.04</v>
      </c>
    </row>
    <row r="80" spans="2:3" ht="15">
      <c r="B80">
        <v>2019</v>
      </c>
      <c r="C80" s="95">
        <f>85.25*4</f>
        <v>341</v>
      </c>
    </row>
    <row r="81" spans="2:3" ht="15">
      <c r="B81" t="s">
        <v>71</v>
      </c>
      <c r="C81" s="62">
        <f>SUM(C79:C80)</f>
        <v>1219.04</v>
      </c>
    </row>
    <row r="82" spans="2:3" ht="15">
      <c r="B82" t="s">
        <v>73</v>
      </c>
      <c r="C82" s="95">
        <f>W76+W73</f>
        <v>49261.43</v>
      </c>
    </row>
    <row r="83" spans="2:3" ht="15">
      <c r="B83" t="s">
        <v>72</v>
      </c>
      <c r="C83" s="62">
        <f>SUM(C81:C82)</f>
        <v>50480.47</v>
      </c>
    </row>
    <row r="84" spans="2:3" ht="15">
      <c r="B84" t="s">
        <v>76</v>
      </c>
      <c r="C84" s="95">
        <f>W72+W75</f>
        <v>47142.420000000006</v>
      </c>
    </row>
    <row r="85" spans="2:3" ht="15.75" thickBot="1">
      <c r="B85" t="s">
        <v>75</v>
      </c>
      <c r="C85" s="96">
        <f>SUM(C83:C84)</f>
        <v>97622.89000000001</v>
      </c>
    </row>
    <row r="86" ht="15.75" thickTop="1"/>
  </sheetData>
  <sheetProtection/>
  <printOptions/>
  <pageMargins left="0.7" right="0.7" top="0.75" bottom="0.75" header="0.3" footer="0.3"/>
  <pageSetup horizontalDpi="600" verticalDpi="600" orientation="landscape" paperSize="5" scale="71" r:id="rId3"/>
  <rowBreaks count="1" manualBreakCount="1">
    <brk id="30" max="24" man="1"/>
  </rowBreaks>
  <ignoredErrors>
    <ignoredError sqref="C82 C8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I10">
      <selection activeCell="S41" sqref="S41"/>
    </sheetView>
  </sheetViews>
  <sheetFormatPr defaultColWidth="9.140625" defaultRowHeight="15"/>
  <cols>
    <col min="1" max="1" width="17.00390625" style="0" bestFit="1" customWidth="1"/>
    <col min="2" max="2" width="38.8515625" style="0" bestFit="1" customWidth="1"/>
    <col min="3" max="3" width="21.140625" style="0" customWidth="1"/>
    <col min="4" max="5" width="12.7109375" style="0" customWidth="1"/>
    <col min="6" max="7" width="16.00390625" style="0" customWidth="1"/>
    <col min="8" max="8" width="14.8515625" style="0" customWidth="1"/>
    <col min="9" max="9" width="13.421875" style="0" customWidth="1"/>
    <col min="10" max="10" width="15.57421875" style="0" customWidth="1"/>
    <col min="11" max="11" width="13.8515625" style="0" customWidth="1"/>
    <col min="12" max="13" width="14.8515625" style="0" customWidth="1"/>
    <col min="14" max="14" width="14.421875" style="0" customWidth="1"/>
    <col min="15" max="15" width="14.57421875" style="0" customWidth="1"/>
    <col min="16" max="16" width="15.57421875" style="0" customWidth="1"/>
    <col min="17" max="17" width="16.00390625" style="0" customWidth="1"/>
    <col min="18" max="18" width="14.8515625" style="0" customWidth="1"/>
    <col min="19" max="19" width="12.7109375" style="0" customWidth="1"/>
    <col min="20" max="20" width="14.421875" style="0" customWidth="1"/>
    <col min="21" max="21" width="14.57421875" style="0" customWidth="1"/>
    <col min="22" max="22" width="13.7109375" style="0" customWidth="1"/>
    <col min="23" max="23" width="14.8515625" style="0" bestFit="1" customWidth="1"/>
  </cols>
  <sheetData>
    <row r="1" spans="1:3" ht="18.75">
      <c r="A1" s="53">
        <v>2014</v>
      </c>
      <c r="B1" s="21" t="s">
        <v>29</v>
      </c>
      <c r="C1" s="8" t="s">
        <v>50</v>
      </c>
    </row>
    <row r="2" spans="1:17" ht="18.75">
      <c r="A2" s="1"/>
      <c r="B2" s="1"/>
      <c r="C2" s="8" t="s">
        <v>37</v>
      </c>
      <c r="D2" s="53">
        <v>2014</v>
      </c>
      <c r="E2" s="1"/>
      <c r="F2" s="1"/>
      <c r="G2" s="1"/>
      <c r="H2" s="8"/>
      <c r="I2" s="8"/>
      <c r="J2" s="1"/>
      <c r="K2" s="1"/>
      <c r="L2" s="1"/>
      <c r="M2" s="8"/>
      <c r="N2" s="1"/>
      <c r="O2" s="1"/>
      <c r="P2" s="1"/>
      <c r="Q2" s="8"/>
    </row>
    <row r="3" spans="1:17" ht="15.75">
      <c r="A3" s="13" t="s">
        <v>9</v>
      </c>
      <c r="B3" s="13" t="s">
        <v>10</v>
      </c>
      <c r="C3" s="6" t="s">
        <v>19</v>
      </c>
      <c r="D3" s="6" t="s">
        <v>19</v>
      </c>
      <c r="E3" s="6" t="s">
        <v>20</v>
      </c>
      <c r="F3" s="16" t="s">
        <v>16</v>
      </c>
      <c r="G3" s="16" t="s">
        <v>17</v>
      </c>
      <c r="H3" s="6" t="s">
        <v>21</v>
      </c>
      <c r="I3" s="6" t="s">
        <v>22</v>
      </c>
      <c r="J3" s="6" t="s">
        <v>23</v>
      </c>
      <c r="K3" s="16" t="s">
        <v>16</v>
      </c>
      <c r="L3" s="16" t="s">
        <v>17</v>
      </c>
      <c r="M3" s="1" t="s">
        <v>24</v>
      </c>
      <c r="N3" s="1" t="s">
        <v>25</v>
      </c>
      <c r="O3" s="1" t="s">
        <v>26</v>
      </c>
      <c r="P3" s="11" t="s">
        <v>16</v>
      </c>
      <c r="Q3" s="11" t="s">
        <v>17</v>
      </c>
    </row>
    <row r="4" spans="1:17" ht="15.75">
      <c r="A4" s="1"/>
      <c r="B4" s="1"/>
      <c r="D4" s="17"/>
      <c r="E4" s="1"/>
      <c r="F4" s="10"/>
      <c r="G4" s="10"/>
      <c r="H4" s="1"/>
      <c r="I4" s="1"/>
      <c r="J4" s="1"/>
      <c r="K4" s="10"/>
      <c r="L4" s="10"/>
      <c r="M4" s="1"/>
      <c r="N4" s="1"/>
      <c r="O4" s="1"/>
      <c r="P4" s="10"/>
      <c r="Q4" s="10"/>
    </row>
    <row r="6" spans="1:17" ht="15.75">
      <c r="A6" s="1" t="s">
        <v>42</v>
      </c>
      <c r="B6" s="79" t="s">
        <v>45</v>
      </c>
      <c r="C6" s="73">
        <v>-1133035.74</v>
      </c>
      <c r="D6" s="3">
        <v>47034.04</v>
      </c>
      <c r="E6" s="3">
        <v>44102.23</v>
      </c>
      <c r="F6" s="2">
        <f>SUM(C6:E6)</f>
        <v>-1041899.47</v>
      </c>
      <c r="G6" s="2">
        <f>F6</f>
        <v>-1041899.47</v>
      </c>
      <c r="H6" s="4">
        <v>-50291.53</v>
      </c>
      <c r="I6" s="4">
        <v>153942.34</v>
      </c>
      <c r="J6" s="4">
        <v>44547.65</v>
      </c>
      <c r="K6" s="2">
        <f>SUM(H6:J6)</f>
        <v>148198.46</v>
      </c>
      <c r="L6" s="2">
        <f>K6+G6</f>
        <v>-893701.01</v>
      </c>
      <c r="M6" s="4">
        <v>44523.85</v>
      </c>
      <c r="N6" s="4">
        <v>50030.38</v>
      </c>
      <c r="O6" s="4">
        <v>56251.44</v>
      </c>
      <c r="P6" s="2">
        <f>SUM(M6:O6)</f>
        <v>150805.66999999998</v>
      </c>
      <c r="Q6" s="2">
        <f>P6+L6</f>
        <v>-742895.3400000001</v>
      </c>
    </row>
    <row r="7" spans="1:17" ht="15.75">
      <c r="A7" s="1" t="s">
        <v>43</v>
      </c>
      <c r="B7" s="1" t="s">
        <v>44</v>
      </c>
      <c r="C7" s="73">
        <v>-65051.51</v>
      </c>
      <c r="D7" s="5">
        <v>0</v>
      </c>
      <c r="E7" s="3">
        <v>-1387.97</v>
      </c>
      <c r="F7" s="2">
        <f>SUM(C7:E7)</f>
        <v>-66439.48</v>
      </c>
      <c r="G7" s="2">
        <f>F7</f>
        <v>-66439.48</v>
      </c>
      <c r="H7" s="4">
        <v>-1276.33</v>
      </c>
      <c r="I7" s="4">
        <v>-1337.93</v>
      </c>
      <c r="J7" s="4">
        <v>-1149.35</v>
      </c>
      <c r="K7" s="2">
        <f>SUM(H7:J7)</f>
        <v>-3763.61</v>
      </c>
      <c r="L7" s="2">
        <f>K7+G7</f>
        <v>-70203.09</v>
      </c>
      <c r="M7" s="4">
        <v>-1094.78</v>
      </c>
      <c r="N7" s="4">
        <v>-1040.24</v>
      </c>
      <c r="O7" s="4">
        <v>-978.95</v>
      </c>
      <c r="P7" s="2">
        <f>SUM(M7:O7)</f>
        <v>-3113.9700000000003</v>
      </c>
      <c r="Q7" s="2">
        <f>P7+L7</f>
        <v>-73317.06</v>
      </c>
    </row>
    <row r="8" spans="3:17" ht="15.75"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.75">
      <c r="A9" s="1" t="s">
        <v>46</v>
      </c>
      <c r="B9" s="79" t="s">
        <v>47</v>
      </c>
      <c r="C9" s="80">
        <v>360163.09</v>
      </c>
      <c r="D9" s="3">
        <v>-5889.25</v>
      </c>
      <c r="E9" s="63">
        <v>-4594.64</v>
      </c>
      <c r="F9" s="2">
        <f>SUM(C9:E9)</f>
        <v>349679.2</v>
      </c>
      <c r="G9" s="2">
        <f>F9</f>
        <v>349679.2</v>
      </c>
      <c r="H9" s="63">
        <v>4610.71</v>
      </c>
      <c r="I9" s="63">
        <v>-16963.91</v>
      </c>
      <c r="J9" s="63">
        <v>-5294.03</v>
      </c>
      <c r="K9" s="2">
        <f>SUM(H9:J9)</f>
        <v>-17647.23</v>
      </c>
      <c r="L9" s="2">
        <f>K9+G9</f>
        <v>332031.97000000003</v>
      </c>
      <c r="M9" s="63">
        <v>-5017.57</v>
      </c>
      <c r="N9" s="63">
        <v>-4951.2</v>
      </c>
      <c r="O9" s="63">
        <v>-5271.53</v>
      </c>
      <c r="P9" s="2">
        <f>SUM(M9:O9)</f>
        <v>-15240.3</v>
      </c>
      <c r="Q9" s="2">
        <f>P9+L9</f>
        <v>316791.67000000004</v>
      </c>
    </row>
    <row r="10" spans="1:17" ht="15.75">
      <c r="A10" s="1" t="s">
        <v>48</v>
      </c>
      <c r="B10" s="79" t="s">
        <v>49</v>
      </c>
      <c r="C10" s="80">
        <v>22016.37</v>
      </c>
      <c r="D10" s="63">
        <v>0</v>
      </c>
      <c r="E10" s="63">
        <v>441.2</v>
      </c>
      <c r="F10" s="2">
        <f>SUM(C10:E10)</f>
        <v>22457.57</v>
      </c>
      <c r="G10" s="2">
        <f>F10</f>
        <v>22457.57</v>
      </c>
      <c r="H10" s="63">
        <v>428.36</v>
      </c>
      <c r="I10" s="63">
        <v>434.01</v>
      </c>
      <c r="J10" s="63">
        <v>413.22</v>
      </c>
      <c r="K10" s="2">
        <f>SUM(H10:J10)</f>
        <v>1275.5900000000001</v>
      </c>
      <c r="L10" s="2">
        <f>K10+G10</f>
        <v>23733.16</v>
      </c>
      <c r="M10" s="63">
        <v>406.74</v>
      </c>
      <c r="N10" s="63">
        <v>400.59</v>
      </c>
      <c r="O10" s="63">
        <v>394.53</v>
      </c>
      <c r="P10" s="2">
        <f>SUM(M10:O10)</f>
        <v>1201.86</v>
      </c>
      <c r="Q10" s="2">
        <f>P10+L10</f>
        <v>24935.02</v>
      </c>
    </row>
    <row r="12" ht="15.75">
      <c r="B12" s="20" t="s">
        <v>31</v>
      </c>
    </row>
    <row r="13" spans="1:27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7"/>
      <c r="Y13" s="27"/>
      <c r="Z13" s="27"/>
      <c r="AA13" s="27"/>
    </row>
    <row r="14" spans="3:4" ht="18.75">
      <c r="C14" s="21">
        <v>2014</v>
      </c>
      <c r="D14" s="53">
        <v>2015</v>
      </c>
    </row>
    <row r="15" spans="1:23" ht="18.75">
      <c r="A15" s="53">
        <v>2015</v>
      </c>
      <c r="B15" s="21" t="s">
        <v>29</v>
      </c>
      <c r="C15" s="14" t="s">
        <v>11</v>
      </c>
      <c r="D15" s="6" t="s">
        <v>13</v>
      </c>
      <c r="E15" s="6" t="s">
        <v>14</v>
      </c>
      <c r="F15" s="6" t="s">
        <v>15</v>
      </c>
      <c r="G15" s="16" t="s">
        <v>16</v>
      </c>
      <c r="H15" s="16" t="s">
        <v>17</v>
      </c>
      <c r="I15" s="6" t="s">
        <v>18</v>
      </c>
      <c r="J15" s="6" t="s">
        <v>19</v>
      </c>
      <c r="K15" s="6" t="s">
        <v>20</v>
      </c>
      <c r="L15" s="16" t="s">
        <v>16</v>
      </c>
      <c r="M15" s="16" t="s">
        <v>17</v>
      </c>
      <c r="N15" s="6" t="s">
        <v>21</v>
      </c>
      <c r="O15" s="6" t="s">
        <v>22</v>
      </c>
      <c r="P15" s="6" t="s">
        <v>23</v>
      </c>
      <c r="Q15" s="16" t="s">
        <v>16</v>
      </c>
      <c r="R15" s="16" t="s">
        <v>17</v>
      </c>
      <c r="S15" s="1" t="s">
        <v>24</v>
      </c>
      <c r="T15" s="1" t="s">
        <v>25</v>
      </c>
      <c r="U15" s="1" t="s">
        <v>26</v>
      </c>
      <c r="V15" s="11" t="s">
        <v>16</v>
      </c>
      <c r="W15" s="11" t="s">
        <v>17</v>
      </c>
    </row>
    <row r="16" spans="1:23" ht="18.75">
      <c r="A16" s="53"/>
      <c r="B16" s="21"/>
      <c r="C16" s="11" t="s">
        <v>28</v>
      </c>
      <c r="D16" s="6"/>
      <c r="E16" s="6"/>
      <c r="F16" s="6"/>
      <c r="G16" s="10"/>
      <c r="H16" s="10"/>
      <c r="I16" s="6"/>
      <c r="J16" s="6"/>
      <c r="K16" s="6"/>
      <c r="L16" s="10"/>
      <c r="M16" s="10"/>
      <c r="N16" s="6"/>
      <c r="O16" s="6"/>
      <c r="P16" s="6"/>
      <c r="Q16" s="10"/>
      <c r="R16" s="10"/>
      <c r="S16" s="1"/>
      <c r="T16" s="1"/>
      <c r="U16" s="1"/>
      <c r="V16" s="25"/>
      <c r="W16" s="25"/>
    </row>
    <row r="17" spans="1:23" ht="15.75">
      <c r="A17" s="1" t="s">
        <v>42</v>
      </c>
      <c r="B17" s="79" t="s">
        <v>45</v>
      </c>
      <c r="C17" s="2">
        <f>Q6</f>
        <v>-742895.3400000001</v>
      </c>
      <c r="D17" s="63">
        <v>62256.63</v>
      </c>
      <c r="E17" s="63">
        <v>59264.93</v>
      </c>
      <c r="F17" s="63">
        <v>52531.27</v>
      </c>
      <c r="G17" s="2">
        <f>SUM(D17:F17)</f>
        <v>174052.83</v>
      </c>
      <c r="H17" s="2">
        <f>G17+C17</f>
        <v>-568842.5100000001</v>
      </c>
      <c r="I17" s="63">
        <v>44493.62</v>
      </c>
      <c r="J17" s="63">
        <v>46273.91</v>
      </c>
      <c r="K17" s="3">
        <v>43695.65</v>
      </c>
      <c r="L17" s="2">
        <f>SUM(I17:K17)</f>
        <v>134463.18</v>
      </c>
      <c r="M17" s="2">
        <f>L17+H17</f>
        <v>-434379.33000000013</v>
      </c>
      <c r="N17" s="63">
        <v>56164.74</v>
      </c>
      <c r="O17" s="63">
        <v>54892.66</v>
      </c>
      <c r="P17" s="63">
        <v>49259.59</v>
      </c>
      <c r="Q17" s="2">
        <f>SUM(N17:P17)</f>
        <v>160316.99</v>
      </c>
      <c r="R17" s="2">
        <f>Q17+M17</f>
        <v>-274062.34000000014</v>
      </c>
      <c r="S17" s="63">
        <v>45149.61</v>
      </c>
      <c r="T17" s="63">
        <v>45397.74</v>
      </c>
      <c r="U17" s="63">
        <v>51567.52</v>
      </c>
      <c r="V17" s="2">
        <f>SUM(S17:U17)</f>
        <v>142114.87</v>
      </c>
      <c r="W17" s="2">
        <f>V17+R17</f>
        <v>-131947.47000000015</v>
      </c>
    </row>
    <row r="18" spans="1:23" ht="15.75">
      <c r="A18" s="1" t="s">
        <v>43</v>
      </c>
      <c r="B18" s="1" t="s">
        <v>44</v>
      </c>
      <c r="C18" s="2">
        <f>Q7</f>
        <v>-73317.06</v>
      </c>
      <c r="D18" s="63">
        <v>-910.05</v>
      </c>
      <c r="E18" s="63">
        <v>-833.78</v>
      </c>
      <c r="F18" s="63">
        <v>-761.18</v>
      </c>
      <c r="G18" s="2">
        <f>SUM(D18:F18)</f>
        <v>-2505.0099999999998</v>
      </c>
      <c r="H18" s="2">
        <f>G18+C18</f>
        <v>-75822.06999999999</v>
      </c>
      <c r="I18" s="63">
        <v>-521.44</v>
      </c>
      <c r="J18" s="63">
        <v>-480.65</v>
      </c>
      <c r="K18" s="3">
        <v>-438.24</v>
      </c>
      <c r="L18" s="2">
        <f>SUM(I18:K18)</f>
        <v>-1440.33</v>
      </c>
      <c r="M18" s="2">
        <f>L18+H18</f>
        <v>-77262.4</v>
      </c>
      <c r="N18" s="63">
        <v>-398.18</v>
      </c>
      <c r="O18" s="63">
        <v>-346.7</v>
      </c>
      <c r="P18" s="63">
        <v>-296.38</v>
      </c>
      <c r="Q18" s="2">
        <f>SUM(N18:P18)</f>
        <v>-1041.26</v>
      </c>
      <c r="R18" s="2">
        <f>Q18+M18</f>
        <v>-78303.65999999999</v>
      </c>
      <c r="S18" s="63">
        <v>-251.22</v>
      </c>
      <c r="T18" s="63">
        <v>-209.84</v>
      </c>
      <c r="U18" s="63">
        <v>-168.22</v>
      </c>
      <c r="V18" s="2">
        <f>SUM(S18:U18)</f>
        <v>-629.28</v>
      </c>
      <c r="W18" s="2">
        <f>V18+R18</f>
        <v>-78932.93999999999</v>
      </c>
    </row>
    <row r="20" spans="1:23" ht="15.75">
      <c r="A20" s="1" t="s">
        <v>46</v>
      </c>
      <c r="B20" s="79" t="s">
        <v>47</v>
      </c>
      <c r="C20" s="2">
        <f>Q9</f>
        <v>316791.67000000004</v>
      </c>
      <c r="D20" s="63">
        <v>-5512.02</v>
      </c>
      <c r="E20" s="63">
        <v>-5308.12</v>
      </c>
      <c r="F20" s="63">
        <v>-5083.83</v>
      </c>
      <c r="G20" s="2">
        <f>SUM(D20:F20)</f>
        <v>-15903.97</v>
      </c>
      <c r="H20" s="2">
        <f>G20+C20</f>
        <v>300887.70000000007</v>
      </c>
      <c r="I20" s="63">
        <v>-4646.62</v>
      </c>
      <c r="J20" s="63">
        <v>-16722.08</v>
      </c>
      <c r="K20" s="63">
        <v>-15606.51</v>
      </c>
      <c r="L20" s="2">
        <f>SUM(I20:K20)</f>
        <v>-36975.21</v>
      </c>
      <c r="M20" s="2">
        <f>L20+H20</f>
        <v>263912.49000000005</v>
      </c>
      <c r="N20" s="63">
        <v>-17537.3</v>
      </c>
      <c r="O20" s="63">
        <v>-17180.54</v>
      </c>
      <c r="P20" s="63">
        <v>-17290.69</v>
      </c>
      <c r="Q20" s="2">
        <f>SUM(N20:P20)</f>
        <v>-52008.53</v>
      </c>
      <c r="R20" s="2">
        <f>Q20+M20</f>
        <v>211903.96000000005</v>
      </c>
      <c r="S20" s="63">
        <v>-14021.74</v>
      </c>
      <c r="T20" s="63">
        <v>-13614.6</v>
      </c>
      <c r="U20" s="63">
        <f>-13621.32</f>
        <v>-13621.32</v>
      </c>
      <c r="V20" s="2">
        <f>SUM(S20:U20)</f>
        <v>-41257.66</v>
      </c>
      <c r="W20" s="2">
        <f>V20+R20</f>
        <v>170646.30000000005</v>
      </c>
    </row>
    <row r="21" spans="1:23" ht="15.75">
      <c r="A21" s="1" t="s">
        <v>48</v>
      </c>
      <c r="B21" s="79" t="s">
        <v>49</v>
      </c>
      <c r="C21" s="2">
        <f>Q10</f>
        <v>24935.02</v>
      </c>
      <c r="D21" s="63">
        <v>388.07</v>
      </c>
      <c r="E21" s="63">
        <v>381.32</v>
      </c>
      <c r="F21" s="63">
        <v>374.82</v>
      </c>
      <c r="G21" s="2">
        <f>SUM(D21:F21)</f>
        <v>1144.21</v>
      </c>
      <c r="H21" s="2">
        <f>G21+C21</f>
        <v>26079.23</v>
      </c>
      <c r="I21" s="63">
        <v>275.81</v>
      </c>
      <c r="J21" s="63">
        <v>271.55</v>
      </c>
      <c r="K21" s="63">
        <v>256.23</v>
      </c>
      <c r="L21" s="2">
        <f>SUM(I21:K21)</f>
        <v>803.59</v>
      </c>
      <c r="M21" s="2">
        <f>L21+H21</f>
        <v>26882.82</v>
      </c>
      <c r="N21" s="63">
        <v>241.92</v>
      </c>
      <c r="O21" s="63">
        <v>225.84</v>
      </c>
      <c r="P21" s="63">
        <v>210.1</v>
      </c>
      <c r="Q21" s="2">
        <f>SUM(N21:P21)</f>
        <v>677.86</v>
      </c>
      <c r="R21" s="2">
        <f>Q21+M21</f>
        <v>27560.68</v>
      </c>
      <c r="S21" s="63">
        <v>194.25</v>
      </c>
      <c r="T21" s="63">
        <v>181.39</v>
      </c>
      <c r="U21" s="63">
        <v>168.91</v>
      </c>
      <c r="V21" s="2">
        <f>SUM(S21:U21)</f>
        <v>544.55</v>
      </c>
      <c r="W21" s="2">
        <f>V21+R21</f>
        <v>28105.23</v>
      </c>
    </row>
    <row r="23" ht="15.75">
      <c r="B23" s="20" t="s">
        <v>31</v>
      </c>
    </row>
    <row r="24" spans="1:23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3:4" ht="18.75">
      <c r="C25" s="21">
        <v>2015</v>
      </c>
      <c r="D25" s="53">
        <v>2016</v>
      </c>
    </row>
    <row r="26" spans="1:23" ht="18.75">
      <c r="A26" s="53">
        <v>2016</v>
      </c>
      <c r="B26" s="21" t="s">
        <v>29</v>
      </c>
      <c r="C26" s="14" t="s">
        <v>11</v>
      </c>
      <c r="D26" s="6" t="s">
        <v>13</v>
      </c>
      <c r="E26" s="6" t="s">
        <v>14</v>
      </c>
      <c r="F26" s="6" t="s">
        <v>15</v>
      </c>
      <c r="G26" s="16" t="s">
        <v>16</v>
      </c>
      <c r="H26" s="16" t="s">
        <v>17</v>
      </c>
      <c r="I26" s="6" t="s">
        <v>18</v>
      </c>
      <c r="J26" s="6" t="s">
        <v>19</v>
      </c>
      <c r="K26" s="6" t="s">
        <v>20</v>
      </c>
      <c r="L26" s="16" t="s">
        <v>16</v>
      </c>
      <c r="M26" s="16" t="s">
        <v>17</v>
      </c>
      <c r="N26" s="6" t="s">
        <v>21</v>
      </c>
      <c r="O26" s="6" t="s">
        <v>22</v>
      </c>
      <c r="P26" s="6" t="s">
        <v>23</v>
      </c>
      <c r="Q26" s="16" t="s">
        <v>16</v>
      </c>
      <c r="R26" s="16" t="s">
        <v>17</v>
      </c>
      <c r="S26" s="1" t="s">
        <v>24</v>
      </c>
      <c r="T26" s="1" t="s">
        <v>25</v>
      </c>
      <c r="U26" s="1" t="s">
        <v>26</v>
      </c>
      <c r="V26" s="11" t="s">
        <v>16</v>
      </c>
      <c r="W26" s="11" t="s">
        <v>17</v>
      </c>
    </row>
    <row r="27" spans="1:3" ht="18.75">
      <c r="A27" s="53"/>
      <c r="B27" s="21"/>
      <c r="C27" s="11" t="s">
        <v>28</v>
      </c>
    </row>
    <row r="28" spans="1:23" ht="15.75">
      <c r="A28" s="1" t="s">
        <v>42</v>
      </c>
      <c r="B28" s="79" t="s">
        <v>45</v>
      </c>
      <c r="C28" s="2">
        <f>W17</f>
        <v>-131947.47000000015</v>
      </c>
      <c r="D28" s="63">
        <v>56398.72</v>
      </c>
      <c r="E28" s="63">
        <v>53076.56</v>
      </c>
      <c r="F28" s="63">
        <v>53079.17</v>
      </c>
      <c r="G28" s="2">
        <f>SUM(D28:F28)</f>
        <v>162554.45</v>
      </c>
      <c r="H28" s="2">
        <f>G28+C28</f>
        <v>30606.979999999865</v>
      </c>
      <c r="I28" s="63">
        <v>43593.72</v>
      </c>
      <c r="J28" s="63">
        <v>170.92</v>
      </c>
      <c r="K28" s="63">
        <v>115.2</v>
      </c>
      <c r="L28" s="2">
        <f>SUM(I28:K28)</f>
        <v>43879.84</v>
      </c>
      <c r="M28" s="2">
        <f>L28+H28</f>
        <v>74486.81999999986</v>
      </c>
      <c r="N28" s="63">
        <v>0.15</v>
      </c>
      <c r="O28" s="63">
        <v>0</v>
      </c>
      <c r="P28" s="63">
        <v>0</v>
      </c>
      <c r="Q28" s="2">
        <f>SUM(N28:P28)</f>
        <v>0.15</v>
      </c>
      <c r="R28" s="2">
        <f>Q28+M28</f>
        <v>74486.96999999986</v>
      </c>
      <c r="S28" s="63">
        <v>0</v>
      </c>
      <c r="T28" s="63">
        <v>0</v>
      </c>
      <c r="U28" s="63">
        <v>0</v>
      </c>
      <c r="V28" s="2">
        <f>SUM(S28:U28)</f>
        <v>0</v>
      </c>
      <c r="W28" s="2">
        <f>V28+R28</f>
        <v>74486.96999999986</v>
      </c>
    </row>
    <row r="29" spans="1:23" ht="15.75">
      <c r="A29" s="1" t="s">
        <v>43</v>
      </c>
      <c r="B29" s="1" t="s">
        <v>44</v>
      </c>
      <c r="C29" s="2">
        <f>W18</f>
        <v>-78932.93999999999</v>
      </c>
      <c r="D29" s="63">
        <v>-120.95</v>
      </c>
      <c r="E29" s="63">
        <v>-69.25</v>
      </c>
      <c r="F29" s="63">
        <v>-20.6</v>
      </c>
      <c r="G29" s="2">
        <f>SUM(D29:F29)</f>
        <v>-210.79999999999998</v>
      </c>
      <c r="H29" s="2">
        <f>G29+C29</f>
        <v>-79143.73999999999</v>
      </c>
      <c r="I29" s="63">
        <v>28.06</v>
      </c>
      <c r="J29" s="63">
        <v>68.02</v>
      </c>
      <c r="K29" s="63">
        <v>68.17</v>
      </c>
      <c r="L29" s="2">
        <f>SUM(I29:K29)</f>
        <v>164.25</v>
      </c>
      <c r="M29" s="2">
        <f>L29+H29</f>
        <v>-78979.48999999999</v>
      </c>
      <c r="N29" s="63">
        <v>68.28</v>
      </c>
      <c r="O29" s="63">
        <v>68.28</v>
      </c>
      <c r="P29" s="63">
        <v>68.28</v>
      </c>
      <c r="Q29" s="2">
        <f>SUM(N29:P29)</f>
        <v>204.84</v>
      </c>
      <c r="R29" s="2">
        <f>Q29+M29</f>
        <v>-78774.65</v>
      </c>
      <c r="S29" s="63">
        <v>68.28</v>
      </c>
      <c r="T29" s="63">
        <v>68.28</v>
      </c>
      <c r="U29" s="63">
        <v>68.28</v>
      </c>
      <c r="V29" s="2">
        <f>SUM(S29:U29)</f>
        <v>204.84</v>
      </c>
      <c r="W29" s="2">
        <f>V29+R29</f>
        <v>-78569.81</v>
      </c>
    </row>
    <row r="30" spans="4:23" ht="15.75"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15.75">
      <c r="A31" s="1" t="s">
        <v>46</v>
      </c>
      <c r="B31" s="79" t="s">
        <v>47</v>
      </c>
      <c r="C31" s="2">
        <f>W20</f>
        <v>170646.30000000005</v>
      </c>
      <c r="D31" s="63">
        <v>-13140.93</v>
      </c>
      <c r="E31" s="63">
        <v>-13447.7</v>
      </c>
      <c r="F31" s="63">
        <v>-17150.69</v>
      </c>
      <c r="G31" s="2">
        <f>SUM(D31:F31)</f>
        <v>-43739.32</v>
      </c>
      <c r="H31" s="2">
        <f>G31+C31</f>
        <v>126906.98000000004</v>
      </c>
      <c r="I31" s="63">
        <v>-9006.94</v>
      </c>
      <c r="J31" s="63">
        <v>0</v>
      </c>
      <c r="K31" s="63">
        <v>0</v>
      </c>
      <c r="L31" s="2">
        <f>SUM(I31:K31)</f>
        <v>-9006.94</v>
      </c>
      <c r="M31" s="2">
        <f>L31+H31</f>
        <v>117900.04000000004</v>
      </c>
      <c r="N31" s="63">
        <v>0</v>
      </c>
      <c r="O31" s="63">
        <v>123.05</v>
      </c>
      <c r="P31" s="63">
        <v>0</v>
      </c>
      <c r="Q31" s="2">
        <f>SUM(N31:P31)</f>
        <v>123.05</v>
      </c>
      <c r="R31" s="2">
        <f>Q31+M31</f>
        <v>118023.09000000004</v>
      </c>
      <c r="S31" s="63">
        <v>0</v>
      </c>
      <c r="T31" s="63">
        <v>0</v>
      </c>
      <c r="U31" s="63">
        <v>0</v>
      </c>
      <c r="V31" s="2">
        <f>SUM(S31:U31)</f>
        <v>0</v>
      </c>
      <c r="W31" s="2">
        <f>V31+R31</f>
        <v>118023.09000000004</v>
      </c>
    </row>
    <row r="32" spans="1:23" ht="15.75">
      <c r="A32" s="1" t="s">
        <v>48</v>
      </c>
      <c r="B32" s="79" t="s">
        <v>49</v>
      </c>
      <c r="C32" s="2">
        <f>W21</f>
        <v>28105.23</v>
      </c>
      <c r="D32" s="63">
        <v>156.43</v>
      </c>
      <c r="E32" s="63">
        <v>144.38</v>
      </c>
      <c r="F32" s="63">
        <v>132.05</v>
      </c>
      <c r="G32" s="2">
        <f>SUM(D32:F32)</f>
        <v>432.86</v>
      </c>
      <c r="H32" s="2">
        <f>G32+C32</f>
        <v>28538.09</v>
      </c>
      <c r="I32" s="63">
        <v>116.33</v>
      </c>
      <c r="J32" s="63">
        <v>108.08</v>
      </c>
      <c r="K32" s="63">
        <v>108.08</v>
      </c>
      <c r="L32" s="2">
        <f>SUM(I32:K32)</f>
        <v>332.49</v>
      </c>
      <c r="M32" s="2">
        <f>L32+H32</f>
        <v>28870.58</v>
      </c>
      <c r="N32" s="63">
        <v>108.08</v>
      </c>
      <c r="O32" s="63">
        <v>108.08</v>
      </c>
      <c r="P32" s="63">
        <v>108.19</v>
      </c>
      <c r="Q32" s="2">
        <f>SUM(N32:P32)</f>
        <v>324.35</v>
      </c>
      <c r="R32" s="2">
        <f>Q32+M32</f>
        <v>29194.93</v>
      </c>
      <c r="S32" s="63">
        <v>108.19</v>
      </c>
      <c r="T32" s="63">
        <v>108.19</v>
      </c>
      <c r="U32" s="63">
        <v>108.19</v>
      </c>
      <c r="V32" s="2">
        <f>SUM(S32:U32)</f>
        <v>324.57</v>
      </c>
      <c r="W32" s="2">
        <f>V32+R32</f>
        <v>29519.5</v>
      </c>
    </row>
    <row r="34" spans="1:23" ht="15.75">
      <c r="A34" s="31"/>
      <c r="B34" s="32" t="s">
        <v>32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46"/>
    </row>
    <row r="35" spans="1:23" ht="15.75">
      <c r="A35" s="35" t="s">
        <v>42</v>
      </c>
      <c r="B35" s="81" t="s">
        <v>45</v>
      </c>
      <c r="C35" s="36">
        <f>C28</f>
        <v>-131947.47000000015</v>
      </c>
      <c r="D35" s="59">
        <f>D28</f>
        <v>56398.72</v>
      </c>
      <c r="E35" s="59">
        <f>E28</f>
        <v>53076.56</v>
      </c>
      <c r="F35" s="59">
        <v>22472.19</v>
      </c>
      <c r="G35" s="36">
        <f>SUM(D35:F35)</f>
        <v>131947.47</v>
      </c>
      <c r="H35" s="36">
        <f>G35+C35</f>
        <v>0</v>
      </c>
      <c r="I35" s="59">
        <v>0</v>
      </c>
      <c r="J35" s="59">
        <v>0</v>
      </c>
      <c r="K35" s="59">
        <v>0</v>
      </c>
      <c r="L35" s="36">
        <f>SUM(I35:K35)</f>
        <v>0</v>
      </c>
      <c r="M35" s="36">
        <f>L35+H35</f>
        <v>0</v>
      </c>
      <c r="N35" s="59">
        <v>0</v>
      </c>
      <c r="O35" s="59">
        <v>0</v>
      </c>
      <c r="P35" s="59">
        <v>0</v>
      </c>
      <c r="Q35" s="36">
        <f>SUM(N35:P35)</f>
        <v>0</v>
      </c>
      <c r="R35" s="36">
        <f>Q35+M35</f>
        <v>0</v>
      </c>
      <c r="S35" s="59">
        <v>0</v>
      </c>
      <c r="T35" s="59">
        <v>0</v>
      </c>
      <c r="U35" s="59">
        <v>0</v>
      </c>
      <c r="V35" s="36">
        <f>SUM(S35:U35)</f>
        <v>0</v>
      </c>
      <c r="W35" s="66">
        <f>V35+R35</f>
        <v>0</v>
      </c>
    </row>
    <row r="36" spans="1:23" ht="15.75">
      <c r="A36" s="40" t="s">
        <v>43</v>
      </c>
      <c r="B36" s="58" t="s">
        <v>44</v>
      </c>
      <c r="C36" s="42">
        <f>C29</f>
        <v>-78932.93999999999</v>
      </c>
      <c r="D36" s="60">
        <v>-120.95</v>
      </c>
      <c r="E36" s="60">
        <v>-69.25</v>
      </c>
      <c r="F36" s="60">
        <v>30606.98</v>
      </c>
      <c r="G36" s="42">
        <f>SUM(D36:F36)</f>
        <v>30416.78</v>
      </c>
      <c r="H36" s="42">
        <f>G36+C36</f>
        <v>-48516.15999999999</v>
      </c>
      <c r="I36" s="60">
        <v>43593.72</v>
      </c>
      <c r="J36" s="60">
        <v>170.92</v>
      </c>
      <c r="K36" s="60">
        <v>115.2</v>
      </c>
      <c r="L36" s="42">
        <f>SUM(I36:K36)</f>
        <v>43879.84</v>
      </c>
      <c r="M36" s="42">
        <f>L36+H36</f>
        <v>-4636.319999999992</v>
      </c>
      <c r="N36" s="60">
        <v>0.15</v>
      </c>
      <c r="O36" s="60">
        <v>0</v>
      </c>
      <c r="P36" s="60">
        <v>0</v>
      </c>
      <c r="Q36" s="42">
        <f>SUM(N36:P36)</f>
        <v>0.15</v>
      </c>
      <c r="R36" s="42">
        <f>Q36+M36</f>
        <v>-4636.169999999993</v>
      </c>
      <c r="S36" s="60">
        <v>0</v>
      </c>
      <c r="T36" s="60">
        <v>0</v>
      </c>
      <c r="U36" s="60">
        <v>0</v>
      </c>
      <c r="V36" s="42">
        <f>SUM(S36:U36)</f>
        <v>0</v>
      </c>
      <c r="W36" s="67">
        <f>V36+R36</f>
        <v>-4636.169999999993</v>
      </c>
    </row>
    <row r="37" spans="4:23" ht="15.75"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7" ht="15.75">
      <c r="A38" s="1"/>
      <c r="B38" s="82" t="s">
        <v>51</v>
      </c>
      <c r="C38" s="3"/>
      <c r="D38" s="70"/>
      <c r="E38" s="70"/>
      <c r="F38" s="70"/>
      <c r="G38" s="3"/>
      <c r="H38" s="3"/>
      <c r="I38" s="70"/>
      <c r="J38" s="70"/>
      <c r="K38" s="70"/>
      <c r="L38" s="3"/>
      <c r="M38" s="3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27"/>
      <c r="Y38" s="27"/>
      <c r="Z38" s="27"/>
      <c r="AA38" s="27"/>
    </row>
    <row r="39" spans="1:27" ht="15.75">
      <c r="A39" s="1"/>
      <c r="B39" s="79"/>
      <c r="C39" s="3"/>
      <c r="D39" s="70"/>
      <c r="E39" s="70"/>
      <c r="F39" s="70"/>
      <c r="G39" s="3"/>
      <c r="H39" s="3"/>
      <c r="I39" s="70"/>
      <c r="J39" s="70"/>
      <c r="K39" s="70"/>
      <c r="L39" s="3"/>
      <c r="M39" s="3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27"/>
      <c r="Y39" s="27"/>
      <c r="Z39" s="27"/>
      <c r="AA39" s="27"/>
    </row>
    <row r="40" spans="2:5" ht="15">
      <c r="B40" t="s">
        <v>32</v>
      </c>
      <c r="C40" t="s">
        <v>70</v>
      </c>
      <c r="E40" s="93"/>
    </row>
    <row r="41" spans="2:22" ht="15">
      <c r="B41">
        <v>2017</v>
      </c>
      <c r="C41" s="62">
        <v>1416.3</v>
      </c>
      <c r="E41" s="93"/>
      <c r="V41" s="93"/>
    </row>
    <row r="42" spans="2:3" ht="15">
      <c r="B42">
        <v>2018</v>
      </c>
      <c r="C42" s="62">
        <f>(36.9*3)+(46.49*6)+(53.38*3)</f>
        <v>549.78</v>
      </c>
    </row>
    <row r="43" spans="2:3" ht="15">
      <c r="B43">
        <v>2019</v>
      </c>
      <c r="C43" s="95">
        <f>53.38*4</f>
        <v>213.52</v>
      </c>
    </row>
    <row r="44" spans="2:3" ht="15">
      <c r="B44" t="s">
        <v>71</v>
      </c>
      <c r="C44" s="62">
        <f>SUM(C41:C43)</f>
        <v>2179.6</v>
      </c>
    </row>
    <row r="45" spans="2:6" ht="15">
      <c r="B45" t="s">
        <v>77</v>
      </c>
      <c r="C45" s="95">
        <f>W36+W32</f>
        <v>24883.33000000001</v>
      </c>
      <c r="F45" s="62"/>
    </row>
    <row r="46" spans="2:3" ht="15">
      <c r="B46" t="s">
        <v>72</v>
      </c>
      <c r="C46" s="62">
        <f>SUM(C44:C45)</f>
        <v>27062.930000000008</v>
      </c>
    </row>
    <row r="47" spans="2:3" ht="15">
      <c r="B47" t="s">
        <v>78</v>
      </c>
      <c r="C47" s="62">
        <f>W35+W31</f>
        <v>118023.09000000004</v>
      </c>
    </row>
    <row r="48" spans="2:3" ht="15.75" thickBot="1">
      <c r="B48" t="s">
        <v>75</v>
      </c>
      <c r="C48" s="96">
        <f>SUM(C46:C47)</f>
        <v>145086.02000000005</v>
      </c>
    </row>
    <row r="49" ht="15.75" thickTop="1"/>
  </sheetData>
  <sheetProtection/>
  <printOptions/>
  <pageMargins left="0.7" right="0.7" top="0.75" bottom="0.75" header="0.3" footer="0.3"/>
  <pageSetup horizontalDpi="600" verticalDpi="600" orientation="portrait" r:id="rId3"/>
  <ignoredErrors>
    <ignoredError sqref="C4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G19">
      <selection activeCell="W35" sqref="W35:W36"/>
    </sheetView>
  </sheetViews>
  <sheetFormatPr defaultColWidth="9.140625" defaultRowHeight="15"/>
  <cols>
    <col min="1" max="1" width="17.00390625" style="0" bestFit="1" customWidth="1"/>
    <col min="2" max="2" width="38.8515625" style="0" bestFit="1" customWidth="1"/>
    <col min="3" max="3" width="21.140625" style="0" customWidth="1"/>
    <col min="4" max="5" width="12.7109375" style="0" customWidth="1"/>
    <col min="6" max="7" width="16.00390625" style="0" customWidth="1"/>
    <col min="8" max="8" width="14.8515625" style="0" customWidth="1"/>
    <col min="9" max="9" width="13.421875" style="0" customWidth="1"/>
    <col min="10" max="10" width="15.57421875" style="0" customWidth="1"/>
    <col min="11" max="11" width="13.7109375" style="0" customWidth="1"/>
    <col min="12" max="13" width="14.8515625" style="0" customWidth="1"/>
    <col min="14" max="14" width="14.421875" style="0" customWidth="1"/>
    <col min="15" max="15" width="14.57421875" style="0" customWidth="1"/>
    <col min="16" max="16" width="15.57421875" style="0" customWidth="1"/>
    <col min="17" max="18" width="14.8515625" style="0" customWidth="1"/>
    <col min="19" max="19" width="12.7109375" style="0" customWidth="1"/>
    <col min="20" max="20" width="14.421875" style="0" customWidth="1"/>
    <col min="21" max="21" width="14.57421875" style="0" customWidth="1"/>
    <col min="22" max="22" width="13.7109375" style="0" customWidth="1"/>
    <col min="23" max="23" width="14.8515625" style="0" bestFit="1" customWidth="1"/>
  </cols>
  <sheetData>
    <row r="1" spans="1:3" ht="18.75">
      <c r="A1" s="53">
        <v>2015</v>
      </c>
      <c r="B1" s="21" t="s">
        <v>29</v>
      </c>
      <c r="C1" s="8" t="s">
        <v>52</v>
      </c>
    </row>
    <row r="2" spans="1:17" ht="18.75">
      <c r="A2" s="1"/>
      <c r="B2" s="1"/>
      <c r="C2" s="8" t="s">
        <v>37</v>
      </c>
      <c r="D2" s="53">
        <v>2015</v>
      </c>
      <c r="E2" s="1"/>
      <c r="F2" s="1"/>
      <c r="G2" s="1"/>
      <c r="H2" s="8"/>
      <c r="I2" s="8"/>
      <c r="J2" s="1"/>
      <c r="K2" s="1"/>
      <c r="L2" s="1"/>
      <c r="M2" s="8"/>
      <c r="N2" s="1"/>
      <c r="O2" s="1"/>
      <c r="P2" s="1"/>
      <c r="Q2" s="8"/>
    </row>
    <row r="3" spans="1:17" ht="15.75">
      <c r="A3" s="13" t="s">
        <v>9</v>
      </c>
      <c r="B3" s="13" t="s">
        <v>10</v>
      </c>
      <c r="C3" s="6" t="s">
        <v>19</v>
      </c>
      <c r="D3" s="6" t="s">
        <v>19</v>
      </c>
      <c r="E3" s="6" t="s">
        <v>20</v>
      </c>
      <c r="F3" s="16" t="s">
        <v>16</v>
      </c>
      <c r="G3" s="16" t="s">
        <v>17</v>
      </c>
      <c r="H3" s="6" t="s">
        <v>21</v>
      </c>
      <c r="I3" s="6" t="s">
        <v>22</v>
      </c>
      <c r="J3" s="6" t="s">
        <v>23</v>
      </c>
      <c r="K3" s="16" t="s">
        <v>16</v>
      </c>
      <c r="L3" s="16" t="s">
        <v>17</v>
      </c>
      <c r="M3" s="1" t="s">
        <v>24</v>
      </c>
      <c r="N3" s="1" t="s">
        <v>25</v>
      </c>
      <c r="O3" s="1" t="s">
        <v>26</v>
      </c>
      <c r="P3" s="11" t="s">
        <v>16</v>
      </c>
      <c r="Q3" s="11" t="s">
        <v>17</v>
      </c>
    </row>
    <row r="4" spans="1:17" ht="15.75">
      <c r="A4" s="1"/>
      <c r="B4" s="1"/>
      <c r="D4" s="17"/>
      <c r="E4" s="1"/>
      <c r="F4" s="10"/>
      <c r="G4" s="10"/>
      <c r="H4" s="1"/>
      <c r="I4" s="1"/>
      <c r="J4" s="1"/>
      <c r="K4" s="10"/>
      <c r="L4" s="10"/>
      <c r="M4" s="1"/>
      <c r="N4" s="1"/>
      <c r="O4" s="1"/>
      <c r="P4" s="10"/>
      <c r="Q4" s="10"/>
    </row>
    <row r="6" spans="1:17" ht="15.75">
      <c r="A6" s="1" t="s">
        <v>53</v>
      </c>
      <c r="B6" s="79" t="s">
        <v>54</v>
      </c>
      <c r="C6" s="73">
        <v>248770.65</v>
      </c>
      <c r="D6" s="3">
        <v>-12430.21</v>
      </c>
      <c r="E6" s="3">
        <v>-11918.29</v>
      </c>
      <c r="F6" s="2">
        <f>SUM(D6:E6)</f>
        <v>-24348.5</v>
      </c>
      <c r="G6" s="2">
        <f>F6+C6</f>
        <v>224422.15</v>
      </c>
      <c r="H6" s="4">
        <v>-15279.12</v>
      </c>
      <c r="I6" s="4">
        <v>-14932.16</v>
      </c>
      <c r="J6" s="4">
        <v>-13404.06</v>
      </c>
      <c r="K6" s="2">
        <f>SUM(H6:J6)</f>
        <v>-43615.34</v>
      </c>
      <c r="L6" s="2">
        <f>K6+G6</f>
        <v>180806.81</v>
      </c>
      <c r="M6" s="4">
        <v>-20664</v>
      </c>
      <c r="N6" s="4">
        <v>-12352.49</v>
      </c>
      <c r="O6" s="4">
        <v>-14018.12</v>
      </c>
      <c r="P6" s="2">
        <f>SUM(M6:O6)</f>
        <v>-47034.61</v>
      </c>
      <c r="Q6" s="2">
        <f>P6+L6</f>
        <v>133772.2</v>
      </c>
    </row>
    <row r="7" spans="1:17" ht="15.75">
      <c r="A7" s="1" t="s">
        <v>55</v>
      </c>
      <c r="B7" s="79" t="s">
        <v>56</v>
      </c>
      <c r="C7" s="73">
        <v>72784.84</v>
      </c>
      <c r="D7" s="5">
        <v>0</v>
      </c>
      <c r="E7" s="3">
        <v>-11.39</v>
      </c>
      <c r="F7" s="2">
        <f>SUM(D7:E7)</f>
        <v>-11.39</v>
      </c>
      <c r="G7" s="2">
        <f>F7+C7</f>
        <v>72773.45</v>
      </c>
      <c r="H7" s="4">
        <v>205.72</v>
      </c>
      <c r="I7" s="4">
        <v>191.71</v>
      </c>
      <c r="J7" s="4">
        <v>178.03</v>
      </c>
      <c r="K7" s="2">
        <f>SUM(H7:J7)</f>
        <v>575.46</v>
      </c>
      <c r="L7" s="2">
        <f>K7+G7</f>
        <v>73348.91</v>
      </c>
      <c r="M7" s="4">
        <v>165.74</v>
      </c>
      <c r="N7" s="4">
        <v>146.8</v>
      </c>
      <c r="O7" s="4">
        <v>135.47</v>
      </c>
      <c r="P7" s="2">
        <f>SUM(M7:O7)</f>
        <v>448.01</v>
      </c>
      <c r="Q7" s="2">
        <f>P7+L7</f>
        <v>73796.92</v>
      </c>
    </row>
    <row r="8" spans="2:20" ht="15.75">
      <c r="B8" s="8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T8" s="62"/>
    </row>
    <row r="9" spans="1:17" ht="15.75">
      <c r="A9" s="1" t="s">
        <v>57</v>
      </c>
      <c r="B9" s="79" t="s">
        <v>58</v>
      </c>
      <c r="C9" s="80">
        <v>428197.27</v>
      </c>
      <c r="D9" s="3">
        <v>-18990.15</v>
      </c>
      <c r="E9" s="63">
        <v>-18023.66</v>
      </c>
      <c r="F9" s="2">
        <f>SUM(D9:E9)</f>
        <v>-37013.81</v>
      </c>
      <c r="G9" s="2">
        <f>F9+C9</f>
        <v>391183.46</v>
      </c>
      <c r="H9" s="63">
        <v>-20179.53</v>
      </c>
      <c r="I9" s="63">
        <v>-19767.05</v>
      </c>
      <c r="J9" s="63">
        <v>-19896.92</v>
      </c>
      <c r="K9" s="2">
        <f>SUM(H9:J9)</f>
        <v>-59843.5</v>
      </c>
      <c r="L9" s="2">
        <f>K9+G9</f>
        <v>331339.96</v>
      </c>
      <c r="M9" s="63">
        <v>-16168.06</v>
      </c>
      <c r="N9" s="63">
        <v>-15582.22</v>
      </c>
      <c r="O9" s="63">
        <v>-14966.95</v>
      </c>
      <c r="P9" s="2">
        <f>SUM(M9:O9)</f>
        <v>-46717.229999999996</v>
      </c>
      <c r="Q9" s="2">
        <f>P9+L9</f>
        <v>284622.73000000004</v>
      </c>
    </row>
    <row r="10" spans="1:17" ht="15.75">
      <c r="A10" s="1" t="s">
        <v>59</v>
      </c>
      <c r="B10" s="79" t="s">
        <v>60</v>
      </c>
      <c r="C10" s="80">
        <v>12216.75</v>
      </c>
      <c r="D10" s="63">
        <v>0</v>
      </c>
      <c r="E10" s="63">
        <v>-17.41</v>
      </c>
      <c r="F10" s="2">
        <f>SUM(D10:E10)</f>
        <v>-17.41</v>
      </c>
      <c r="G10" s="2">
        <f>F10+C10</f>
        <v>12199.34</v>
      </c>
      <c r="H10" s="63">
        <v>358.58</v>
      </c>
      <c r="I10" s="63">
        <v>340.09</v>
      </c>
      <c r="J10" s="63">
        <v>321.97</v>
      </c>
      <c r="K10" s="2">
        <f>SUM(H10:J10)</f>
        <v>1020.64</v>
      </c>
      <c r="L10" s="2">
        <f>K10+G10</f>
        <v>13219.98</v>
      </c>
      <c r="M10" s="63">
        <v>303.73</v>
      </c>
      <c r="N10" s="63">
        <v>288.91</v>
      </c>
      <c r="O10" s="63">
        <v>274.62</v>
      </c>
      <c r="P10" s="2">
        <f>SUM(M10:O10)</f>
        <v>867.2600000000001</v>
      </c>
      <c r="Q10" s="2">
        <f>P10+L10</f>
        <v>14087.24</v>
      </c>
    </row>
    <row r="12" ht="15.75">
      <c r="B12" s="20" t="s">
        <v>31</v>
      </c>
    </row>
    <row r="13" spans="1:24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7"/>
    </row>
    <row r="14" spans="3:4" ht="18.75">
      <c r="C14" s="21">
        <v>2015</v>
      </c>
      <c r="D14" s="53">
        <v>2016</v>
      </c>
    </row>
    <row r="15" spans="1:23" ht="18.75">
      <c r="A15" s="53">
        <v>2016</v>
      </c>
      <c r="B15" s="21" t="s">
        <v>29</v>
      </c>
      <c r="C15" s="14" t="s">
        <v>11</v>
      </c>
      <c r="D15" s="6" t="s">
        <v>13</v>
      </c>
      <c r="E15" s="6" t="s">
        <v>14</v>
      </c>
      <c r="F15" s="6" t="s">
        <v>15</v>
      </c>
      <c r="G15" s="16" t="s">
        <v>16</v>
      </c>
      <c r="H15" s="16" t="s">
        <v>17</v>
      </c>
      <c r="I15" s="6" t="s">
        <v>18</v>
      </c>
      <c r="J15" s="6" t="s">
        <v>19</v>
      </c>
      <c r="K15" s="6" t="s">
        <v>20</v>
      </c>
      <c r="L15" s="16" t="s">
        <v>16</v>
      </c>
      <c r="M15" s="16" t="s">
        <v>17</v>
      </c>
      <c r="N15" s="6" t="s">
        <v>21</v>
      </c>
      <c r="O15" s="6" t="s">
        <v>22</v>
      </c>
      <c r="P15" s="6" t="s">
        <v>23</v>
      </c>
      <c r="Q15" s="16" t="s">
        <v>16</v>
      </c>
      <c r="R15" s="16" t="s">
        <v>17</v>
      </c>
      <c r="S15" s="1" t="s">
        <v>24</v>
      </c>
      <c r="T15" s="1" t="s">
        <v>25</v>
      </c>
      <c r="U15" s="1" t="s">
        <v>26</v>
      </c>
      <c r="V15" s="11" t="s">
        <v>16</v>
      </c>
      <c r="W15" s="11" t="s">
        <v>17</v>
      </c>
    </row>
    <row r="16" spans="1:23" ht="18.75">
      <c r="A16" s="53"/>
      <c r="B16" s="21"/>
      <c r="C16" s="11" t="s">
        <v>28</v>
      </c>
      <c r="D16" s="6"/>
      <c r="E16" s="6"/>
      <c r="F16" s="6"/>
      <c r="G16" s="10"/>
      <c r="H16" s="10"/>
      <c r="I16" s="6"/>
      <c r="J16" s="6"/>
      <c r="K16" s="6"/>
      <c r="L16" s="10"/>
      <c r="M16" s="10"/>
      <c r="N16" s="6"/>
      <c r="O16" s="6"/>
      <c r="P16" s="6"/>
      <c r="Q16" s="10"/>
      <c r="R16" s="10"/>
      <c r="S16" s="1"/>
      <c r="T16" s="1"/>
      <c r="U16" s="1"/>
      <c r="V16" s="25"/>
      <c r="W16" s="25"/>
    </row>
    <row r="17" spans="1:23" ht="15.75">
      <c r="A17" s="1" t="s">
        <v>53</v>
      </c>
      <c r="B17" s="79" t="s">
        <v>54</v>
      </c>
      <c r="C17" s="76">
        <f>Q6</f>
        <v>133772.2</v>
      </c>
      <c r="D17" s="63">
        <v>-15320.88</v>
      </c>
      <c r="E17" s="63">
        <v>-14418.42</v>
      </c>
      <c r="F17" s="63">
        <v>-14411.46</v>
      </c>
      <c r="G17" s="76">
        <f>SUM(D17:F17)</f>
        <v>-44150.759999999995</v>
      </c>
      <c r="H17" s="76">
        <f>G17+C17</f>
        <v>89621.44000000002</v>
      </c>
      <c r="I17" s="63">
        <v>-11867.6</v>
      </c>
      <c r="J17" s="63">
        <v>-11735.4</v>
      </c>
      <c r="K17" s="63">
        <v>-12237.56</v>
      </c>
      <c r="L17" s="76">
        <f>SUM(I17:K17)</f>
        <v>-35840.56</v>
      </c>
      <c r="M17" s="76">
        <f>L17+H17</f>
        <v>53780.88000000002</v>
      </c>
      <c r="N17" s="63">
        <v>-15548.58</v>
      </c>
      <c r="O17" s="63">
        <v>-15358.28</v>
      </c>
      <c r="P17" s="63">
        <v>-12389.96</v>
      </c>
      <c r="Q17" s="76">
        <f>SUM(N17:P17)</f>
        <v>-43296.82</v>
      </c>
      <c r="R17" s="76">
        <f>Q17+M17</f>
        <v>10484.06000000002</v>
      </c>
      <c r="S17" s="63">
        <v>-11617</v>
      </c>
      <c r="T17" s="63">
        <v>-11624.43</v>
      </c>
      <c r="U17" s="63">
        <v>-14462.89</v>
      </c>
      <c r="V17" s="76">
        <f>SUM(S17:U17)</f>
        <v>-37704.32</v>
      </c>
      <c r="W17" s="76">
        <f>V17+R17</f>
        <v>-27220.25999999998</v>
      </c>
    </row>
    <row r="18" spans="1:23" ht="15.75">
      <c r="A18" s="1" t="s">
        <v>55</v>
      </c>
      <c r="B18" s="79" t="s">
        <v>56</v>
      </c>
      <c r="C18" s="76">
        <f>Q7</f>
        <v>73796.92</v>
      </c>
      <c r="D18" s="63">
        <v>122.62</v>
      </c>
      <c r="E18" s="63">
        <v>108.58</v>
      </c>
      <c r="F18" s="63">
        <v>95.36</v>
      </c>
      <c r="G18" s="76">
        <f>SUM(D18:F18)</f>
        <v>326.56</v>
      </c>
      <c r="H18" s="76">
        <f>G18+C18</f>
        <v>74123.48</v>
      </c>
      <c r="I18" s="63">
        <v>82.15</v>
      </c>
      <c r="J18" s="63">
        <v>71.27</v>
      </c>
      <c r="K18" s="63">
        <v>60.52</v>
      </c>
      <c r="L18" s="76">
        <f>SUM(I18:K18)</f>
        <v>213.94000000000003</v>
      </c>
      <c r="M18" s="76">
        <f>L18+H18</f>
        <v>74337.42</v>
      </c>
      <c r="N18" s="63">
        <v>49.3</v>
      </c>
      <c r="O18" s="63">
        <v>35.05</v>
      </c>
      <c r="P18" s="63">
        <v>20.97</v>
      </c>
      <c r="Q18" s="76">
        <f>SUM(N18:P18)</f>
        <v>105.32</v>
      </c>
      <c r="R18" s="76">
        <f>Q18+M18</f>
        <v>74442.74</v>
      </c>
      <c r="S18" s="63">
        <v>9.61</v>
      </c>
      <c r="T18" s="63">
        <v>-1.04</v>
      </c>
      <c r="U18" s="63">
        <v>-11.69</v>
      </c>
      <c r="V18" s="76">
        <f>SUM(S18:U18)</f>
        <v>-3.119999999999999</v>
      </c>
      <c r="W18" s="76">
        <f>V18+R18</f>
        <v>74439.62000000001</v>
      </c>
    </row>
    <row r="19" spans="2:23" ht="15.75">
      <c r="B19" s="83"/>
      <c r="C19" s="28"/>
      <c r="D19" s="63"/>
      <c r="E19" s="63"/>
      <c r="F19" s="63"/>
      <c r="G19" s="63"/>
      <c r="H19" s="84"/>
      <c r="I19" s="63"/>
      <c r="J19" s="63"/>
      <c r="K19" s="63"/>
      <c r="L19" s="63"/>
      <c r="M19" s="84"/>
      <c r="N19" s="63"/>
      <c r="O19" s="63"/>
      <c r="P19" s="63"/>
      <c r="Q19" s="63"/>
      <c r="R19" s="84"/>
      <c r="S19" s="63"/>
      <c r="T19" s="63"/>
      <c r="U19" s="63"/>
      <c r="V19" s="63"/>
      <c r="W19" s="63"/>
    </row>
    <row r="20" spans="1:23" ht="15.75">
      <c r="A20" s="1" t="s">
        <v>57</v>
      </c>
      <c r="B20" s="79" t="s">
        <v>58</v>
      </c>
      <c r="C20" s="76">
        <f>Q9</f>
        <v>284622.73000000004</v>
      </c>
      <c r="D20" s="63">
        <v>-15242.81</v>
      </c>
      <c r="E20" s="63">
        <v>-15626.74</v>
      </c>
      <c r="F20" s="63">
        <v>-20188.39</v>
      </c>
      <c r="G20" s="76">
        <f>SUM(D20:F20)</f>
        <v>-51057.94</v>
      </c>
      <c r="H20" s="76">
        <f>G20+C20</f>
        <v>233564.79000000004</v>
      </c>
      <c r="I20" s="63">
        <v>-9978.09</v>
      </c>
      <c r="J20" s="63">
        <v>-17405.26</v>
      </c>
      <c r="K20" s="63">
        <v>-18292.95</v>
      </c>
      <c r="L20" s="76">
        <f>SUM(I20:K20)</f>
        <v>-45676.3</v>
      </c>
      <c r="M20" s="76">
        <f>L20+H20</f>
        <v>187888.49000000005</v>
      </c>
      <c r="N20" s="63">
        <v>-17873.68</v>
      </c>
      <c r="O20" s="63">
        <v>-14558.09</v>
      </c>
      <c r="P20" s="63">
        <v>-20316.64</v>
      </c>
      <c r="Q20" s="76">
        <f>SUM(N20:P20)</f>
        <v>-52748.41</v>
      </c>
      <c r="R20" s="76">
        <f>Q20+M20</f>
        <v>135140.08000000005</v>
      </c>
      <c r="S20" s="63">
        <v>-16848.28</v>
      </c>
      <c r="T20" s="63">
        <v>-13976.19</v>
      </c>
      <c r="U20" s="63">
        <v>-13929.7</v>
      </c>
      <c r="V20" s="76">
        <f>SUM(S20:U20)</f>
        <v>-44754.17</v>
      </c>
      <c r="W20" s="76">
        <f>V20+R20</f>
        <v>90385.91000000005</v>
      </c>
    </row>
    <row r="21" spans="1:23" ht="15.75">
      <c r="A21" s="1" t="s">
        <v>59</v>
      </c>
      <c r="B21" s="79" t="s">
        <v>60</v>
      </c>
      <c r="C21" s="76">
        <f>Q10</f>
        <v>14087.24</v>
      </c>
      <c r="D21" s="63">
        <v>260.9</v>
      </c>
      <c r="E21" s="63">
        <v>246.93</v>
      </c>
      <c r="F21" s="63">
        <v>232.61</v>
      </c>
      <c r="G21" s="76">
        <f>SUM(D21:F21)</f>
        <v>740.44</v>
      </c>
      <c r="H21" s="76">
        <f>G21+C21</f>
        <v>14827.68</v>
      </c>
      <c r="I21" s="63">
        <v>214.1</v>
      </c>
      <c r="J21" s="63">
        <v>204.95</v>
      </c>
      <c r="K21" s="63">
        <v>189</v>
      </c>
      <c r="L21" s="76">
        <f>SUM(I21:K21)</f>
        <v>608.05</v>
      </c>
      <c r="M21" s="76">
        <f>L21+H21</f>
        <v>15435.73</v>
      </c>
      <c r="N21" s="63">
        <v>172.23</v>
      </c>
      <c r="O21" s="63">
        <v>155.85</v>
      </c>
      <c r="P21" s="63">
        <v>142.5</v>
      </c>
      <c r="Q21" s="76">
        <f>SUM(N21:P21)</f>
        <v>470.58</v>
      </c>
      <c r="R21" s="76">
        <f>Q21+M21</f>
        <v>15906.31</v>
      </c>
      <c r="S21" s="63">
        <v>123.88</v>
      </c>
      <c r="T21" s="63">
        <v>108.43</v>
      </c>
      <c r="U21" s="63">
        <v>95.62</v>
      </c>
      <c r="V21" s="76">
        <f>SUM(S21:U21)</f>
        <v>327.93</v>
      </c>
      <c r="W21" s="76">
        <f>V21+R21</f>
        <v>16234.24</v>
      </c>
    </row>
    <row r="23" spans="1:23" ht="15.75">
      <c r="A23" s="31"/>
      <c r="B23" s="32" t="s">
        <v>32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46"/>
    </row>
    <row r="24" spans="1:23" ht="15.75">
      <c r="A24" s="35" t="s">
        <v>53</v>
      </c>
      <c r="B24" s="81" t="s">
        <v>54</v>
      </c>
      <c r="C24" s="85">
        <f>C17</f>
        <v>133772.2</v>
      </c>
      <c r="D24" s="59">
        <v>-15320.88</v>
      </c>
      <c r="E24" s="59">
        <v>-14418.42</v>
      </c>
      <c r="F24" s="59">
        <v>-14411.46</v>
      </c>
      <c r="G24" s="85">
        <v>-44150.759999999995</v>
      </c>
      <c r="H24" s="85">
        <v>89621.44000000002</v>
      </c>
      <c r="I24" s="59">
        <v>-11867.6</v>
      </c>
      <c r="J24" s="59">
        <v>-11735.4</v>
      </c>
      <c r="K24" s="59">
        <v>-12237.56</v>
      </c>
      <c r="L24" s="85">
        <v>-35840.56</v>
      </c>
      <c r="M24" s="85">
        <v>53780.88000000002</v>
      </c>
      <c r="N24" s="59">
        <v>-15548.58</v>
      </c>
      <c r="O24" s="59">
        <v>-15358.28</v>
      </c>
      <c r="P24" s="59">
        <v>-12389.96</v>
      </c>
      <c r="Q24" s="85">
        <v>-43296.82</v>
      </c>
      <c r="R24" s="85">
        <v>10484.06000000002</v>
      </c>
      <c r="S24" s="59">
        <v>-10484.06</v>
      </c>
      <c r="T24" s="59">
        <v>0</v>
      </c>
      <c r="U24" s="59">
        <v>0</v>
      </c>
      <c r="V24" s="85">
        <f>SUM(S24:U24)</f>
        <v>-10484.06</v>
      </c>
      <c r="W24" s="86">
        <f>V24+R24</f>
        <v>2.000888343900442E-11</v>
      </c>
    </row>
    <row r="25" spans="1:23" ht="15.75">
      <c r="A25" s="40" t="s">
        <v>55</v>
      </c>
      <c r="B25" s="87" t="s">
        <v>56</v>
      </c>
      <c r="C25" s="88">
        <f>C18</f>
        <v>73796.92</v>
      </c>
      <c r="D25" s="60">
        <v>122.62</v>
      </c>
      <c r="E25" s="60">
        <v>108.58</v>
      </c>
      <c r="F25" s="60">
        <v>95.36</v>
      </c>
      <c r="G25" s="88">
        <v>326.56</v>
      </c>
      <c r="H25" s="88">
        <v>74123.48</v>
      </c>
      <c r="I25" s="60">
        <v>82.15</v>
      </c>
      <c r="J25" s="60">
        <v>71.27</v>
      </c>
      <c r="K25" s="60">
        <v>60.52</v>
      </c>
      <c r="L25" s="88">
        <v>213.94000000000003</v>
      </c>
      <c r="M25" s="88">
        <v>74337.42</v>
      </c>
      <c r="N25" s="60">
        <v>49.3</v>
      </c>
      <c r="O25" s="60">
        <v>35.05</v>
      </c>
      <c r="P25" s="60">
        <v>20.97</v>
      </c>
      <c r="Q25" s="88">
        <v>105.32</v>
      </c>
      <c r="R25" s="88">
        <v>74442.74</v>
      </c>
      <c r="S25" s="60">
        <v>-1132.94</v>
      </c>
      <c r="T25" s="60">
        <v>-11624.43</v>
      </c>
      <c r="U25" s="60">
        <v>-14462.89</v>
      </c>
      <c r="V25" s="88">
        <f>SUM(S25:U25)</f>
        <v>-27220.260000000002</v>
      </c>
      <c r="W25" s="89">
        <f>V25+R25</f>
        <v>47222.48</v>
      </c>
    </row>
    <row r="26" ht="15">
      <c r="S26" s="62"/>
    </row>
    <row r="27" ht="15.75">
      <c r="B27" s="82" t="s">
        <v>51</v>
      </c>
    </row>
    <row r="28" spans="1:23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3:4" ht="18.75">
      <c r="C29" s="21">
        <v>2016</v>
      </c>
      <c r="D29" s="53">
        <v>2017</v>
      </c>
    </row>
    <row r="30" spans="1:23" ht="18.75">
      <c r="A30" s="53">
        <v>2017</v>
      </c>
      <c r="B30" s="21" t="s">
        <v>29</v>
      </c>
      <c r="C30" s="14" t="s">
        <v>11</v>
      </c>
      <c r="D30" s="6" t="s">
        <v>13</v>
      </c>
      <c r="E30" s="6" t="s">
        <v>14</v>
      </c>
      <c r="F30" s="6" t="s">
        <v>15</v>
      </c>
      <c r="G30" s="16" t="s">
        <v>16</v>
      </c>
      <c r="H30" s="16" t="s">
        <v>17</v>
      </c>
      <c r="I30" s="6" t="s">
        <v>18</v>
      </c>
      <c r="J30" s="6" t="s">
        <v>19</v>
      </c>
      <c r="K30" s="6" t="s">
        <v>20</v>
      </c>
      <c r="L30" s="16" t="s">
        <v>16</v>
      </c>
      <c r="M30" s="16" t="s">
        <v>17</v>
      </c>
      <c r="N30" s="6" t="s">
        <v>21</v>
      </c>
      <c r="O30" s="6" t="s">
        <v>22</v>
      </c>
      <c r="P30" s="6" t="s">
        <v>23</v>
      </c>
      <c r="Q30" s="16" t="s">
        <v>16</v>
      </c>
      <c r="R30" s="16" t="s">
        <v>17</v>
      </c>
      <c r="S30" s="1" t="s">
        <v>24</v>
      </c>
      <c r="T30" s="1" t="s">
        <v>25</v>
      </c>
      <c r="U30" s="1" t="s">
        <v>26</v>
      </c>
      <c r="V30" s="11" t="s">
        <v>16</v>
      </c>
      <c r="W30" s="11" t="s">
        <v>17</v>
      </c>
    </row>
    <row r="31" spans="1:23" ht="18.75">
      <c r="A31" s="53"/>
      <c r="B31" s="21"/>
      <c r="C31" s="11" t="s">
        <v>28</v>
      </c>
      <c r="D31" s="6"/>
      <c r="E31" s="6"/>
      <c r="F31" s="6"/>
      <c r="G31" s="10"/>
      <c r="H31" s="10"/>
      <c r="I31" s="6"/>
      <c r="J31" s="6"/>
      <c r="K31" s="6"/>
      <c r="L31" s="10"/>
      <c r="M31" s="10"/>
      <c r="N31" s="6"/>
      <c r="O31" s="6"/>
      <c r="P31" s="6"/>
      <c r="Q31" s="10"/>
      <c r="R31" s="10"/>
      <c r="S31" s="1"/>
      <c r="T31" s="1"/>
      <c r="U31" s="1"/>
      <c r="V31" s="25"/>
      <c r="W31" s="25"/>
    </row>
    <row r="32" spans="1:23" ht="15.75">
      <c r="A32" s="1" t="s">
        <v>53</v>
      </c>
      <c r="B32" s="79" t="s">
        <v>54</v>
      </c>
      <c r="C32" s="85">
        <f>W17</f>
        <v>-27220.25999999998</v>
      </c>
      <c r="D32" s="63">
        <v>-14409.36</v>
      </c>
      <c r="E32" s="63">
        <v>-12700.47</v>
      </c>
      <c r="F32" s="63">
        <v>-13597.52</v>
      </c>
      <c r="G32" s="85">
        <f>SUM(D32:F32)</f>
        <v>-40707.350000000006</v>
      </c>
      <c r="H32" s="85">
        <f>G32+C32</f>
        <v>-67927.60999999999</v>
      </c>
      <c r="I32" s="63">
        <v>-11298.65</v>
      </c>
      <c r="J32" s="63">
        <v>-55.75</v>
      </c>
      <c r="K32" s="63">
        <v>-21.16</v>
      </c>
      <c r="L32" s="85">
        <f>SUM(I32:K32)</f>
        <v>-11375.56</v>
      </c>
      <c r="M32" s="85">
        <f>L32+H32</f>
        <v>-79303.16999999998</v>
      </c>
      <c r="N32" s="63">
        <v>-0.04</v>
      </c>
      <c r="O32" s="63">
        <v>-10.41</v>
      </c>
      <c r="P32" s="63">
        <v>0</v>
      </c>
      <c r="Q32" s="85">
        <f>SUM(N32:P32)</f>
        <v>-10.45</v>
      </c>
      <c r="R32" s="85">
        <f>Q32+M32</f>
        <v>-79313.61999999998</v>
      </c>
      <c r="S32" s="63">
        <v>0</v>
      </c>
      <c r="T32" s="63">
        <v>0</v>
      </c>
      <c r="U32" s="63">
        <v>0</v>
      </c>
      <c r="V32" s="85">
        <f>SUM(S32:U32)</f>
        <v>0</v>
      </c>
      <c r="W32" s="85">
        <f>V32+R32</f>
        <v>-79313.61999999998</v>
      </c>
    </row>
    <row r="33" spans="1:23" ht="15.75">
      <c r="A33" s="1" t="s">
        <v>55</v>
      </c>
      <c r="B33" s="79" t="s">
        <v>56</v>
      </c>
      <c r="C33" s="85">
        <f>W18</f>
        <v>74439.62000000001</v>
      </c>
      <c r="D33" s="63">
        <v>-24.95</v>
      </c>
      <c r="E33" s="63">
        <v>-38.16</v>
      </c>
      <c r="F33" s="63">
        <v>-49.8</v>
      </c>
      <c r="G33" s="85">
        <f>SUM(D33:F33)</f>
        <v>-112.91</v>
      </c>
      <c r="H33" s="85">
        <f>G33+C33</f>
        <v>74326.71</v>
      </c>
      <c r="I33" s="63">
        <v>-62.27</v>
      </c>
      <c r="J33" s="63">
        <v>-72.62</v>
      </c>
      <c r="K33" s="63">
        <v>-72.68</v>
      </c>
      <c r="L33" s="85">
        <f>SUM(I33:K33)</f>
        <v>-207.57000000000002</v>
      </c>
      <c r="M33" s="85">
        <f>L33+H33</f>
        <v>74119.14</v>
      </c>
      <c r="N33" s="63">
        <v>-72.69</v>
      </c>
      <c r="O33" s="63">
        <v>-72.69</v>
      </c>
      <c r="P33" s="63">
        <v>-72.7</v>
      </c>
      <c r="Q33" s="85">
        <f>SUM(N33:P33)</f>
        <v>-218.07999999999998</v>
      </c>
      <c r="R33" s="85">
        <f>Q33+M33</f>
        <v>73901.06</v>
      </c>
      <c r="S33" s="63">
        <v>-99.14</v>
      </c>
      <c r="T33" s="63">
        <v>-99.14</v>
      </c>
      <c r="U33" s="63">
        <v>-99.14</v>
      </c>
      <c r="V33" s="85">
        <f>SUM(S33:U33)</f>
        <v>-297.42</v>
      </c>
      <c r="W33" s="85">
        <f>V33+R33</f>
        <v>73603.64</v>
      </c>
    </row>
    <row r="34" spans="2:23" ht="15.75">
      <c r="B34" s="83"/>
      <c r="C34" s="90"/>
      <c r="D34" s="63"/>
      <c r="E34" s="63"/>
      <c r="F34" s="63"/>
      <c r="G34" s="59"/>
      <c r="H34" s="59"/>
      <c r="I34" s="63"/>
      <c r="J34" s="63"/>
      <c r="K34" s="63"/>
      <c r="L34" s="59"/>
      <c r="M34" s="59"/>
      <c r="N34" s="63"/>
      <c r="O34" s="63"/>
      <c r="P34" s="63"/>
      <c r="Q34" s="59"/>
      <c r="R34" s="59"/>
      <c r="S34" s="63"/>
      <c r="T34" s="63"/>
      <c r="U34" s="63"/>
      <c r="V34" s="63"/>
      <c r="W34" s="63"/>
    </row>
    <row r="35" spans="1:23" ht="15.75">
      <c r="A35" s="1" t="s">
        <v>57</v>
      </c>
      <c r="B35" s="79" t="s">
        <v>58</v>
      </c>
      <c r="C35" s="85">
        <f>W20</f>
        <v>90385.91000000005</v>
      </c>
      <c r="D35" s="63">
        <v>-13884.56</v>
      </c>
      <c r="E35" s="63">
        <v>-14334.28</v>
      </c>
      <c r="F35" s="63">
        <v>-13605.25</v>
      </c>
      <c r="G35" s="85">
        <f>SUM(D35:F35)</f>
        <v>-41824.09</v>
      </c>
      <c r="H35" s="85">
        <f>G35+C35</f>
        <v>48561.82000000005</v>
      </c>
      <c r="I35" s="63">
        <v>-13867.39</v>
      </c>
      <c r="J35" s="63">
        <v>0</v>
      </c>
      <c r="K35" s="63">
        <v>0</v>
      </c>
      <c r="L35" s="85">
        <f>SUM(I35:K35)</f>
        <v>-13867.39</v>
      </c>
      <c r="M35" s="85">
        <f>L35+H35</f>
        <v>34694.43000000005</v>
      </c>
      <c r="N35" s="63">
        <v>0</v>
      </c>
      <c r="O35" s="63">
        <v>0</v>
      </c>
      <c r="P35" s="63">
        <v>0</v>
      </c>
      <c r="Q35" s="85">
        <f>SUM(N35:P35)</f>
        <v>0</v>
      </c>
      <c r="R35" s="85">
        <f>Q35+M35</f>
        <v>34694.43000000005</v>
      </c>
      <c r="S35" s="63">
        <v>0</v>
      </c>
      <c r="T35" s="63">
        <v>0</v>
      </c>
      <c r="U35" s="63">
        <v>0</v>
      </c>
      <c r="V35" s="85">
        <f>SUM(S35:U35)</f>
        <v>0</v>
      </c>
      <c r="W35" s="85">
        <f>V35+R35</f>
        <v>34694.43000000005</v>
      </c>
    </row>
    <row r="36" spans="1:23" ht="15.75">
      <c r="A36" s="1" t="s">
        <v>59</v>
      </c>
      <c r="B36" s="79" t="s">
        <v>60</v>
      </c>
      <c r="C36" s="85">
        <f>W21</f>
        <v>16234.24</v>
      </c>
      <c r="D36" s="63">
        <v>82.85</v>
      </c>
      <c r="E36" s="63">
        <v>70.13</v>
      </c>
      <c r="F36" s="63">
        <v>56.99</v>
      </c>
      <c r="G36" s="85">
        <f>SUM(D36:F36)</f>
        <v>209.97</v>
      </c>
      <c r="H36" s="85">
        <f>G36+C36</f>
        <v>16444.21</v>
      </c>
      <c r="I36" s="63">
        <v>44.52</v>
      </c>
      <c r="J36" s="63">
        <v>31.8</v>
      </c>
      <c r="K36" s="63">
        <v>31.8</v>
      </c>
      <c r="L36" s="85">
        <f>SUM(I36:K36)</f>
        <v>108.12</v>
      </c>
      <c r="M36" s="85">
        <f>L36+H36</f>
        <v>16552.329999999998</v>
      </c>
      <c r="N36" s="63">
        <v>31.8</v>
      </c>
      <c r="O36" s="63">
        <v>31.8</v>
      </c>
      <c r="P36" s="63">
        <v>31.8</v>
      </c>
      <c r="Q36" s="85">
        <f>SUM(N36:P36)</f>
        <v>95.4</v>
      </c>
      <c r="R36" s="85">
        <f>Q36+M36</f>
        <v>16647.73</v>
      </c>
      <c r="S36" s="63">
        <v>43.37</v>
      </c>
      <c r="T36" s="63">
        <v>43.37</v>
      </c>
      <c r="U36" s="63">
        <v>43.37</v>
      </c>
      <c r="V36" s="85">
        <f>SUM(S36:U36)</f>
        <v>130.10999999999999</v>
      </c>
      <c r="W36" s="85">
        <f>V36+R36</f>
        <v>16777.84</v>
      </c>
    </row>
    <row r="38" spans="1:23" ht="15.75">
      <c r="A38" s="31"/>
      <c r="B38" s="32" t="s">
        <v>32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</row>
    <row r="39" spans="1:23" ht="15.75">
      <c r="A39" s="35" t="s">
        <v>53</v>
      </c>
      <c r="B39" s="81" t="s">
        <v>54</v>
      </c>
      <c r="C39" s="85">
        <f>W24</f>
        <v>2.000888343900442E-11</v>
      </c>
      <c r="D39" s="59">
        <v>0</v>
      </c>
      <c r="E39" s="59">
        <v>0</v>
      </c>
      <c r="F39" s="59">
        <v>0</v>
      </c>
      <c r="G39" s="85">
        <f>SUM(D39:F39)</f>
        <v>0</v>
      </c>
      <c r="H39" s="85">
        <f>G39+C39</f>
        <v>2.000888343900442E-11</v>
      </c>
      <c r="I39" s="59">
        <v>-4783.52</v>
      </c>
      <c r="J39" s="59">
        <v>-55.75</v>
      </c>
      <c r="K39" s="59">
        <v>-21.16</v>
      </c>
      <c r="L39" s="85">
        <f>SUM(I39:K39)</f>
        <v>-4860.43</v>
      </c>
      <c r="M39" s="85">
        <f>L39+H39</f>
        <v>-4860.42999999998</v>
      </c>
      <c r="N39" s="59">
        <v>-0.04</v>
      </c>
      <c r="O39" s="59">
        <v>-10.41</v>
      </c>
      <c r="P39" s="59">
        <v>0</v>
      </c>
      <c r="Q39" s="85">
        <f>SUM(N39:P39)</f>
        <v>-10.45</v>
      </c>
      <c r="R39" s="85">
        <f>Q39+M39</f>
        <v>-4870.87999999998</v>
      </c>
      <c r="S39" s="59">
        <v>0</v>
      </c>
      <c r="T39" s="59">
        <v>0</v>
      </c>
      <c r="U39" s="59">
        <v>0</v>
      </c>
      <c r="V39" s="85">
        <f>SUM(S39:U39)</f>
        <v>0</v>
      </c>
      <c r="W39" s="86">
        <f>V39+R39</f>
        <v>-4870.87999999998</v>
      </c>
    </row>
    <row r="40" spans="1:23" ht="15.75">
      <c r="A40" s="40" t="s">
        <v>55</v>
      </c>
      <c r="B40" s="87" t="s">
        <v>56</v>
      </c>
      <c r="C40" s="88">
        <f>W25</f>
        <v>47222.48</v>
      </c>
      <c r="D40" s="60">
        <v>-14409.36</v>
      </c>
      <c r="E40" s="60">
        <v>-12700.47</v>
      </c>
      <c r="F40" s="60">
        <v>-13597.52</v>
      </c>
      <c r="G40" s="88">
        <f>SUM(D40:F40)</f>
        <v>-40707.350000000006</v>
      </c>
      <c r="H40" s="88">
        <f>G40+C40</f>
        <v>6515.129999999997</v>
      </c>
      <c r="I40" s="60">
        <v>-6515.13</v>
      </c>
      <c r="J40" s="60">
        <f>ROUND((G39+H39+I39)*0.011/12,2)</f>
        <v>-4.38</v>
      </c>
      <c r="K40" s="60">
        <f>ROUND((G39+H39+I39+J39)*0.011/12,2)</f>
        <v>-4.44</v>
      </c>
      <c r="L40" s="88">
        <f>SUM(I40:K40)</f>
        <v>-6523.95</v>
      </c>
      <c r="M40" s="88">
        <f>L40+H40</f>
        <v>-8.820000000002437</v>
      </c>
      <c r="N40" s="60">
        <f>ROUND(M39*0.011/12,2)</f>
        <v>-4.46</v>
      </c>
      <c r="O40" s="60">
        <f>ROUND((M39+N39)*0.011/12,2)</f>
        <v>-4.46</v>
      </c>
      <c r="P40" s="60">
        <f>ROUND((M39+N39+O39)*0.011/12,2)</f>
        <v>-4.46</v>
      </c>
      <c r="Q40" s="88">
        <f>SUM(N40:P40)</f>
        <v>-13.379999999999999</v>
      </c>
      <c r="R40" s="88">
        <f>Q40+M40</f>
        <v>-22.200000000002436</v>
      </c>
      <c r="S40" s="60">
        <f>ROUND(R39*0.015/12,2)</f>
        <v>-6.09</v>
      </c>
      <c r="T40" s="60">
        <f>ROUND((R39+S39)*0.015/12,2)</f>
        <v>-6.09</v>
      </c>
      <c r="U40" s="60">
        <f>ROUND((R39+S39+T39)*0.015/12,2)</f>
        <v>-6.09</v>
      </c>
      <c r="V40" s="88">
        <f>SUM(S40:U40)</f>
        <v>-18.27</v>
      </c>
      <c r="W40" s="89">
        <f>V40+R40</f>
        <v>-40.470000000002436</v>
      </c>
    </row>
    <row r="41" ht="15">
      <c r="I41" s="62"/>
    </row>
    <row r="42" ht="15.75">
      <c r="B42" s="82" t="s">
        <v>51</v>
      </c>
    </row>
    <row r="44" spans="2:3" ht="15">
      <c r="B44" t="s">
        <v>32</v>
      </c>
      <c r="C44" t="s">
        <v>70</v>
      </c>
    </row>
    <row r="45" spans="2:3" ht="15">
      <c r="B45">
        <v>2018</v>
      </c>
      <c r="C45" s="62">
        <f>-18.27-46.02-26.43+130.11+327.84+188.22</f>
        <v>555.45</v>
      </c>
    </row>
    <row r="46" spans="2:5" ht="15">
      <c r="B46">
        <v>2019</v>
      </c>
      <c r="C46" s="95">
        <f>-35.24+250.96</f>
        <v>215.72</v>
      </c>
      <c r="E46" s="93"/>
    </row>
    <row r="47" spans="2:3" ht="15">
      <c r="B47" t="s">
        <v>71</v>
      </c>
      <c r="C47" s="62">
        <f>SUM(C45:C46)</f>
        <v>771.1700000000001</v>
      </c>
    </row>
    <row r="48" spans="2:3" ht="15">
      <c r="B48" t="s">
        <v>73</v>
      </c>
      <c r="C48" s="95">
        <f>W40+W36</f>
        <v>16737.37</v>
      </c>
    </row>
    <row r="49" spans="2:5" ht="15">
      <c r="B49" t="s">
        <v>72</v>
      </c>
      <c r="C49" s="62">
        <f>SUM(C47:C48)</f>
        <v>17508.54</v>
      </c>
      <c r="E49" s="93"/>
    </row>
    <row r="50" spans="2:3" ht="15">
      <c r="B50" t="s">
        <v>79</v>
      </c>
      <c r="C50" s="95">
        <f>W39+W35</f>
        <v>29823.550000000072</v>
      </c>
    </row>
    <row r="51" spans="2:3" ht="15.75" thickBot="1">
      <c r="B51" t="s">
        <v>75</v>
      </c>
      <c r="C51" s="96">
        <f>SUM(C49:C50)</f>
        <v>47332.09000000007</v>
      </c>
    </row>
    <row r="52" ht="15.75" thickTop="1"/>
  </sheetData>
  <sheetProtection/>
  <printOptions/>
  <pageMargins left="0.7" right="0.7" top="0.75" bottom="0.75" header="0.3" footer="0.3"/>
  <pageSetup orientation="portrait" paperSize="9"/>
  <ignoredErrors>
    <ignoredError sqref="C48 C5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G1">
      <selection activeCell="G39" sqref="G39"/>
    </sheetView>
  </sheetViews>
  <sheetFormatPr defaultColWidth="9.140625" defaultRowHeight="15"/>
  <cols>
    <col min="1" max="1" width="17.00390625" style="0" bestFit="1" customWidth="1"/>
    <col min="2" max="2" width="38.8515625" style="0" bestFit="1" customWidth="1"/>
    <col min="3" max="3" width="21.140625" style="0" customWidth="1"/>
    <col min="4" max="4" width="12.7109375" style="0" customWidth="1"/>
    <col min="5" max="5" width="14.00390625" style="0" customWidth="1"/>
    <col min="6" max="6" width="13.7109375" style="0" customWidth="1"/>
    <col min="7" max="8" width="14.8515625" style="0" customWidth="1"/>
    <col min="9" max="9" width="12.7109375" style="0" customWidth="1"/>
    <col min="10" max="10" width="15.57421875" style="0" customWidth="1"/>
    <col min="11" max="11" width="13.7109375" style="0" customWidth="1"/>
    <col min="12" max="13" width="14.8515625" style="0" customWidth="1"/>
    <col min="14" max="14" width="14.421875" style="0" customWidth="1"/>
    <col min="15" max="15" width="14.57421875" style="0" customWidth="1"/>
    <col min="16" max="16" width="15.57421875" style="0" customWidth="1"/>
    <col min="17" max="18" width="14.8515625" style="0" customWidth="1"/>
    <col min="19" max="19" width="12.421875" style="0" customWidth="1"/>
    <col min="20" max="20" width="14.421875" style="0" customWidth="1"/>
    <col min="21" max="21" width="14.57421875" style="0" customWidth="1"/>
    <col min="22" max="22" width="13.7109375" style="0" customWidth="1"/>
    <col min="23" max="23" width="14.8515625" style="0" bestFit="1" customWidth="1"/>
  </cols>
  <sheetData>
    <row r="1" spans="1:3" ht="18.75">
      <c r="A1" s="53">
        <v>2016</v>
      </c>
      <c r="B1" s="21" t="s">
        <v>29</v>
      </c>
      <c r="C1" s="8" t="s">
        <v>61</v>
      </c>
    </row>
    <row r="2" spans="1:17" ht="18.75">
      <c r="A2" s="1"/>
      <c r="B2" s="1"/>
      <c r="C2" s="8" t="s">
        <v>37</v>
      </c>
      <c r="D2" s="53">
        <v>2016</v>
      </c>
      <c r="E2" s="1"/>
      <c r="F2" s="1"/>
      <c r="G2" s="1"/>
      <c r="H2" s="8"/>
      <c r="I2" s="8"/>
      <c r="J2" s="1"/>
      <c r="K2" s="1"/>
      <c r="L2" s="1"/>
      <c r="M2" s="8"/>
      <c r="N2" s="1"/>
      <c r="O2" s="1"/>
      <c r="P2" s="1"/>
      <c r="Q2" s="8"/>
    </row>
    <row r="3" spans="1:17" ht="15.75">
      <c r="A3" s="13" t="s">
        <v>9</v>
      </c>
      <c r="B3" s="13" t="s">
        <v>10</v>
      </c>
      <c r="C3" s="6" t="s">
        <v>19</v>
      </c>
      <c r="D3" s="6" t="s">
        <v>19</v>
      </c>
      <c r="E3" s="6" t="s">
        <v>20</v>
      </c>
      <c r="F3" s="16" t="s">
        <v>16</v>
      </c>
      <c r="G3" s="16" t="s">
        <v>17</v>
      </c>
      <c r="H3" s="6" t="s">
        <v>21</v>
      </c>
      <c r="I3" s="6" t="s">
        <v>22</v>
      </c>
      <c r="J3" s="6" t="s">
        <v>23</v>
      </c>
      <c r="K3" s="16" t="s">
        <v>16</v>
      </c>
      <c r="L3" s="16" t="s">
        <v>17</v>
      </c>
      <c r="M3" s="1" t="s">
        <v>24</v>
      </c>
      <c r="N3" s="1" t="s">
        <v>25</v>
      </c>
      <c r="O3" s="1" t="s">
        <v>26</v>
      </c>
      <c r="P3" s="11" t="s">
        <v>16</v>
      </c>
      <c r="Q3" s="11" t="s">
        <v>17</v>
      </c>
    </row>
    <row r="4" spans="1:17" ht="15.75">
      <c r="A4" s="1"/>
      <c r="B4" s="1"/>
      <c r="D4" s="17"/>
      <c r="E4" s="1"/>
      <c r="F4" s="10"/>
      <c r="G4" s="10"/>
      <c r="H4" s="1"/>
      <c r="I4" s="1"/>
      <c r="J4" s="1"/>
      <c r="K4" s="10"/>
      <c r="L4" s="10"/>
      <c r="M4" s="1"/>
      <c r="N4" s="1"/>
      <c r="O4" s="1"/>
      <c r="P4" s="10"/>
      <c r="Q4" s="10"/>
    </row>
    <row r="5" spans="1:17" ht="15.75">
      <c r="A5" s="1" t="s">
        <v>62</v>
      </c>
      <c r="B5" s="79" t="s">
        <v>63</v>
      </c>
      <c r="C5" s="80">
        <v>-261662.49</v>
      </c>
      <c r="D5" s="63">
        <v>19321.58</v>
      </c>
      <c r="E5" s="63">
        <v>20247.88</v>
      </c>
      <c r="F5" s="2">
        <f>SUM(D5:E5)</f>
        <v>39569.46000000001</v>
      </c>
      <c r="G5" s="2">
        <f>F5+C5</f>
        <v>-222093.02999999997</v>
      </c>
      <c r="H5" s="63">
        <v>25851.53</v>
      </c>
      <c r="I5" s="63">
        <v>25756.82</v>
      </c>
      <c r="J5" s="63">
        <v>20365.91</v>
      </c>
      <c r="K5" s="2">
        <f>SUM(H5:J5)</f>
        <v>71974.26</v>
      </c>
      <c r="L5" s="2">
        <f>K5+G5</f>
        <v>-150118.76999999996</v>
      </c>
      <c r="M5" s="63">
        <v>22129.72</v>
      </c>
      <c r="N5" s="63">
        <v>20390.24</v>
      </c>
      <c r="O5" s="63">
        <v>21589.56</v>
      </c>
      <c r="P5" s="2">
        <f>SUM(M5:O5)</f>
        <v>64109.520000000004</v>
      </c>
      <c r="Q5" s="2">
        <f>P5+L5</f>
        <v>-86009.24999999996</v>
      </c>
    </row>
    <row r="6" spans="1:17" ht="15.75">
      <c r="A6" s="1" t="s">
        <v>64</v>
      </c>
      <c r="B6" s="79" t="s">
        <v>65</v>
      </c>
      <c r="C6" s="80">
        <v>-9101.28</v>
      </c>
      <c r="D6" s="63">
        <v>-239.86</v>
      </c>
      <c r="E6" s="63">
        <v>-222.15</v>
      </c>
      <c r="F6" s="2">
        <f>SUM(D6:E6)</f>
        <v>-462.01</v>
      </c>
      <c r="G6" s="2">
        <f>F6+C6</f>
        <v>-9563.29</v>
      </c>
      <c r="H6" s="63">
        <v>-203.59</v>
      </c>
      <c r="I6" s="63">
        <v>-179.89</v>
      </c>
      <c r="J6" s="63">
        <v>-156.28</v>
      </c>
      <c r="K6" s="2">
        <f>SUM(H6:J6)</f>
        <v>-539.76</v>
      </c>
      <c r="L6" s="2">
        <f>K6+G6</f>
        <v>-10103.050000000001</v>
      </c>
      <c r="M6" s="63">
        <v>-137.61</v>
      </c>
      <c r="N6" s="63">
        <v>-117.32</v>
      </c>
      <c r="O6" s="63">
        <v>-98.63</v>
      </c>
      <c r="P6" s="2">
        <f>SUM(M6:O6)</f>
        <v>-353.56</v>
      </c>
      <c r="Q6" s="2">
        <f>P6+L6</f>
        <v>-10456.61</v>
      </c>
    </row>
    <row r="7" spans="2:17" ht="15.75">
      <c r="B7" s="8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.75">
      <c r="A8" s="1" t="s">
        <v>66</v>
      </c>
      <c r="B8" s="79" t="s">
        <v>67</v>
      </c>
      <c r="C8" s="80">
        <v>252188.57</v>
      </c>
      <c r="D8" s="63">
        <v>-23081.03</v>
      </c>
      <c r="E8" s="63">
        <v>-24261.23</v>
      </c>
      <c r="F8" s="2">
        <f>SUM(D8:E8)</f>
        <v>-47342.259999999995</v>
      </c>
      <c r="G8" s="2">
        <f>F8+C8</f>
        <v>204846.31</v>
      </c>
      <c r="H8" s="63">
        <v>-23716.11</v>
      </c>
      <c r="I8" s="63">
        <v>-14941.25</v>
      </c>
      <c r="J8" s="63">
        <v>-31528.42</v>
      </c>
      <c r="K8" s="2">
        <f>SUM(H8:J8)</f>
        <v>-70185.78</v>
      </c>
      <c r="L8" s="2">
        <f>K8+G8</f>
        <v>134660.53</v>
      </c>
      <c r="M8" s="63">
        <v>-22361.61</v>
      </c>
      <c r="N8" s="63">
        <v>-18537.05</v>
      </c>
      <c r="O8" s="63">
        <v>-18471.79</v>
      </c>
      <c r="P8" s="2">
        <f>SUM(M8:O8)</f>
        <v>-59370.450000000004</v>
      </c>
      <c r="Q8" s="2">
        <f>P8+L8</f>
        <v>75290.07999999999</v>
      </c>
    </row>
    <row r="9" spans="1:17" ht="15.75">
      <c r="A9" s="1" t="s">
        <v>68</v>
      </c>
      <c r="B9" s="79" t="s">
        <v>69</v>
      </c>
      <c r="C9" s="80">
        <v>9731.49</v>
      </c>
      <c r="D9" s="63">
        <v>231.17</v>
      </c>
      <c r="E9" s="63">
        <v>210.02</v>
      </c>
      <c r="F9" s="2">
        <f>SUM(D9:E9)</f>
        <v>441.19</v>
      </c>
      <c r="G9" s="2">
        <f>F9+C9</f>
        <v>10172.68</v>
      </c>
      <c r="H9" s="63">
        <v>187.78</v>
      </c>
      <c r="I9" s="63">
        <v>166.04</v>
      </c>
      <c r="J9" s="63">
        <v>152.34</v>
      </c>
      <c r="K9" s="2">
        <f>SUM(H9:J9)</f>
        <v>506.15999999999997</v>
      </c>
      <c r="L9" s="2">
        <f>K9+G9</f>
        <v>10678.84</v>
      </c>
      <c r="M9" s="63">
        <v>123.44</v>
      </c>
      <c r="N9" s="63">
        <v>102.94</v>
      </c>
      <c r="O9" s="63">
        <v>85.95</v>
      </c>
      <c r="P9" s="2">
        <f>SUM(M9:O9)</f>
        <v>312.33</v>
      </c>
      <c r="Q9" s="2">
        <f>P9+L9</f>
        <v>10991.17</v>
      </c>
    </row>
    <row r="11" ht="15.75">
      <c r="B11" s="20" t="s">
        <v>31</v>
      </c>
    </row>
    <row r="12" spans="1:25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7"/>
      <c r="Y12" s="27"/>
    </row>
    <row r="13" spans="3:4" ht="18.75">
      <c r="C13" s="21">
        <v>2016</v>
      </c>
      <c r="D13" s="53">
        <v>2017</v>
      </c>
    </row>
    <row r="14" spans="1:23" ht="18.75">
      <c r="A14" s="53">
        <v>2017</v>
      </c>
      <c r="B14" s="21" t="s">
        <v>29</v>
      </c>
      <c r="C14" s="14" t="s">
        <v>11</v>
      </c>
      <c r="D14" s="6" t="s">
        <v>13</v>
      </c>
      <c r="E14" s="6" t="s">
        <v>14</v>
      </c>
      <c r="F14" s="6" t="s">
        <v>15</v>
      </c>
      <c r="G14" s="16" t="s">
        <v>16</v>
      </c>
      <c r="H14" s="16" t="s">
        <v>17</v>
      </c>
      <c r="I14" s="6" t="s">
        <v>18</v>
      </c>
      <c r="J14" s="6" t="s">
        <v>19</v>
      </c>
      <c r="K14" s="6" t="s">
        <v>20</v>
      </c>
      <c r="L14" s="16" t="s">
        <v>16</v>
      </c>
      <c r="M14" s="16" t="s">
        <v>17</v>
      </c>
      <c r="N14" s="6" t="s">
        <v>21</v>
      </c>
      <c r="O14" s="6" t="s">
        <v>22</v>
      </c>
      <c r="P14" s="6" t="s">
        <v>23</v>
      </c>
      <c r="Q14" s="16" t="s">
        <v>16</v>
      </c>
      <c r="R14" s="16" t="s">
        <v>17</v>
      </c>
      <c r="S14" s="1" t="s">
        <v>24</v>
      </c>
      <c r="T14" s="1" t="s">
        <v>25</v>
      </c>
      <c r="U14" s="1" t="s">
        <v>26</v>
      </c>
      <c r="V14" s="11" t="s">
        <v>16</v>
      </c>
      <c r="W14" s="11" t="s">
        <v>17</v>
      </c>
    </row>
    <row r="15" spans="1:23" ht="18.75">
      <c r="A15" s="53"/>
      <c r="B15" s="21"/>
      <c r="C15" s="11" t="s">
        <v>28</v>
      </c>
      <c r="D15" s="6"/>
      <c r="E15" s="6"/>
      <c r="F15" s="6"/>
      <c r="G15" s="10"/>
      <c r="H15" s="10"/>
      <c r="I15" s="6"/>
      <c r="J15" s="6"/>
      <c r="K15" s="6"/>
      <c r="L15" s="10"/>
      <c r="M15" s="10"/>
      <c r="N15" s="6"/>
      <c r="O15" s="6"/>
      <c r="P15" s="6"/>
      <c r="Q15" s="10"/>
      <c r="R15" s="10"/>
      <c r="S15" s="1"/>
      <c r="T15" s="1"/>
      <c r="U15" s="1"/>
      <c r="V15" s="25"/>
      <c r="W15" s="25"/>
    </row>
    <row r="16" spans="1:23" ht="15.75">
      <c r="A16" s="1" t="s">
        <v>62</v>
      </c>
      <c r="B16" s="79" t="s">
        <v>63</v>
      </c>
      <c r="C16" s="2">
        <f>Q5</f>
        <v>-86009.24999999996</v>
      </c>
      <c r="D16" s="63">
        <v>24161.14</v>
      </c>
      <c r="E16" s="63">
        <v>21234.12</v>
      </c>
      <c r="F16" s="63">
        <v>22768.64</v>
      </c>
      <c r="G16" s="2">
        <f>SUM(D16:F16)</f>
        <v>68163.9</v>
      </c>
      <c r="H16" s="2">
        <f>G16+C16</f>
        <v>-17845.349999999962</v>
      </c>
      <c r="I16" s="63">
        <v>18871.6</v>
      </c>
      <c r="J16" s="63">
        <v>97.38</v>
      </c>
      <c r="K16" s="63">
        <v>36.25</v>
      </c>
      <c r="L16" s="2">
        <f>SUM(I16:K16)</f>
        <v>19005.23</v>
      </c>
      <c r="M16" s="2">
        <f>L16+H16</f>
        <v>1159.8800000000374</v>
      </c>
      <c r="N16" s="63">
        <v>0.07</v>
      </c>
      <c r="O16" s="63">
        <v>14.13</v>
      </c>
      <c r="P16" s="63">
        <v>0.16</v>
      </c>
      <c r="Q16" s="2">
        <f>SUM(N16:P16)</f>
        <v>14.360000000000001</v>
      </c>
      <c r="R16" s="2">
        <f>Q16+M16</f>
        <v>1174.2400000000373</v>
      </c>
      <c r="S16" s="63">
        <v>0.06</v>
      </c>
      <c r="T16" s="63">
        <v>0</v>
      </c>
      <c r="U16" s="63">
        <v>0</v>
      </c>
      <c r="V16" s="2">
        <f>SUM(S16:U16)</f>
        <v>0.06</v>
      </c>
      <c r="W16" s="2">
        <f>V16+R16</f>
        <v>1174.3000000000372</v>
      </c>
    </row>
    <row r="17" spans="1:23" ht="15.75">
      <c r="A17" s="1" t="s">
        <v>64</v>
      </c>
      <c r="B17" s="79" t="s">
        <v>65</v>
      </c>
      <c r="C17" s="2">
        <f>Q6</f>
        <v>-10456.61</v>
      </c>
      <c r="D17" s="63">
        <v>-78.84</v>
      </c>
      <c r="E17" s="63">
        <v>-56.69</v>
      </c>
      <c r="F17" s="63">
        <v>-37.23</v>
      </c>
      <c r="G17" s="2">
        <f>SUM(D17:F17)</f>
        <v>-172.76</v>
      </c>
      <c r="H17" s="2">
        <f>G17+C17</f>
        <v>-10629.37</v>
      </c>
      <c r="I17" s="63">
        <v>-16.36</v>
      </c>
      <c r="J17" s="63">
        <v>0.94</v>
      </c>
      <c r="K17" s="63">
        <v>1.03</v>
      </c>
      <c r="L17" s="2">
        <f>SUM(I17:K17)</f>
        <v>-14.39</v>
      </c>
      <c r="M17" s="2">
        <f>L17+H17</f>
        <v>-10643.76</v>
      </c>
      <c r="N17" s="63">
        <v>1.06</v>
      </c>
      <c r="O17" s="63">
        <v>1.06</v>
      </c>
      <c r="P17" s="63">
        <v>1.08</v>
      </c>
      <c r="Q17" s="2">
        <f>SUM(N17:P17)</f>
        <v>3.2</v>
      </c>
      <c r="R17" s="2">
        <f>Q17+M17</f>
        <v>-10640.56</v>
      </c>
      <c r="S17" s="63">
        <v>1.47</v>
      </c>
      <c r="T17" s="63">
        <v>1.47</v>
      </c>
      <c r="U17" s="63">
        <v>1.47</v>
      </c>
      <c r="V17" s="2">
        <f>SUM(S17:U17)</f>
        <v>4.41</v>
      </c>
      <c r="W17" s="2">
        <f>V17+R17</f>
        <v>-10636.15</v>
      </c>
    </row>
    <row r="18" spans="2:23" ht="15.75">
      <c r="B18" s="8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5.75">
      <c r="A19" s="1" t="s">
        <v>66</v>
      </c>
      <c r="B19" s="79" t="s">
        <v>67</v>
      </c>
      <c r="C19" s="2">
        <f>Q8</f>
        <v>75290.07999999999</v>
      </c>
      <c r="D19" s="63">
        <v>-18412.69</v>
      </c>
      <c r="E19" s="63">
        <v>-19016.51</v>
      </c>
      <c r="F19" s="63">
        <v>-18041.93</v>
      </c>
      <c r="G19" s="2">
        <f>SUM(D19:F19)</f>
        <v>-55471.13</v>
      </c>
      <c r="H19" s="2">
        <f>G19+C19</f>
        <v>19818.94999999999</v>
      </c>
      <c r="I19" s="63">
        <v>-18398.21</v>
      </c>
      <c r="J19" s="63">
        <v>0</v>
      </c>
      <c r="K19" s="63">
        <v>0</v>
      </c>
      <c r="L19" s="2">
        <f>SUM(I19:K19)</f>
        <v>-18398.21</v>
      </c>
      <c r="M19" s="2">
        <f>L19+H19</f>
        <v>1420.7399999999907</v>
      </c>
      <c r="N19" s="63">
        <v>0</v>
      </c>
      <c r="O19" s="63">
        <v>0</v>
      </c>
      <c r="P19" s="63">
        <v>0</v>
      </c>
      <c r="Q19" s="2">
        <f>SUM(N19:P19)</f>
        <v>0</v>
      </c>
      <c r="R19" s="2">
        <f>Q19+M19</f>
        <v>1420.7399999999907</v>
      </c>
      <c r="S19" s="63">
        <v>0</v>
      </c>
      <c r="T19" s="63">
        <v>0</v>
      </c>
      <c r="U19" s="63">
        <v>0</v>
      </c>
      <c r="V19" s="2">
        <f>SUM(S19:U19)</f>
        <v>0</v>
      </c>
      <c r="W19" s="2">
        <f>V19+R19</f>
        <v>1420.7399999999907</v>
      </c>
    </row>
    <row r="20" spans="1:23" ht="15.75">
      <c r="A20" s="1" t="s">
        <v>68</v>
      </c>
      <c r="B20" s="79" t="s">
        <v>69</v>
      </c>
      <c r="C20" s="2">
        <f>Q9</f>
        <v>10991.17</v>
      </c>
      <c r="D20" s="63">
        <v>69.02</v>
      </c>
      <c r="E20" s="63">
        <v>52.14</v>
      </c>
      <c r="F20" s="63">
        <v>34.71</v>
      </c>
      <c r="G20" s="2">
        <f>SUM(D20:F20)</f>
        <v>155.87</v>
      </c>
      <c r="H20" s="2">
        <f>G20+C20</f>
        <v>11147.04</v>
      </c>
      <c r="I20" s="63">
        <v>18.17</v>
      </c>
      <c r="J20" s="63">
        <v>1.3</v>
      </c>
      <c r="K20" s="63">
        <v>1.3</v>
      </c>
      <c r="L20" s="2">
        <f>SUM(I20:K20)</f>
        <v>20.770000000000003</v>
      </c>
      <c r="M20" s="2">
        <f>L20+H20</f>
        <v>11167.810000000001</v>
      </c>
      <c r="N20" s="63">
        <v>1.3</v>
      </c>
      <c r="O20" s="63">
        <v>1.3</v>
      </c>
      <c r="P20" s="63">
        <v>1.3</v>
      </c>
      <c r="Q20" s="2">
        <f>SUM(N20:P20)</f>
        <v>3.9000000000000004</v>
      </c>
      <c r="R20" s="2">
        <f>Q20+M20</f>
        <v>11171.710000000001</v>
      </c>
      <c r="S20" s="63">
        <v>1.78</v>
      </c>
      <c r="T20" s="63">
        <v>1.78</v>
      </c>
      <c r="U20" s="63">
        <v>1.78</v>
      </c>
      <c r="V20" s="2">
        <f>SUM(S20:U20)</f>
        <v>5.34</v>
      </c>
      <c r="W20" s="2">
        <f>V20+R20</f>
        <v>11177.050000000001</v>
      </c>
    </row>
    <row r="21" spans="21:22" ht="15.75">
      <c r="U21" s="63"/>
      <c r="V21" s="63"/>
    </row>
    <row r="22" spans="1:23" ht="15.75">
      <c r="A22" s="31"/>
      <c r="B22" s="32" t="s">
        <v>32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91"/>
      <c r="V22" s="91"/>
      <c r="W22" s="46"/>
    </row>
    <row r="23" spans="1:23" ht="15.75">
      <c r="A23" s="35" t="s">
        <v>62</v>
      </c>
      <c r="B23" s="81" t="s">
        <v>63</v>
      </c>
      <c r="C23" s="36">
        <v>-86009.24999999996</v>
      </c>
      <c r="D23" s="59">
        <v>24161.14</v>
      </c>
      <c r="E23" s="59">
        <v>21234.12</v>
      </c>
      <c r="F23" s="59">
        <v>22768.64</v>
      </c>
      <c r="G23" s="36">
        <f>SUM(D23:F23)</f>
        <v>68163.9</v>
      </c>
      <c r="H23" s="36">
        <f>G23+C23</f>
        <v>-17845.349999999962</v>
      </c>
      <c r="I23" s="59">
        <v>17845.35</v>
      </c>
      <c r="J23" s="59">
        <v>0</v>
      </c>
      <c r="K23" s="59">
        <v>0</v>
      </c>
      <c r="L23" s="36">
        <f>SUM(I23:K23)</f>
        <v>17845.35</v>
      </c>
      <c r="M23" s="36">
        <f>L23+H23</f>
        <v>3.637978807091713E-11</v>
      </c>
      <c r="N23" s="59">
        <v>0</v>
      </c>
      <c r="O23" s="59">
        <v>0</v>
      </c>
      <c r="P23" s="59">
        <v>0</v>
      </c>
      <c r="Q23" s="36">
        <f>SUM(N23:P23)</f>
        <v>0</v>
      </c>
      <c r="R23" s="36">
        <f>Q23+M23</f>
        <v>3.637978807091713E-11</v>
      </c>
      <c r="S23" s="59">
        <v>0</v>
      </c>
      <c r="T23" s="59">
        <v>0</v>
      </c>
      <c r="U23" s="59">
        <v>0</v>
      </c>
      <c r="V23" s="36">
        <f>SUM(R23:U23)</f>
        <v>3.637978807091713E-11</v>
      </c>
      <c r="W23" s="66">
        <f>V23+R23</f>
        <v>7.275957614183426E-11</v>
      </c>
    </row>
    <row r="24" spans="1:23" ht="15.75">
      <c r="A24" s="40" t="s">
        <v>64</v>
      </c>
      <c r="B24" s="87" t="s">
        <v>65</v>
      </c>
      <c r="C24" s="42">
        <v>-10456.61</v>
      </c>
      <c r="D24" s="60">
        <v>-78.84</v>
      </c>
      <c r="E24" s="60">
        <v>-56.69</v>
      </c>
      <c r="F24" s="60">
        <v>-37.23</v>
      </c>
      <c r="G24" s="42">
        <f>SUM(D24:F24)</f>
        <v>-172.76</v>
      </c>
      <c r="H24" s="42">
        <f>G24+C24</f>
        <v>-10629.37</v>
      </c>
      <c r="I24" s="60">
        <f>I16-I23</f>
        <v>1026.25</v>
      </c>
      <c r="J24" s="60">
        <v>97.38</v>
      </c>
      <c r="K24" s="60">
        <v>36.25</v>
      </c>
      <c r="L24" s="42">
        <f>SUM(I24:K24)</f>
        <v>1159.88</v>
      </c>
      <c r="M24" s="42">
        <f>L24+H24</f>
        <v>-9469.490000000002</v>
      </c>
      <c r="N24" s="60">
        <v>0.07</v>
      </c>
      <c r="O24" s="60">
        <v>14.13</v>
      </c>
      <c r="P24" s="60">
        <v>0.16</v>
      </c>
      <c r="Q24" s="42">
        <f>SUM(N24:P24)</f>
        <v>14.360000000000001</v>
      </c>
      <c r="R24" s="42">
        <f>Q24+M24</f>
        <v>-9455.130000000001</v>
      </c>
      <c r="S24" s="60">
        <v>0.06</v>
      </c>
      <c r="T24" s="60">
        <v>0</v>
      </c>
      <c r="U24" s="60">
        <v>0</v>
      </c>
      <c r="V24" s="42">
        <f>SUM(S24:U24)</f>
        <v>0.06</v>
      </c>
      <c r="W24" s="67">
        <f>V24+R24</f>
        <v>-9455.070000000002</v>
      </c>
    </row>
    <row r="26" ht="15.75">
      <c r="B26" s="82" t="s">
        <v>51</v>
      </c>
    </row>
    <row r="28" spans="2:8" ht="15">
      <c r="B28" t="s">
        <v>32</v>
      </c>
      <c r="C28" t="s">
        <v>70</v>
      </c>
      <c r="H28" s="93"/>
    </row>
    <row r="29" spans="2:3" ht="15">
      <c r="B29">
        <v>2018</v>
      </c>
      <c r="C29" s="62">
        <f>(1.78*3)+(2.24*6)+(2.57*3)</f>
        <v>26.490000000000002</v>
      </c>
    </row>
    <row r="30" spans="2:3" ht="15">
      <c r="B30">
        <v>2019</v>
      </c>
      <c r="C30" s="95">
        <f>2.57*4</f>
        <v>10.28</v>
      </c>
    </row>
    <row r="31" spans="2:3" ht="15">
      <c r="B31" t="s">
        <v>71</v>
      </c>
      <c r="C31" s="62">
        <f>SUM(C29:C30)</f>
        <v>36.77</v>
      </c>
    </row>
    <row r="32" spans="2:3" ht="15">
      <c r="B32" t="s">
        <v>73</v>
      </c>
      <c r="C32" s="95">
        <f>W24+W20</f>
        <v>1721.9799999999996</v>
      </c>
    </row>
    <row r="33" spans="2:3" ht="15">
      <c r="B33" t="s">
        <v>72</v>
      </c>
      <c r="C33" s="62">
        <f>SUM(C31:C32)</f>
        <v>1758.7499999999995</v>
      </c>
    </row>
    <row r="34" spans="2:3" ht="15">
      <c r="B34" t="s">
        <v>80</v>
      </c>
      <c r="C34" s="62">
        <f>W23+W19</f>
        <v>1420.7400000000634</v>
      </c>
    </row>
    <row r="35" spans="2:3" ht="15.75" thickBot="1">
      <c r="B35" t="s">
        <v>75</v>
      </c>
      <c r="C35" s="96">
        <f>SUM(C33:C34)</f>
        <v>3179.490000000063</v>
      </c>
    </row>
    <row r="36" ht="15.75" thickTop="1"/>
  </sheetData>
  <sheetProtection/>
  <printOptions/>
  <pageMargins left="0.7" right="0.7" top="0.75" bottom="0.75" header="0.3" footer="0.3"/>
  <pageSetup orientation="portrait" paperSize="9"/>
  <ignoredErrors>
    <ignoredError sqref="C3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Tackaberry</dc:creator>
  <cp:keywords/>
  <dc:description/>
  <cp:lastModifiedBy>Joanne Tackaberry</cp:lastModifiedBy>
  <cp:lastPrinted>2018-09-12T18:56:25Z</cp:lastPrinted>
  <dcterms:created xsi:type="dcterms:W3CDTF">2018-09-10T13:07:23Z</dcterms:created>
  <dcterms:modified xsi:type="dcterms:W3CDTF">2018-09-25T13:52:35Z</dcterms:modified>
  <cp:category/>
  <cp:version/>
  <cp:contentType/>
  <cp:contentStatus/>
</cp:coreProperties>
</file>