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\Common\Dubreuil\MAAD Application Working Docs\Current Versions\"/>
    </mc:Choice>
  </mc:AlternateContent>
  <bookViews>
    <workbookView xWindow="0" yWindow="0" windowWidth="28800" windowHeight="12300" activeTab="2"/>
  </bookViews>
  <sheets>
    <sheet name="R1(i) Bill Impact 393kWh" sheetId="6" r:id="rId1"/>
    <sheet name="R1(i) Bill Impact 750kWh" sheetId="5" r:id="rId2"/>
    <sheet name="R1(ii) Bill Impact 2000kWh" sheetId="1" r:id="rId3"/>
  </sheets>
  <externalReferences>
    <externalReference r:id="rId4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6" l="1"/>
  <c r="M14" i="6" s="1"/>
  <c r="L14" i="1"/>
  <c r="M14" i="1"/>
  <c r="L14" i="5"/>
  <c r="M14" i="5" s="1"/>
  <c r="J34" i="6" l="1"/>
  <c r="K34" i="6" s="1"/>
  <c r="I34" i="6"/>
  <c r="G34" i="6"/>
  <c r="H34" i="6" s="1"/>
  <c r="J33" i="6"/>
  <c r="K33" i="6" s="1"/>
  <c r="I33" i="6"/>
  <c r="I18" i="6" s="1"/>
  <c r="J18" i="6" s="1"/>
  <c r="K18" i="6" s="1"/>
  <c r="G33" i="6"/>
  <c r="H33" i="6" s="1"/>
  <c r="K31" i="6"/>
  <c r="L31" i="6" s="1"/>
  <c r="M31" i="6" s="1"/>
  <c r="I31" i="6"/>
  <c r="H31" i="6"/>
  <c r="J30" i="6"/>
  <c r="K30" i="6" s="1"/>
  <c r="G30" i="6"/>
  <c r="H30" i="6" s="1"/>
  <c r="J29" i="6"/>
  <c r="K29" i="6" s="1"/>
  <c r="G29" i="6"/>
  <c r="H29" i="6" s="1"/>
  <c r="J27" i="6"/>
  <c r="K27" i="6" s="1"/>
  <c r="L27" i="6" s="1"/>
  <c r="M27" i="6" s="1"/>
  <c r="G27" i="6"/>
  <c r="H27" i="6" s="1"/>
  <c r="J26" i="6"/>
  <c r="K26" i="6" s="1"/>
  <c r="G26" i="6"/>
  <c r="H26" i="6" s="1"/>
  <c r="J24" i="6"/>
  <c r="K24" i="6" s="1"/>
  <c r="G24" i="6"/>
  <c r="H24" i="6" s="1"/>
  <c r="K23" i="6"/>
  <c r="H23" i="6"/>
  <c r="J22" i="6"/>
  <c r="K22" i="6" s="1"/>
  <c r="G22" i="6"/>
  <c r="H22" i="6" s="1"/>
  <c r="J21" i="6"/>
  <c r="K21" i="6" s="1"/>
  <c r="G21" i="6"/>
  <c r="H21" i="6" s="1"/>
  <c r="J20" i="6"/>
  <c r="K20" i="6" s="1"/>
  <c r="G20" i="6"/>
  <c r="H20" i="6" s="1"/>
  <c r="J19" i="6"/>
  <c r="K19" i="6" s="1"/>
  <c r="G19" i="6"/>
  <c r="H19" i="6" s="1"/>
  <c r="F18" i="6"/>
  <c r="G18" i="6" s="1"/>
  <c r="H18" i="6" s="1"/>
  <c r="J16" i="6"/>
  <c r="K16" i="6" s="1"/>
  <c r="G16" i="6"/>
  <c r="H16" i="6" s="1"/>
  <c r="J15" i="6"/>
  <c r="K15" i="6" s="1"/>
  <c r="L15" i="6" s="1"/>
  <c r="M15" i="6" s="1"/>
  <c r="H15" i="6"/>
  <c r="J13" i="6"/>
  <c r="K13" i="6" s="1"/>
  <c r="G13" i="6"/>
  <c r="H13" i="6" s="1"/>
  <c r="H17" i="6" s="1"/>
  <c r="L12" i="6"/>
  <c r="M12" i="6" s="1"/>
  <c r="J12" i="6"/>
  <c r="K12" i="6" s="1"/>
  <c r="H12" i="6"/>
  <c r="L20" i="6" l="1"/>
  <c r="M20" i="6" s="1"/>
  <c r="L24" i="6"/>
  <c r="M24" i="6" s="1"/>
  <c r="L33" i="6"/>
  <c r="M33" i="6" s="1"/>
  <c r="L16" i="6"/>
  <c r="M16" i="6" s="1"/>
  <c r="L19" i="6"/>
  <c r="M19" i="6" s="1"/>
  <c r="L21" i="6"/>
  <c r="M21" i="6" s="1"/>
  <c r="H25" i="6"/>
  <c r="L22" i="6"/>
  <c r="M22" i="6" s="1"/>
  <c r="L26" i="6"/>
  <c r="M26" i="6" s="1"/>
  <c r="L30" i="6"/>
  <c r="M30" i="6" s="1"/>
  <c r="L13" i="6"/>
  <c r="M13" i="6" s="1"/>
  <c r="K14" i="6"/>
  <c r="K17" i="6" s="1"/>
  <c r="L18" i="6"/>
  <c r="M18" i="6" s="1"/>
  <c r="L23" i="6"/>
  <c r="M23" i="6" s="1"/>
  <c r="L29" i="6"/>
  <c r="M29" i="6" s="1"/>
  <c r="L34" i="6"/>
  <c r="M34" i="6" s="1"/>
  <c r="G34" i="5"/>
  <c r="G33" i="5"/>
  <c r="K14" i="5"/>
  <c r="K25" i="6" l="1"/>
  <c r="L17" i="6"/>
  <c r="M17" i="6" s="1"/>
  <c r="H28" i="6"/>
  <c r="I34" i="5"/>
  <c r="J34" i="5"/>
  <c r="K34" i="5" s="1"/>
  <c r="I33" i="5"/>
  <c r="J33" i="5"/>
  <c r="I31" i="5"/>
  <c r="K31" i="5" s="1"/>
  <c r="L31" i="5" s="1"/>
  <c r="M31" i="5" s="1"/>
  <c r="H31" i="5"/>
  <c r="J30" i="5"/>
  <c r="K30" i="5" s="1"/>
  <c r="G30" i="5"/>
  <c r="H30" i="5" s="1"/>
  <c r="J29" i="5"/>
  <c r="K29" i="5" s="1"/>
  <c r="G29" i="5"/>
  <c r="H29" i="5" s="1"/>
  <c r="J27" i="5"/>
  <c r="K27" i="5" s="1"/>
  <c r="G27" i="5"/>
  <c r="H27" i="5" s="1"/>
  <c r="J26" i="5"/>
  <c r="K26" i="5" s="1"/>
  <c r="G26" i="5"/>
  <c r="H26" i="5" s="1"/>
  <c r="J24" i="5"/>
  <c r="K24" i="5" s="1"/>
  <c r="G24" i="5"/>
  <c r="H24" i="5" s="1"/>
  <c r="K23" i="5"/>
  <c r="L23" i="5" s="1"/>
  <c r="M23" i="5" s="1"/>
  <c r="H23" i="5"/>
  <c r="J22" i="5"/>
  <c r="K22" i="5" s="1"/>
  <c r="G22" i="5"/>
  <c r="H22" i="5" s="1"/>
  <c r="J21" i="5"/>
  <c r="K21" i="5" s="1"/>
  <c r="G21" i="5"/>
  <c r="H21" i="5" s="1"/>
  <c r="J20" i="5"/>
  <c r="K20" i="5" s="1"/>
  <c r="G20" i="5"/>
  <c r="H20" i="5" s="1"/>
  <c r="J19" i="5"/>
  <c r="K19" i="5" s="1"/>
  <c r="G19" i="5"/>
  <c r="H19" i="5" s="1"/>
  <c r="J16" i="5"/>
  <c r="K16" i="5" s="1"/>
  <c r="G16" i="5"/>
  <c r="H16" i="5" s="1"/>
  <c r="K15" i="5"/>
  <c r="J15" i="5"/>
  <c r="H15" i="5"/>
  <c r="J13" i="5"/>
  <c r="K13" i="5" s="1"/>
  <c r="G13" i="5"/>
  <c r="H13" i="5" s="1"/>
  <c r="J12" i="5"/>
  <c r="K12" i="5" s="1"/>
  <c r="H12" i="5"/>
  <c r="I17" i="1"/>
  <c r="F17" i="1"/>
  <c r="J33" i="1"/>
  <c r="J32" i="1"/>
  <c r="G32" i="1"/>
  <c r="G33" i="1"/>
  <c r="H36" i="6" l="1"/>
  <c r="K28" i="6"/>
  <c r="L25" i="6"/>
  <c r="M25" i="6" s="1"/>
  <c r="L15" i="5"/>
  <c r="M15" i="5" s="1"/>
  <c r="L16" i="5"/>
  <c r="M16" i="5" s="1"/>
  <c r="L20" i="5"/>
  <c r="M20" i="5" s="1"/>
  <c r="L22" i="5"/>
  <c r="M22" i="5" s="1"/>
  <c r="L24" i="5"/>
  <c r="M24" i="5" s="1"/>
  <c r="L27" i="5"/>
  <c r="M27" i="5" s="1"/>
  <c r="L30" i="5"/>
  <c r="M30" i="5" s="1"/>
  <c r="L19" i="5"/>
  <c r="M19" i="5" s="1"/>
  <c r="L21" i="5"/>
  <c r="M21" i="5" s="1"/>
  <c r="L26" i="5"/>
  <c r="M26" i="5" s="1"/>
  <c r="H34" i="5"/>
  <c r="L34" i="5" s="1"/>
  <c r="M34" i="5" s="1"/>
  <c r="K17" i="5"/>
  <c r="L12" i="5"/>
  <c r="M12" i="5" s="1"/>
  <c r="L13" i="5"/>
  <c r="M13" i="5" s="1"/>
  <c r="I18" i="5"/>
  <c r="J18" i="5" s="1"/>
  <c r="K18" i="5" s="1"/>
  <c r="K33" i="5"/>
  <c r="H17" i="5"/>
  <c r="F18" i="5"/>
  <c r="G18" i="5" s="1"/>
  <c r="H18" i="5" s="1"/>
  <c r="H33" i="5"/>
  <c r="L29" i="5"/>
  <c r="M29" i="5" s="1"/>
  <c r="L28" i="6" l="1"/>
  <c r="M28" i="6" s="1"/>
  <c r="K36" i="6"/>
  <c r="H38" i="6"/>
  <c r="H37" i="6"/>
  <c r="L33" i="5"/>
  <c r="M33" i="5" s="1"/>
  <c r="L17" i="5"/>
  <c r="M17" i="5" s="1"/>
  <c r="K25" i="5"/>
  <c r="H25" i="5"/>
  <c r="L18" i="5"/>
  <c r="M18" i="5" s="1"/>
  <c r="L36" i="6" l="1"/>
  <c r="M36" i="6" s="1"/>
  <c r="K38" i="6"/>
  <c r="L38" i="6" s="1"/>
  <c r="K37" i="6"/>
  <c r="L37" i="6" s="1"/>
  <c r="M37" i="6" s="1"/>
  <c r="H39" i="6"/>
  <c r="L25" i="5"/>
  <c r="M25" i="5" s="1"/>
  <c r="K28" i="5"/>
  <c r="H28" i="5"/>
  <c r="K39" i="6" l="1"/>
  <c r="L39" i="6" s="1"/>
  <c r="M39" i="6" s="1"/>
  <c r="H36" i="5"/>
  <c r="L28" i="5"/>
  <c r="M28" i="5" s="1"/>
  <c r="K36" i="5"/>
  <c r="K38" i="5" l="1"/>
  <c r="K37" i="5"/>
  <c r="L36" i="5"/>
  <c r="M36" i="5" s="1"/>
  <c r="H38" i="5"/>
  <c r="H37" i="5"/>
  <c r="K39" i="5" l="1"/>
  <c r="H39" i="5"/>
  <c r="L37" i="5"/>
  <c r="M37" i="5" s="1"/>
  <c r="L38" i="5"/>
  <c r="L39" i="5" l="1"/>
  <c r="M39" i="5" s="1"/>
  <c r="I33" i="1" l="1"/>
  <c r="I32" i="1"/>
  <c r="H14" i="1" l="1"/>
  <c r="I30" i="1"/>
  <c r="K30" i="1" s="1"/>
  <c r="H30" i="1"/>
  <c r="G28" i="1"/>
  <c r="H28" i="1" s="1"/>
  <c r="J26" i="1"/>
  <c r="K26" i="1" s="1"/>
  <c r="G25" i="1"/>
  <c r="H25" i="1" s="1"/>
  <c r="J23" i="1"/>
  <c r="K23" i="1" s="1"/>
  <c r="K22" i="1"/>
  <c r="H22" i="1"/>
  <c r="G21" i="1"/>
  <c r="H21" i="1" s="1"/>
  <c r="G19" i="1"/>
  <c r="H19" i="1" s="1"/>
  <c r="J18" i="1"/>
  <c r="K18" i="1" s="1"/>
  <c r="G15" i="1"/>
  <c r="H15" i="1" s="1"/>
  <c r="J14" i="1"/>
  <c r="K14" i="1" s="1"/>
  <c r="J13" i="1"/>
  <c r="K13" i="1" s="1"/>
  <c r="J12" i="1"/>
  <c r="K12" i="1" s="1"/>
  <c r="H12" i="1"/>
  <c r="G26" i="1"/>
  <c r="H26" i="1" s="1"/>
  <c r="L30" i="1" l="1"/>
  <c r="M30" i="1" s="1"/>
  <c r="L12" i="1"/>
  <c r="M12" i="1" s="1"/>
  <c r="L22" i="1"/>
  <c r="M22" i="1" s="1"/>
  <c r="L26" i="1"/>
  <c r="M26" i="1" s="1"/>
  <c r="H33" i="1"/>
  <c r="H32" i="1"/>
  <c r="G29" i="1"/>
  <c r="H29" i="1" s="1"/>
  <c r="J28" i="1"/>
  <c r="K28" i="1" s="1"/>
  <c r="G20" i="1"/>
  <c r="H20" i="1" s="1"/>
  <c r="G17" i="1"/>
  <c r="H17" i="1" s="1"/>
  <c r="K33" i="1"/>
  <c r="K32" i="1"/>
  <c r="J17" i="1"/>
  <c r="K17" i="1" s="1"/>
  <c r="J29" i="1"/>
  <c r="K29" i="1" s="1"/>
  <c r="J20" i="1"/>
  <c r="K20" i="1" s="1"/>
  <c r="G13" i="1"/>
  <c r="H13" i="1" s="1"/>
  <c r="J15" i="1"/>
  <c r="K15" i="1" s="1"/>
  <c r="L15" i="1" s="1"/>
  <c r="M15" i="1" s="1"/>
  <c r="G18" i="1"/>
  <c r="H18" i="1" s="1"/>
  <c r="L18" i="1" s="1"/>
  <c r="M18" i="1" s="1"/>
  <c r="J19" i="1"/>
  <c r="K19" i="1" s="1"/>
  <c r="L19" i="1" s="1"/>
  <c r="M19" i="1" s="1"/>
  <c r="J21" i="1"/>
  <c r="K21" i="1" s="1"/>
  <c r="L21" i="1" s="1"/>
  <c r="M21" i="1" s="1"/>
  <c r="G23" i="1"/>
  <c r="H23" i="1" s="1"/>
  <c r="L23" i="1" s="1"/>
  <c r="M23" i="1" s="1"/>
  <c r="J25" i="1"/>
  <c r="K25" i="1" s="1"/>
  <c r="L25" i="1" s="1"/>
  <c r="M25" i="1" s="1"/>
  <c r="L32" i="1" l="1"/>
  <c r="M32" i="1" s="1"/>
  <c r="L33" i="1"/>
  <c r="M33" i="1" s="1"/>
  <c r="L17" i="1"/>
  <c r="M17" i="1" s="1"/>
  <c r="K16" i="1"/>
  <c r="K24" i="1" s="1"/>
  <c r="L28" i="1"/>
  <c r="M28" i="1" s="1"/>
  <c r="H16" i="1"/>
  <c r="L13" i="1"/>
  <c r="M13" i="1" s="1"/>
  <c r="L20" i="1"/>
  <c r="M20" i="1" s="1"/>
  <c r="L29" i="1"/>
  <c r="M29" i="1" s="1"/>
  <c r="K27" i="1" l="1"/>
  <c r="K35" i="1" s="1"/>
  <c r="K37" i="1" s="1"/>
  <c r="H24" i="1"/>
  <c r="L24" i="1" s="1"/>
  <c r="L16" i="1"/>
  <c r="M16" i="1" s="1"/>
  <c r="K36" i="1" l="1"/>
  <c r="K38" i="1" s="1"/>
  <c r="M24" i="1"/>
  <c r="H27" i="1"/>
  <c r="H35" i="1" l="1"/>
  <c r="L27" i="1"/>
  <c r="M27" i="1" s="1"/>
  <c r="H37" i="1" l="1"/>
  <c r="L37" i="1" s="1"/>
  <c r="H36" i="1"/>
  <c r="L35" i="1"/>
  <c r="M35" i="1" s="1"/>
  <c r="H38" i="1" l="1"/>
  <c r="L38" i="1" s="1"/>
  <c r="M38" i="1" s="1"/>
  <c r="L36" i="1"/>
  <c r="M36" i="1" s="1"/>
</calcChain>
</file>

<file path=xl/sharedStrings.xml><?xml version="1.0" encoding="utf-8"?>
<sst xmlns="http://schemas.openxmlformats.org/spreadsheetml/2006/main" count="155" uniqueCount="48">
  <si>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</si>
  <si>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</si>
  <si>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</si>
  <si>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</si>
  <si>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</si>
  <si>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</si>
  <si>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</si>
  <si>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</si>
  <si>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</si>
  <si>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</si>
  <si>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</si>
  <si>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</si>
  <si>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</si>
  <si>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</si>
  <si>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</si>
  <si>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</si>
  <si>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</si>
  <si>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</si>
  <si>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</si>
  <si>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</si>
  <si>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</si>
  <si>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</si>
  <si>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</si>
  <si>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</si>
  <si>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</si>
  <si>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 xml:space="preserve">Smart Meter Entity Charge (if applicable) and/or any fixed ($) Deferral/Variance Account Rate Riders
</t>
  </si>
  <si>
    <t>Additional Volumetric Rate Riders (Sheet 18)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</si>
  <si>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</si>
  <si>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</si>
  <si>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</si>
  <si>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</si>
  <si>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</si>
  <si>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</si>
  <si>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</si>
  <si>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</si>
  <si>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Total Bill on TOU (before Taxes)</t>
  </si>
  <si>
    <t>HST</t>
  </si>
  <si>
    <t>8% Rebate</t>
  </si>
  <si>
    <t>Total Bill on TOU</t>
  </si>
  <si>
    <t>RPP</t>
  </si>
  <si>
    <t>API Rates 2019</t>
  </si>
  <si>
    <t>RPP - First Tier</t>
  </si>
  <si>
    <t>RPP - Second Tier</t>
  </si>
  <si>
    <t>Effect of DRP</t>
  </si>
  <si>
    <t>Stand-Alone 2019</t>
  </si>
  <si>
    <t>RESIDENTIAL R1(i) SERVICE CLASSIFICATION - 10th Percentile</t>
  </si>
  <si>
    <t>RESIDENTIAL R1(i) SERVICE CLASSIFICATION - OEB Typical</t>
  </si>
  <si>
    <t>RESIDENTIAL R1(ii) SERVICE CLASSIFICATION - OEB Typical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</si>
</sst>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??_-;_-@_-"/>
    <numFmt numFmtId="166" formatCode="0.0000"/>
    <numFmt numFmtId="167" formatCode="_-&quot;$&quot;* #,##0.0000_-;\-&quot;$&quot;* #,##0.0000_-;_-&quot;$&quot;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4" fillId="2" borderId="0" xfId="1" applyFont="1" applyFill="1" applyBorder="1" applyAlignment="1" applyProtection="1">
      <alignment vertical="top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1" fillId="0" borderId="0" xfId="1" applyBorder="1" applyAlignment="1" applyProtection="1">
      <alignment vertical="top"/>
    </xf>
    <xf numFmtId="0" fontId="1" fillId="2" borderId="0" xfId="1" applyFill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top"/>
    </xf>
    <xf numFmtId="0" fontId="1" fillId="0" borderId="0" xfId="1" applyFont="1" applyFill="1" applyAlignment="1" applyProtection="1">
      <alignment vertical="top" wrapText="1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0" fontId="1" fillId="0" borderId="0" xfId="1" applyAlignment="1" applyProtection="1">
      <alignment vertical="center"/>
    </xf>
    <xf numFmtId="0" fontId="1" fillId="0" borderId="0" xfId="1" applyAlignment="1" applyProtection="1">
      <alignment vertical="top" wrapText="1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165" fontId="2" fillId="2" borderId="1" xfId="2" applyNumberFormat="1" applyFont="1" applyFill="1" applyBorder="1" applyAlignment="1" applyProtection="1">
      <alignment horizontal="center" vertical="center"/>
      <protection locked="0"/>
    </xf>
    <xf numFmtId="166" fontId="2" fillId="2" borderId="1" xfId="3" applyNumberFormat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44" fontId="2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44" fontId="6" fillId="0" borderId="7" xfId="4" applyFont="1" applyBorder="1" applyAlignment="1" applyProtection="1">
      <alignment vertical="center"/>
      <protection locked="0"/>
    </xf>
    <xf numFmtId="44" fontId="7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7" xfId="1" applyFont="1" applyFill="1" applyBorder="1" applyAlignment="1" applyProtection="1">
      <alignment vertical="center"/>
      <protection locked="0"/>
    </xf>
    <xf numFmtId="44" fontId="1" fillId="0" borderId="9" xfId="1" applyNumberFormat="1" applyFon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7" fontId="2" fillId="2" borderId="9" xfId="4" applyNumberFormat="1" applyFont="1" applyFill="1" applyBorder="1" applyAlignment="1" applyProtection="1">
      <alignment horizontal="left" vertical="center"/>
      <protection locked="0"/>
    </xf>
    <xf numFmtId="167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7" fontId="2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44" fontId="8" fillId="3" borderId="5" xfId="4" applyFont="1" applyFill="1" applyBorder="1" applyAlignment="1" applyProtection="1">
      <alignment vertical="center"/>
      <protection locked="0"/>
    </xf>
    <xf numFmtId="167" fontId="7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4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165" fontId="1" fillId="4" borderId="9" xfId="2" applyNumberFormat="1" applyFont="1" applyFill="1" applyBorder="1" applyAlignment="1" applyProtection="1">
      <alignment vertical="center"/>
      <protection locked="0"/>
    </xf>
    <xf numFmtId="165" fontId="1" fillId="0" borderId="9" xfId="2" applyNumberFormat="1" applyFont="1" applyFill="1" applyBorder="1" applyAlignment="1" applyProtection="1">
      <alignment vertical="center"/>
      <protection locked="0"/>
    </xf>
    <xf numFmtId="164" fontId="2" fillId="2" borderId="9" xfId="4" applyNumberFormat="1" applyFont="1" applyFill="1" applyBorder="1" applyAlignment="1" applyProtection="1">
      <alignment horizontal="left" vertical="center"/>
      <protection locked="0"/>
    </xf>
    <xf numFmtId="164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1" fillId="3" borderId="1" xfId="1" applyFont="1" applyFill="1" applyBorder="1" applyAlignment="1" applyProtection="1">
      <alignment vertical="center"/>
      <protection locked="0"/>
    </xf>
    <xf numFmtId="44" fontId="2" fillId="3" borderId="5" xfId="1" applyNumberFormat="1" applyFont="1" applyFill="1" applyBorder="1" applyAlignment="1" applyProtection="1">
      <alignment vertical="center"/>
      <protection locked="0"/>
    </xf>
    <xf numFmtId="0" fontId="7" fillId="3" borderId="1" xfId="1" applyFont="1" applyFill="1" applyBorder="1" applyAlignment="1" applyProtection="1">
      <alignment horizontal="left" vertical="center"/>
      <protection locked="0"/>
    </xf>
    <xf numFmtId="0" fontId="1" fillId="3" borderId="5" xfId="1" applyFont="1" applyFill="1" applyBorder="1" applyAlignment="1" applyProtection="1">
      <alignment vertical="center"/>
      <protection locked="0"/>
    </xf>
    <xf numFmtId="0" fontId="1" fillId="0" borderId="11" xfId="1" applyBorder="1" applyAlignment="1" applyProtection="1">
      <alignment vertical="center" wrapText="1"/>
    </xf>
    <xf numFmtId="44" fontId="1" fillId="0" borderId="7" xfId="4" applyFont="1" applyBorder="1" applyAlignment="1" applyProtection="1">
      <alignment vertical="center"/>
      <protection locked="0"/>
    </xf>
    <xf numFmtId="167" fontId="2" fillId="0" borderId="9" xfId="4" applyNumberFormat="1" applyFont="1" applyFill="1" applyBorder="1" applyAlignment="1" applyProtection="1">
      <alignment horizontal="left" vertical="center"/>
      <protection locked="0"/>
    </xf>
    <xf numFmtId="165" fontId="1" fillId="2" borderId="9" xfId="2" applyNumberFormat="1" applyFont="1" applyFill="1" applyBorder="1" applyAlignment="1" applyProtection="1">
      <alignment vertical="center"/>
      <protection locked="0"/>
    </xf>
    <xf numFmtId="167" fontId="7" fillId="0" borderId="9" xfId="4" applyNumberFormat="1" applyFont="1" applyFill="1" applyBorder="1" applyAlignment="1" applyProtection="1">
      <alignment horizontal="left" vertical="center"/>
      <protection locked="0"/>
    </xf>
    <xf numFmtId="0" fontId="1" fillId="5" borderId="12" xfId="1" applyFont="1" applyFill="1" applyBorder="1" applyProtection="1">
      <protection locked="0"/>
    </xf>
    <xf numFmtId="0" fontId="1" fillId="5" borderId="13" xfId="1" applyFill="1" applyBorder="1" applyAlignment="1" applyProtection="1">
      <alignment vertical="top"/>
      <protection locked="0"/>
    </xf>
    <xf numFmtId="167" fontId="1" fillId="5" borderId="14" xfId="4" applyNumberFormat="1" applyFont="1" applyFill="1" applyBorder="1" applyAlignment="1" applyProtection="1">
      <alignment vertical="top"/>
      <protection locked="0"/>
    </xf>
    <xf numFmtId="0" fontId="1" fillId="5" borderId="15" xfId="1" applyFont="1" applyFill="1" applyBorder="1" applyAlignment="1" applyProtection="1">
      <alignment vertical="center"/>
      <protection locked="0"/>
    </xf>
    <xf numFmtId="44" fontId="1" fillId="5" borderId="13" xfId="4" applyFont="1" applyFill="1" applyBorder="1" applyAlignment="1" applyProtection="1">
      <alignment vertical="center"/>
      <protection locked="0"/>
    </xf>
    <xf numFmtId="0" fontId="1" fillId="5" borderId="14" xfId="1" applyFont="1" applyFill="1" applyBorder="1" applyAlignment="1" applyProtection="1">
      <alignment vertical="center"/>
      <protection locked="0"/>
    </xf>
    <xf numFmtId="44" fontId="1" fillId="5" borderId="14" xfId="1" applyNumberFormat="1" applyFont="1" applyFill="1" applyBorder="1" applyAlignment="1" applyProtection="1">
      <alignment vertical="center"/>
      <protection locked="0"/>
    </xf>
    <xf numFmtId="10" fontId="1" fillId="5" borderId="16" xfId="3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44" fontId="2" fillId="0" borderId="17" xfId="1" applyNumberFormat="1" applyFont="1" applyFill="1" applyBorder="1" applyAlignment="1" applyProtection="1">
      <alignment vertical="center"/>
      <protection locked="0"/>
    </xf>
    <xf numFmtId="9" fontId="2" fillId="0" borderId="9" xfId="1" applyNumberFormat="1" applyFont="1" applyFill="1" applyBorder="1" applyAlignment="1" applyProtection="1">
      <alignment vertical="center"/>
      <protection locked="0"/>
    </xf>
    <xf numFmtId="44" fontId="2" fillId="0" borderId="9" xfId="1" applyNumberFormat="1" applyFont="1" applyFill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44" fontId="1" fillId="0" borderId="17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4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0" fontId="1" fillId="6" borderId="2" xfId="1" applyFont="1" applyFill="1" applyBorder="1" applyAlignment="1" applyProtection="1">
      <alignment vertical="top"/>
      <protection locked="0"/>
    </xf>
    <xf numFmtId="0" fontId="1" fillId="6" borderId="11" xfId="1" applyFont="1" applyFill="1" applyBorder="1" applyAlignment="1" applyProtection="1">
      <alignment vertical="center"/>
      <protection locked="0"/>
    </xf>
    <xf numFmtId="44" fontId="2" fillId="6" borderId="17" xfId="1" applyNumberFormat="1" applyFont="1" applyFill="1" applyBorder="1" applyAlignment="1" applyProtection="1">
      <alignment vertical="center"/>
      <protection locked="0"/>
    </xf>
    <xf numFmtId="0" fontId="2" fillId="6" borderId="2" xfId="1" applyFont="1" applyFill="1" applyBorder="1" applyAlignment="1" applyProtection="1">
      <alignment vertical="center"/>
      <protection locked="0"/>
    </xf>
    <xf numFmtId="44" fontId="2" fillId="6" borderId="18" xfId="1" applyNumberFormat="1" applyFont="1" applyFill="1" applyBorder="1" applyAlignment="1" applyProtection="1">
      <alignment vertical="center"/>
      <protection locked="0"/>
    </xf>
    <xf numFmtId="44" fontId="2" fillId="6" borderId="2" xfId="1" applyNumberFormat="1" applyFont="1" applyFill="1" applyBorder="1" applyAlignment="1" applyProtection="1">
      <alignment vertical="center"/>
      <protection locked="0"/>
    </xf>
    <xf numFmtId="10" fontId="2" fillId="6" borderId="10" xfId="3" applyNumberFormat="1" applyFont="1" applyFill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6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4" xfId="1" applyFont="1" applyBorder="1" applyAlignment="1" applyProtection="1">
      <alignment horizontal="center"/>
      <protection locked="0"/>
    </xf>
  </cellXfs>
  <cellStyles count="5">
    <cellStyle name="Comma 4" xfId="2"/>
    <cellStyle name="Currency 2" xfId="4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Departments\Regulatory\ACTIVE%20APPLICATIONS\API_2018_IRM\Models\2018%20IRM%20Rate%20Generator%20Model%20-%20V1.0_API_2017081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D17">
            <v>0.25</v>
          </cell>
        </row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40"/>
  <sheetViews>
    <sheetView showGridLines="0" zoomScaleNormal="100" zoomScaleSheetLayoutView="80" workbookViewId="0">
      <selection activeCell="L17" sqref="L17"/>
    </sheetView>
  </sheetViews>
  <sheetFormatPr defaultRowHeight="15" x14ac:dyDescent="0.25"/>
  <cols>
    <col min="1" max="1" width="1.140625" customWidth="1"/>
    <col min="2" max="2" width="1.42578125" customWidth="1"/>
    <col min="3" max="3" width="3.42578125" customWidth="1"/>
    <col min="4" max="4" width="34.7109375" customWidth="1"/>
    <col min="5" max="5" width="13.140625" customWidth="1"/>
    <col min="6" max="6" width="14.85546875" customWidth="1"/>
    <col min="7" max="7" width="10.28515625" bestFit="1" customWidth="1"/>
    <col min="8" max="8" width="18.140625" customWidth="1"/>
    <col min="9" max="9" width="12.85546875" customWidth="1"/>
    <col min="10" max="10" width="14.28515625" bestFit="1" customWidth="1"/>
    <col min="11" max="11" width="18.85546875" bestFit="1" customWidth="1"/>
    <col min="12" max="12" width="13.5703125" bestFit="1" customWidth="1"/>
    <col min="13" max="13" width="15.85546875" customWidth="1"/>
  </cols>
  <sheetData>
    <row r="2" spans="4:13" x14ac:dyDescent="0.25">
      <c r="D2" s="1" t="s">
        <v>0</v>
      </c>
      <c r="E2" s="99" t="s">
        <v>45</v>
      </c>
      <c r="F2" s="99"/>
      <c r="G2" s="99"/>
      <c r="H2" s="99"/>
      <c r="I2" s="99"/>
      <c r="J2" s="99"/>
      <c r="K2" s="2"/>
      <c r="L2" s="2"/>
      <c r="M2" s="2"/>
    </row>
    <row r="3" spans="4:13" x14ac:dyDescent="0.25">
      <c r="D3" s="1" t="s">
        <v>1</v>
      </c>
      <c r="E3" s="100" t="s">
        <v>39</v>
      </c>
      <c r="F3" s="100"/>
      <c r="G3" s="100"/>
      <c r="H3" s="3"/>
      <c r="I3" s="3"/>
      <c r="J3" s="2"/>
      <c r="K3" s="2"/>
      <c r="L3" s="2"/>
      <c r="M3" s="2"/>
    </row>
    <row r="4" spans="4:13" ht="15.75" x14ac:dyDescent="0.25">
      <c r="D4" s="1" t="s">
        <v>2</v>
      </c>
      <c r="E4" s="25">
        <v>393</v>
      </c>
      <c r="F4" s="4" t="s">
        <v>3</v>
      </c>
      <c r="G4" s="5"/>
      <c r="H4" s="2"/>
      <c r="I4" s="2"/>
      <c r="J4" s="6"/>
      <c r="K4" s="6"/>
      <c r="L4" s="6"/>
      <c r="M4" s="6"/>
    </row>
    <row r="5" spans="4:13" ht="15.75" x14ac:dyDescent="0.25">
      <c r="D5" s="1" t="s">
        <v>4</v>
      </c>
      <c r="E5" s="25">
        <v>0</v>
      </c>
      <c r="F5" s="7" t="s">
        <v>5</v>
      </c>
      <c r="G5" s="8"/>
      <c r="H5" s="9"/>
      <c r="I5" s="9"/>
      <c r="J5" s="9"/>
      <c r="K5" s="2"/>
      <c r="L5" s="2"/>
      <c r="M5" s="2"/>
    </row>
    <row r="6" spans="4:13" x14ac:dyDescent="0.25">
      <c r="D6" s="1" t="s">
        <v>6</v>
      </c>
      <c r="E6" s="26">
        <v>1.0916999999999999</v>
      </c>
      <c r="F6" s="2"/>
      <c r="G6" s="2"/>
      <c r="H6" s="2"/>
      <c r="I6" s="2"/>
      <c r="J6" s="2"/>
      <c r="K6" s="2"/>
      <c r="L6" s="2"/>
      <c r="M6" s="2"/>
    </row>
    <row r="7" spans="4:13" x14ac:dyDescent="0.25">
      <c r="D7" s="1" t="s">
        <v>7</v>
      </c>
      <c r="E7" s="26">
        <v>1.0916999999999999</v>
      </c>
      <c r="F7" s="2"/>
      <c r="G7" s="2"/>
      <c r="H7" s="2"/>
      <c r="I7" s="2"/>
      <c r="J7" s="2"/>
      <c r="K7" s="2"/>
      <c r="L7" s="2"/>
      <c r="M7" s="2"/>
    </row>
    <row r="8" spans="4:13" x14ac:dyDescent="0.25">
      <c r="D8" s="5"/>
      <c r="E8" s="2"/>
      <c r="F8" s="2"/>
      <c r="G8" s="2"/>
      <c r="H8" s="2"/>
      <c r="I8" s="2"/>
      <c r="J8" s="2"/>
      <c r="K8" s="2"/>
      <c r="L8" s="2"/>
      <c r="M8" s="2"/>
    </row>
    <row r="9" spans="4:13" x14ac:dyDescent="0.25">
      <c r="D9" s="5"/>
      <c r="E9" s="10"/>
      <c r="F9" s="90" t="s">
        <v>44</v>
      </c>
      <c r="G9" s="101"/>
      <c r="H9" s="91"/>
      <c r="I9" s="90" t="s">
        <v>40</v>
      </c>
      <c r="J9" s="101"/>
      <c r="K9" s="91"/>
      <c r="L9" s="90" t="s">
        <v>8</v>
      </c>
      <c r="M9" s="91"/>
    </row>
    <row r="10" spans="4:13" x14ac:dyDescent="0.25">
      <c r="D10" s="5"/>
      <c r="E10" s="92"/>
      <c r="F10" s="27" t="s">
        <v>9</v>
      </c>
      <c r="G10" s="27" t="s">
        <v>10</v>
      </c>
      <c r="H10" s="28" t="s">
        <v>11</v>
      </c>
      <c r="I10" s="27" t="s">
        <v>9</v>
      </c>
      <c r="J10" s="29" t="s">
        <v>10</v>
      </c>
      <c r="K10" s="28" t="s">
        <v>11</v>
      </c>
      <c r="L10" s="94" t="s">
        <v>12</v>
      </c>
      <c r="M10" s="96" t="s">
        <v>13</v>
      </c>
    </row>
    <row r="11" spans="4:13" x14ac:dyDescent="0.25">
      <c r="D11" s="5"/>
      <c r="E11" s="93"/>
      <c r="F11" s="30" t="s">
        <v>14</v>
      </c>
      <c r="G11" s="30"/>
      <c r="H11" s="31" t="s">
        <v>14</v>
      </c>
      <c r="I11" s="30" t="s">
        <v>14</v>
      </c>
      <c r="J11" s="31"/>
      <c r="K11" s="31" t="s">
        <v>14</v>
      </c>
      <c r="L11" s="95"/>
      <c r="M11" s="97"/>
    </row>
    <row r="12" spans="4:13" x14ac:dyDescent="0.25">
      <c r="D12" s="11" t="s">
        <v>15</v>
      </c>
      <c r="E12" s="12"/>
      <c r="F12" s="32">
        <v>23.76</v>
      </c>
      <c r="G12" s="33">
        <v>1</v>
      </c>
      <c r="H12" s="34">
        <f>G12*F12</f>
        <v>23.76</v>
      </c>
      <c r="I12" s="35">
        <v>42.34</v>
      </c>
      <c r="J12" s="36">
        <f>G12</f>
        <v>1</v>
      </c>
      <c r="K12" s="34">
        <f>J12*I12</f>
        <v>42.34</v>
      </c>
      <c r="L12" s="37">
        <f t="shared" ref="L12:L31" si="0">K12-H12</f>
        <v>18.580000000000002</v>
      </c>
      <c r="M12" s="38">
        <f>IF(ISERROR(L12/H12), "", L12/H12)</f>
        <v>0.78198653198653201</v>
      </c>
    </row>
    <row r="13" spans="4:13" x14ac:dyDescent="0.25">
      <c r="D13" s="11" t="s">
        <v>16</v>
      </c>
      <c r="E13" s="12"/>
      <c r="F13" s="39">
        <v>1.4999999999999999E-2</v>
      </c>
      <c r="G13" s="33">
        <f>IF($E5&gt;0, $E5, $E4)</f>
        <v>393</v>
      </c>
      <c r="H13" s="34">
        <f t="shared" ref="H13:H22" si="1">G13*F13</f>
        <v>5.8949999999999996</v>
      </c>
      <c r="I13" s="40">
        <v>1.72E-2</v>
      </c>
      <c r="J13" s="36">
        <f>IF($E5&gt;0, $E5, $E4)</f>
        <v>393</v>
      </c>
      <c r="K13" s="34">
        <f>J13*I13</f>
        <v>6.7595999999999998</v>
      </c>
      <c r="L13" s="37">
        <f t="shared" si="0"/>
        <v>0.86460000000000026</v>
      </c>
      <c r="M13" s="38">
        <f t="shared" ref="M13:M22" si="2">IF(ISERROR(L13/H13), "", L13/H13)</f>
        <v>0.14666666666666672</v>
      </c>
    </row>
    <row r="14" spans="4:13" x14ac:dyDescent="0.25">
      <c r="D14" s="11" t="s">
        <v>43</v>
      </c>
      <c r="E14" s="12"/>
      <c r="F14" s="39"/>
      <c r="G14" s="33"/>
      <c r="H14" s="34"/>
      <c r="I14" s="40"/>
      <c r="J14" s="36"/>
      <c r="K14" s="34">
        <f>-(K12+K13-36.86)</f>
        <v>-12.239600000000003</v>
      </c>
      <c r="L14" s="37">
        <f t="shared" ref="L14" si="3">K14-H14</f>
        <v>-12.239600000000003</v>
      </c>
      <c r="M14" s="38" t="str">
        <f t="shared" ref="M14" si="4">IF(ISERROR(L14/H14), "", L14/H14)</f>
        <v/>
      </c>
    </row>
    <row r="15" spans="4:13" x14ac:dyDescent="0.25">
      <c r="D15" s="14" t="s">
        <v>17</v>
      </c>
      <c r="E15" s="12"/>
      <c r="F15" s="32">
        <v>27.72</v>
      </c>
      <c r="G15" s="33">
        <v>1</v>
      </c>
      <c r="H15" s="34">
        <f t="shared" si="1"/>
        <v>27.72</v>
      </c>
      <c r="I15" s="35">
        <v>11.16</v>
      </c>
      <c r="J15" s="36">
        <f>G15</f>
        <v>1</v>
      </c>
      <c r="K15" s="34">
        <f>J15*I15</f>
        <v>11.16</v>
      </c>
      <c r="L15" s="37">
        <f t="shared" si="0"/>
        <v>-16.559999999999999</v>
      </c>
      <c r="M15" s="38">
        <f t="shared" si="2"/>
        <v>-0.59740259740259738</v>
      </c>
    </row>
    <row r="16" spans="4:13" x14ac:dyDescent="0.25">
      <c r="D16" s="11" t="s">
        <v>18</v>
      </c>
      <c r="E16" s="12"/>
      <c r="F16" s="39">
        <v>0</v>
      </c>
      <c r="G16" s="33">
        <f>IF($E5&gt;0, $E5, $E4)</f>
        <v>393</v>
      </c>
      <c r="H16" s="34">
        <f t="shared" si="1"/>
        <v>0</v>
      </c>
      <c r="I16" s="40">
        <v>-1.9E-3</v>
      </c>
      <c r="J16" s="36">
        <f>IF($E5&gt;0, $E5, $E4)</f>
        <v>393</v>
      </c>
      <c r="K16" s="34">
        <f t="shared" ref="K16:K22" si="5">J16*I16</f>
        <v>-0.74670000000000003</v>
      </c>
      <c r="L16" s="37">
        <f t="shared" si="0"/>
        <v>-0.74670000000000003</v>
      </c>
      <c r="M16" s="38" t="str">
        <f t="shared" si="2"/>
        <v/>
      </c>
    </row>
    <row r="17" spans="4:13" x14ac:dyDescent="0.25">
      <c r="D17" s="41" t="s">
        <v>19</v>
      </c>
      <c r="E17" s="42"/>
      <c r="F17" s="43"/>
      <c r="G17" s="44"/>
      <c r="H17" s="45">
        <f>SUM(H12:H16)</f>
        <v>57.375</v>
      </c>
      <c r="I17" s="46"/>
      <c r="J17" s="47"/>
      <c r="K17" s="45">
        <f>SUM(K12:K16)</f>
        <v>47.273299999999999</v>
      </c>
      <c r="L17" s="48">
        <f t="shared" si="0"/>
        <v>-10.101700000000001</v>
      </c>
      <c r="M17" s="49">
        <f>IF((H17)=0,"",(L17/H17))</f>
        <v>-0.17606448801742922</v>
      </c>
    </row>
    <row r="18" spans="4:13" x14ac:dyDescent="0.25">
      <c r="D18" s="15" t="s">
        <v>20</v>
      </c>
      <c r="E18" s="12"/>
      <c r="F18" s="39">
        <f>(F33*G33+F34*G34)/(G33+G34)</f>
        <v>7.6999999999999999E-2</v>
      </c>
      <c r="G18" s="50">
        <f>IF(F18=0, 0, $E4*E6-E4)</f>
        <v>36.038099999999986</v>
      </c>
      <c r="H18" s="34">
        <f>G18*F18</f>
        <v>2.7749336999999987</v>
      </c>
      <c r="I18" s="39">
        <f>(I33*J33+I34*J34)/(J33+J34)</f>
        <v>7.6999999999999999E-2</v>
      </c>
      <c r="J18" s="50">
        <f>IF(I18=0, 0, E4*E7-E4)</f>
        <v>36.038099999999986</v>
      </c>
      <c r="K18" s="34">
        <f>J18*I18</f>
        <v>2.7749336999999987</v>
      </c>
      <c r="L18" s="37">
        <f>K18-H18</f>
        <v>0</v>
      </c>
      <c r="M18" s="38">
        <f>IF(ISERROR(L18/H18), "", L18/H18)</f>
        <v>0</v>
      </c>
    </row>
    <row r="19" spans="4:13" ht="25.5" x14ac:dyDescent="0.25">
      <c r="D19" s="15" t="s">
        <v>21</v>
      </c>
      <c r="E19" s="12"/>
      <c r="F19" s="39">
        <v>0</v>
      </c>
      <c r="G19" s="51">
        <f>IF($E5&gt;0, $E5, $E4)</f>
        <v>393</v>
      </c>
      <c r="H19" s="34">
        <f t="shared" si="1"/>
        <v>0</v>
      </c>
      <c r="I19" s="40">
        <v>-1.1000000000000001E-3</v>
      </c>
      <c r="J19" s="51">
        <f>IF($E5&gt;0, $E5, $E4)</f>
        <v>393</v>
      </c>
      <c r="K19" s="34">
        <f t="shared" si="5"/>
        <v>-0.43230000000000002</v>
      </c>
      <c r="L19" s="37">
        <f t="shared" si="0"/>
        <v>-0.43230000000000002</v>
      </c>
      <c r="M19" s="38" t="str">
        <f t="shared" si="2"/>
        <v/>
      </c>
    </row>
    <row r="20" spans="4:13" x14ac:dyDescent="0.25">
      <c r="D20" s="15" t="s">
        <v>22</v>
      </c>
      <c r="E20" s="12"/>
      <c r="F20" s="39">
        <v>0</v>
      </c>
      <c r="G20" s="51">
        <f>IF($E5&gt;0, $E5, $E4)</f>
        <v>393</v>
      </c>
      <c r="H20" s="34">
        <f>G20*F20</f>
        <v>0</v>
      </c>
      <c r="I20" s="40">
        <v>0</v>
      </c>
      <c r="J20" s="51">
        <f>IF($E5&gt;0, $E5, $E4)</f>
        <v>393</v>
      </c>
      <c r="K20" s="34">
        <f>J20*I20</f>
        <v>0</v>
      </c>
      <c r="L20" s="37">
        <f t="shared" si="0"/>
        <v>0</v>
      </c>
      <c r="M20" s="38" t="str">
        <f t="shared" si="2"/>
        <v/>
      </c>
    </row>
    <row r="21" spans="4:13" x14ac:dyDescent="0.25">
      <c r="D21" s="15" t="s">
        <v>23</v>
      </c>
      <c r="E21" s="12"/>
      <c r="F21" s="39">
        <v>0</v>
      </c>
      <c r="G21" s="51">
        <f>E4</f>
        <v>393</v>
      </c>
      <c r="H21" s="34">
        <f>G21*F21</f>
        <v>0</v>
      </c>
      <c r="I21" s="40">
        <v>0</v>
      </c>
      <c r="J21" s="51">
        <f>E4</f>
        <v>393</v>
      </c>
      <c r="K21" s="34">
        <f t="shared" si="5"/>
        <v>0</v>
      </c>
      <c r="L21" s="37">
        <f t="shared" si="0"/>
        <v>0</v>
      </c>
      <c r="M21" s="38" t="str">
        <f t="shared" si="2"/>
        <v/>
      </c>
    </row>
    <row r="22" spans="4:13" x14ac:dyDescent="0.25">
      <c r="D22" s="16" t="s">
        <v>24</v>
      </c>
      <c r="E22" s="12"/>
      <c r="F22" s="39">
        <v>1.52E-2</v>
      </c>
      <c r="G22" s="51">
        <f>IF($E5&gt;0, $E5, $E4)</f>
        <v>393</v>
      </c>
      <c r="H22" s="34">
        <f t="shared" si="1"/>
        <v>5.9736000000000002</v>
      </c>
      <c r="I22" s="40"/>
      <c r="J22" s="51">
        <f>IF($E5&gt;0, $E5, $E4)</f>
        <v>393</v>
      </c>
      <c r="K22" s="34">
        <f t="shared" si="5"/>
        <v>0</v>
      </c>
      <c r="L22" s="37">
        <f t="shared" si="0"/>
        <v>-5.9736000000000002</v>
      </c>
      <c r="M22" s="38">
        <f t="shared" si="2"/>
        <v>-1</v>
      </c>
    </row>
    <row r="23" spans="4:13" ht="51" x14ac:dyDescent="0.25">
      <c r="D23" s="17" t="s">
        <v>25</v>
      </c>
      <c r="E23" s="12"/>
      <c r="F23" s="52">
        <v>0</v>
      </c>
      <c r="G23" s="33">
        <v>1</v>
      </c>
      <c r="H23" s="34">
        <f>G23*F23</f>
        <v>0</v>
      </c>
      <c r="I23" s="53">
        <v>0.56999999999999995</v>
      </c>
      <c r="J23" s="33">
        <v>1</v>
      </c>
      <c r="K23" s="34">
        <f>J23*I23</f>
        <v>0.56999999999999995</v>
      </c>
      <c r="L23" s="37">
        <f t="shared" si="0"/>
        <v>0.56999999999999995</v>
      </c>
      <c r="M23" s="38" t="str">
        <f>IF(ISERROR(L23/H23), "", L23/H23)</f>
        <v/>
      </c>
    </row>
    <row r="24" spans="4:13" x14ac:dyDescent="0.25">
      <c r="D24" s="16" t="s">
        <v>26</v>
      </c>
      <c r="E24" s="12"/>
      <c r="F24" s="39"/>
      <c r="G24" s="51">
        <f>IF($E5&gt;0, $E5, $E4)</f>
        <v>393</v>
      </c>
      <c r="H24" s="34">
        <f>G24*F24</f>
        <v>0</v>
      </c>
      <c r="I24" s="40">
        <v>0</v>
      </c>
      <c r="J24" s="51">
        <f>IF($E5&gt;0, $E5, $E4)</f>
        <v>393</v>
      </c>
      <c r="K24" s="34">
        <f>J24*I24</f>
        <v>0</v>
      </c>
      <c r="L24" s="37">
        <f t="shared" si="0"/>
        <v>0</v>
      </c>
      <c r="M24" s="38" t="str">
        <f>IF(ISERROR(L24/H24), "", L24/H24)</f>
        <v/>
      </c>
    </row>
    <row r="25" spans="4:13" ht="25.5" x14ac:dyDescent="0.25">
      <c r="D25" s="54" t="s">
        <v>27</v>
      </c>
      <c r="E25" s="55"/>
      <c r="F25" s="56"/>
      <c r="G25" s="57"/>
      <c r="H25" s="58">
        <f>SUM(H17:H24)</f>
        <v>66.123533699999996</v>
      </c>
      <c r="I25" s="59"/>
      <c r="J25" s="60"/>
      <c r="K25" s="58">
        <f>SUM(K17:K24)</f>
        <v>50.1859337</v>
      </c>
      <c r="L25" s="48">
        <f t="shared" si="0"/>
        <v>-15.937599999999996</v>
      </c>
      <c r="M25" s="49">
        <f>IF((H25)=0,"",(L25/H25))</f>
        <v>-0.24102765094660991</v>
      </c>
    </row>
    <row r="26" spans="4:13" x14ac:dyDescent="0.25">
      <c r="D26" s="18" t="s">
        <v>28</v>
      </c>
      <c r="E26" s="12"/>
      <c r="F26" s="39">
        <v>0</v>
      </c>
      <c r="G26" s="50">
        <f>IF($E5&gt;0, $E5, $E4*$E6)</f>
        <v>429.03809999999999</v>
      </c>
      <c r="H26" s="34">
        <f>G26*F26</f>
        <v>0</v>
      </c>
      <c r="I26" s="40">
        <v>6.6E-3</v>
      </c>
      <c r="J26" s="50">
        <f>IF($E5&gt;0, $E5, $E4*$E7)</f>
        <v>429.03809999999999</v>
      </c>
      <c r="K26" s="34">
        <f>J26*I26</f>
        <v>2.8316514599999998</v>
      </c>
      <c r="L26" s="37">
        <f t="shared" si="0"/>
        <v>2.8316514599999998</v>
      </c>
      <c r="M26" s="38" t="str">
        <f>IF(ISERROR(L26/H26), "", L26/H26)</f>
        <v/>
      </c>
    </row>
    <row r="27" spans="4:13" ht="25.5" x14ac:dyDescent="0.25">
      <c r="D27" s="61" t="s">
        <v>29</v>
      </c>
      <c r="E27" s="12"/>
      <c r="F27" s="39">
        <v>0</v>
      </c>
      <c r="G27" s="50">
        <f>IF($E5&gt;0, $E5, $E4*$E6)</f>
        <v>429.03809999999999</v>
      </c>
      <c r="H27" s="34">
        <f>G27*F27</f>
        <v>0</v>
      </c>
      <c r="I27" s="40">
        <v>6.0000000000000001E-3</v>
      </c>
      <c r="J27" s="50">
        <f>IF($E5&gt;0, $E5, $E4*$E7)</f>
        <v>429.03809999999999</v>
      </c>
      <c r="K27" s="34">
        <f>J27*I27</f>
        <v>2.5742286000000001</v>
      </c>
      <c r="L27" s="37">
        <f t="shared" si="0"/>
        <v>2.5742286000000001</v>
      </c>
      <c r="M27" s="38" t="str">
        <f>IF(ISERROR(L27/H27), "", L27/H27)</f>
        <v/>
      </c>
    </row>
    <row r="28" spans="4:13" ht="25.5" x14ac:dyDescent="0.25">
      <c r="D28" s="54" t="s">
        <v>30</v>
      </c>
      <c r="E28" s="42"/>
      <c r="F28" s="56"/>
      <c r="G28" s="57"/>
      <c r="H28" s="58">
        <f>SUM(H25:H27)</f>
        <v>66.123533699999996</v>
      </c>
      <c r="I28" s="59"/>
      <c r="J28" s="47"/>
      <c r="K28" s="58">
        <f>SUM(K25:K27)</f>
        <v>55.591813759999994</v>
      </c>
      <c r="L28" s="48">
        <f t="shared" si="0"/>
        <v>-10.531719940000002</v>
      </c>
      <c r="M28" s="49">
        <f>IF((H28)=0,"",(L28/H28))</f>
        <v>-0.15927339860241019</v>
      </c>
    </row>
    <row r="29" spans="4:13" ht="25.5" x14ac:dyDescent="0.25">
      <c r="D29" s="19" t="s">
        <v>31</v>
      </c>
      <c r="E29" s="12"/>
      <c r="F29" s="39">
        <v>3.5999999999999999E-3</v>
      </c>
      <c r="G29" s="50">
        <f>E4*E6</f>
        <v>429.03809999999999</v>
      </c>
      <c r="H29" s="62">
        <f t="shared" ref="H29:H34" si="6">G29*F29</f>
        <v>1.54453716</v>
      </c>
      <c r="I29" s="40">
        <v>3.6000000000000003E-3</v>
      </c>
      <c r="J29" s="50">
        <f>E4*E7</f>
        <v>429.03809999999999</v>
      </c>
      <c r="K29" s="62">
        <f t="shared" ref="K29:K34" si="7">J29*I29</f>
        <v>1.5445371600000002</v>
      </c>
      <c r="L29" s="37">
        <f t="shared" si="0"/>
        <v>0</v>
      </c>
      <c r="M29" s="38">
        <f t="shared" ref="M29:M34" si="8">IF(ISERROR(L29/H29), "", L29/H29)</f>
        <v>0</v>
      </c>
    </row>
    <row r="30" spans="4:13" ht="25.5" x14ac:dyDescent="0.25">
      <c r="D30" s="19" t="s">
        <v>32</v>
      </c>
      <c r="E30" s="12"/>
      <c r="F30" s="39">
        <v>2.9999999999999997E-4</v>
      </c>
      <c r="G30" s="50">
        <f>E4*E6</f>
        <v>429.03809999999999</v>
      </c>
      <c r="H30" s="62">
        <f t="shared" si="6"/>
        <v>0.12871142999999999</v>
      </c>
      <c r="I30" s="40">
        <v>2.9999999999999997E-4</v>
      </c>
      <c r="J30" s="50">
        <f>E4*E7</f>
        <v>429.03809999999999</v>
      </c>
      <c r="K30" s="62">
        <f t="shared" si="7"/>
        <v>0.12871142999999999</v>
      </c>
      <c r="L30" s="37">
        <f t="shared" si="0"/>
        <v>0</v>
      </c>
      <c r="M30" s="38">
        <f t="shared" si="8"/>
        <v>0</v>
      </c>
    </row>
    <row r="31" spans="4:13" x14ac:dyDescent="0.25">
      <c r="D31" s="20" t="s">
        <v>33</v>
      </c>
      <c r="E31" s="12"/>
      <c r="F31" s="52">
        <v>0.25</v>
      </c>
      <c r="G31" s="33">
        <v>1</v>
      </c>
      <c r="H31" s="62">
        <f t="shared" si="6"/>
        <v>0.25</v>
      </c>
      <c r="I31" s="53">
        <f>'[1]17. Regulatory Charges'!$D$17</f>
        <v>0.25</v>
      </c>
      <c r="J31" s="36">
        <v>1</v>
      </c>
      <c r="K31" s="62">
        <f t="shared" si="7"/>
        <v>0.25</v>
      </c>
      <c r="L31" s="37">
        <f t="shared" si="0"/>
        <v>0</v>
      </c>
      <c r="M31" s="38">
        <f t="shared" si="8"/>
        <v>0</v>
      </c>
    </row>
    <row r="32" spans="4:13" ht="25.5" x14ac:dyDescent="0.25">
      <c r="D32" s="19" t="s">
        <v>34</v>
      </c>
      <c r="E32" s="12"/>
      <c r="F32" s="39"/>
      <c r="G32" s="50"/>
      <c r="H32" s="62"/>
      <c r="I32" s="40"/>
      <c r="J32" s="50"/>
      <c r="K32" s="62"/>
      <c r="L32" s="37"/>
      <c r="M32" s="38"/>
    </row>
    <row r="33" spans="4:13" x14ac:dyDescent="0.25">
      <c r="D33" s="21" t="s">
        <v>41</v>
      </c>
      <c r="E33" s="12"/>
      <c r="F33" s="63">
        <v>7.6999999999999999E-2</v>
      </c>
      <c r="G33" s="64">
        <f>IF(E4-1000&gt;0,1000,E4)</f>
        <v>393</v>
      </c>
      <c r="H33" s="62">
        <f t="shared" si="6"/>
        <v>30.260999999999999</v>
      </c>
      <c r="I33" s="65">
        <f>F33</f>
        <v>7.6999999999999999E-2</v>
      </c>
      <c r="J33" s="64">
        <f>G33</f>
        <v>393</v>
      </c>
      <c r="K33" s="62">
        <f t="shared" si="7"/>
        <v>30.260999999999999</v>
      </c>
      <c r="L33" s="37">
        <f>K33-H33</f>
        <v>0</v>
      </c>
      <c r="M33" s="38">
        <f t="shared" si="8"/>
        <v>0</v>
      </c>
    </row>
    <row r="34" spans="4:13" ht="15.75" thickBot="1" x14ac:dyDescent="0.3">
      <c r="D34" s="21" t="s">
        <v>42</v>
      </c>
      <c r="E34" s="12"/>
      <c r="F34" s="63">
        <v>8.8999999999999996E-2</v>
      </c>
      <c r="G34" s="64">
        <f>IF(E4-1000&gt;0,E4-1000,0)</f>
        <v>0</v>
      </c>
      <c r="H34" s="62">
        <f t="shared" si="6"/>
        <v>0</v>
      </c>
      <c r="I34" s="65">
        <f>F34</f>
        <v>8.8999999999999996E-2</v>
      </c>
      <c r="J34" s="64">
        <f>G34</f>
        <v>0</v>
      </c>
      <c r="K34" s="62">
        <f t="shared" si="7"/>
        <v>0</v>
      </c>
      <c r="L34" s="37">
        <f>K34-H34</f>
        <v>0</v>
      </c>
      <c r="M34" s="38" t="str">
        <f t="shared" si="8"/>
        <v/>
      </c>
    </row>
    <row r="35" spans="4:13" ht="15.75" thickBot="1" x14ac:dyDescent="0.3">
      <c r="D35" s="66"/>
      <c r="E35" s="67"/>
      <c r="F35" s="68"/>
      <c r="G35" s="69"/>
      <c r="H35" s="70"/>
      <c r="I35" s="68"/>
      <c r="J35" s="71"/>
      <c r="K35" s="70"/>
      <c r="L35" s="72"/>
      <c r="M35" s="73"/>
    </row>
    <row r="36" spans="4:13" x14ac:dyDescent="0.25">
      <c r="D36" s="22" t="s">
        <v>35</v>
      </c>
      <c r="E36" s="20"/>
      <c r="F36" s="74"/>
      <c r="G36" s="23"/>
      <c r="H36" s="75">
        <f>SUM(H29:H34,H28)</f>
        <v>98.307782289999992</v>
      </c>
      <c r="I36" s="76"/>
      <c r="J36" s="76"/>
      <c r="K36" s="75">
        <f>SUM(K29:K34,K28)</f>
        <v>87.776062349999989</v>
      </c>
      <c r="L36" s="77">
        <f>K36-H36</f>
        <v>-10.531719940000002</v>
      </c>
      <c r="M36" s="78">
        <f>IF((H36)=0,"",(L36/H36))</f>
        <v>-0.10713007347609858</v>
      </c>
    </row>
    <row r="37" spans="4:13" x14ac:dyDescent="0.25">
      <c r="D37" s="24" t="s">
        <v>36</v>
      </c>
      <c r="E37" s="20"/>
      <c r="F37" s="74">
        <v>0.13</v>
      </c>
      <c r="G37" s="13"/>
      <c r="H37" s="79">
        <f>H36*F37</f>
        <v>12.780011697699999</v>
      </c>
      <c r="I37" s="80">
        <v>0.13</v>
      </c>
      <c r="J37" s="33"/>
      <c r="K37" s="79">
        <f>K36*I37</f>
        <v>11.4108881055</v>
      </c>
      <c r="L37" s="81">
        <f>K37-H37</f>
        <v>-1.3691235921999994</v>
      </c>
      <c r="M37" s="82">
        <f>IF((H37)=0,"",(L37/H37))</f>
        <v>-0.10713007347609851</v>
      </c>
    </row>
    <row r="38" spans="4:13" x14ac:dyDescent="0.25">
      <c r="D38" s="24" t="s">
        <v>37</v>
      </c>
      <c r="E38" s="20"/>
      <c r="F38" s="74">
        <v>0.08</v>
      </c>
      <c r="G38" s="13"/>
      <c r="H38" s="79">
        <f>H36*-F38</f>
        <v>-7.8646225831999992</v>
      </c>
      <c r="I38" s="74">
        <v>0.08</v>
      </c>
      <c r="J38" s="33"/>
      <c r="K38" s="79">
        <f>K36*-I38</f>
        <v>-7.0220849879999996</v>
      </c>
      <c r="L38" s="81">
        <f>K38-H38</f>
        <v>0.8425375951999996</v>
      </c>
      <c r="M38" s="82"/>
    </row>
    <row r="39" spans="4:13" ht="15.75" customHeight="1" thickBot="1" x14ac:dyDescent="0.3">
      <c r="D39" s="98" t="s">
        <v>38</v>
      </c>
      <c r="E39" s="98"/>
      <c r="F39" s="83"/>
      <c r="G39" s="84"/>
      <c r="H39" s="85">
        <f>H36+H37+H38</f>
        <v>103.22317140449999</v>
      </c>
      <c r="I39" s="86"/>
      <c r="J39" s="86"/>
      <c r="K39" s="87">
        <f>K36+K37+K38</f>
        <v>92.164865467499979</v>
      </c>
      <c r="L39" s="88">
        <f>K39-H39</f>
        <v>-11.058305937000014</v>
      </c>
      <c r="M39" s="89">
        <f>IF((H39)=0,"",(L39/H39))</f>
        <v>-0.10713007347609869</v>
      </c>
    </row>
    <row r="40" spans="4:13" ht="15.75" thickBot="1" x14ac:dyDescent="0.3">
      <c r="D40" s="66"/>
      <c r="E40" s="67"/>
      <c r="F40" s="68"/>
      <c r="G40" s="69"/>
      <c r="H40" s="70"/>
      <c r="I40" s="68"/>
      <c r="J40" s="71"/>
      <c r="K40" s="70"/>
      <c r="L40" s="72"/>
      <c r="M40" s="73"/>
    </row>
  </sheetData>
  <mergeCells count="9">
    <mergeCell ref="E2:J2"/>
    <mergeCell ref="E3:G3"/>
    <mergeCell ref="F9:H9"/>
    <mergeCell ref="I9:K9"/>
    <mergeCell ref="L9:M9"/>
    <mergeCell ref="E10:E11"/>
    <mergeCell ref="L10:L11"/>
    <mergeCell ref="M10:M11"/>
    <mergeCell ref="D39:E39"/>
  </mergeCells>
  <dataValidations count="1">
    <dataValidation type="list" allowBlank="1" showInputMessage="1" showErrorMessage="1" prompt="Select Charge Unit - monthly, per kWh, per kW" sqref="E40 E35">
      <formula1>"Monthly, per kWh, per kW"</formula1>
    </dataValidation>
  </dataValidations>
  <pageMargins left="0.7" right="0.7" top="0.75" bottom="0.75" header="0.3" footer="0.3"/>
  <pageSetup scale="66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40"/>
  <sheetViews>
    <sheetView showGridLines="0" topLeftCell="A10" zoomScaleNormal="100" zoomScaleSheetLayoutView="80" workbookViewId="0">
      <selection activeCell="L17" sqref="L17"/>
    </sheetView>
  </sheetViews>
  <sheetFormatPr defaultRowHeight="15" x14ac:dyDescent="0.25"/>
  <cols>
    <col min="1" max="1" width="1.140625" customWidth="1"/>
    <col min="2" max="2" width="1.42578125" customWidth="1"/>
    <col min="3" max="3" width="3.42578125" customWidth="1"/>
    <col min="4" max="4" width="34.7109375" customWidth="1"/>
    <col min="5" max="5" width="13.140625" customWidth="1"/>
    <col min="6" max="6" width="14.85546875" customWidth="1"/>
    <col min="7" max="7" width="10.28515625" bestFit="1" customWidth="1"/>
    <col min="8" max="8" width="18.140625" customWidth="1"/>
    <col min="9" max="9" width="12.85546875" customWidth="1"/>
    <col min="10" max="10" width="14.28515625" bestFit="1" customWidth="1"/>
    <col min="11" max="11" width="18.85546875" bestFit="1" customWidth="1"/>
    <col min="12" max="12" width="13.5703125" bestFit="1" customWidth="1"/>
    <col min="13" max="13" width="15.85546875" customWidth="1"/>
  </cols>
  <sheetData>
    <row r="2" spans="4:13" x14ac:dyDescent="0.25">
      <c r="D2" s="1" t="s">
        <v>0</v>
      </c>
      <c r="E2" s="99" t="s">
        <v>46</v>
      </c>
      <c r="F2" s="99"/>
      <c r="G2" s="99"/>
      <c r="H2" s="99"/>
      <c r="I2" s="99"/>
      <c r="J2" s="99"/>
      <c r="K2" s="2"/>
      <c r="L2" s="2"/>
      <c r="M2" s="2"/>
    </row>
    <row r="3" spans="4:13" x14ac:dyDescent="0.25">
      <c r="D3" s="1" t="s">
        <v>1</v>
      </c>
      <c r="E3" s="100" t="s">
        <v>39</v>
      </c>
      <c r="F3" s="100"/>
      <c r="G3" s="100"/>
      <c r="H3" s="3"/>
      <c r="I3" s="3"/>
      <c r="J3" s="2"/>
      <c r="K3" s="2"/>
      <c r="L3" s="2"/>
      <c r="M3" s="2"/>
    </row>
    <row r="4" spans="4:13" ht="15.75" x14ac:dyDescent="0.25">
      <c r="D4" s="1" t="s">
        <v>2</v>
      </c>
      <c r="E4" s="25">
        <v>750</v>
      </c>
      <c r="F4" s="4" t="s">
        <v>3</v>
      </c>
      <c r="G4" s="5"/>
      <c r="H4" s="2"/>
      <c r="I4" s="2"/>
      <c r="J4" s="6"/>
      <c r="K4" s="6"/>
      <c r="L4" s="6"/>
      <c r="M4" s="6"/>
    </row>
    <row r="5" spans="4:13" ht="15.75" x14ac:dyDescent="0.25">
      <c r="D5" s="1" t="s">
        <v>4</v>
      </c>
      <c r="E5" s="25">
        <v>0</v>
      </c>
      <c r="F5" s="7" t="s">
        <v>5</v>
      </c>
      <c r="G5" s="8"/>
      <c r="H5" s="9"/>
      <c r="I5" s="9"/>
      <c r="J5" s="9"/>
      <c r="K5" s="2"/>
      <c r="L5" s="2"/>
      <c r="M5" s="2"/>
    </row>
    <row r="6" spans="4:13" x14ac:dyDescent="0.25">
      <c r="D6" s="1" t="s">
        <v>6</v>
      </c>
      <c r="E6" s="26">
        <v>1.0916999999999999</v>
      </c>
      <c r="F6" s="2"/>
      <c r="G6" s="2"/>
      <c r="H6" s="2"/>
      <c r="I6" s="2"/>
      <c r="J6" s="2"/>
      <c r="K6" s="2"/>
      <c r="L6" s="2"/>
      <c r="M6" s="2"/>
    </row>
    <row r="7" spans="4:13" x14ac:dyDescent="0.25">
      <c r="D7" s="1" t="s">
        <v>7</v>
      </c>
      <c r="E7" s="26">
        <v>1.0916999999999999</v>
      </c>
      <c r="F7" s="2"/>
      <c r="G7" s="2"/>
      <c r="H7" s="2"/>
      <c r="I7" s="2"/>
      <c r="J7" s="2"/>
      <c r="K7" s="2"/>
      <c r="L7" s="2"/>
      <c r="M7" s="2"/>
    </row>
    <row r="8" spans="4:13" x14ac:dyDescent="0.25">
      <c r="D8" s="5"/>
      <c r="E8" s="2"/>
      <c r="F8" s="2"/>
      <c r="G8" s="2"/>
      <c r="H8" s="2"/>
      <c r="I8" s="2"/>
      <c r="J8" s="2"/>
      <c r="K8" s="2"/>
      <c r="L8" s="2"/>
      <c r="M8" s="2"/>
    </row>
    <row r="9" spans="4:13" x14ac:dyDescent="0.25">
      <c r="D9" s="5"/>
      <c r="E9" s="10"/>
      <c r="F9" s="90" t="s">
        <v>44</v>
      </c>
      <c r="G9" s="101"/>
      <c r="H9" s="91"/>
      <c r="I9" s="90" t="s">
        <v>40</v>
      </c>
      <c r="J9" s="101"/>
      <c r="K9" s="91"/>
      <c r="L9" s="90" t="s">
        <v>8</v>
      </c>
      <c r="M9" s="91"/>
    </row>
    <row r="10" spans="4:13" x14ac:dyDescent="0.25">
      <c r="D10" s="5"/>
      <c r="E10" s="92"/>
      <c r="F10" s="27" t="s">
        <v>9</v>
      </c>
      <c r="G10" s="27" t="s">
        <v>10</v>
      </c>
      <c r="H10" s="28" t="s">
        <v>11</v>
      </c>
      <c r="I10" s="27" t="s">
        <v>9</v>
      </c>
      <c r="J10" s="29" t="s">
        <v>10</v>
      </c>
      <c r="K10" s="28" t="s">
        <v>11</v>
      </c>
      <c r="L10" s="94" t="s">
        <v>12</v>
      </c>
      <c r="M10" s="96" t="s">
        <v>13</v>
      </c>
    </row>
    <row r="11" spans="4:13" x14ac:dyDescent="0.25">
      <c r="D11" s="5"/>
      <c r="E11" s="93"/>
      <c r="F11" s="30" t="s">
        <v>14</v>
      </c>
      <c r="G11" s="30"/>
      <c r="H11" s="31" t="s">
        <v>14</v>
      </c>
      <c r="I11" s="30" t="s">
        <v>14</v>
      </c>
      <c r="J11" s="31"/>
      <c r="K11" s="31" t="s">
        <v>14</v>
      </c>
      <c r="L11" s="95"/>
      <c r="M11" s="97"/>
    </row>
    <row r="12" spans="4:13" x14ac:dyDescent="0.25">
      <c r="D12" s="11" t="s">
        <v>15</v>
      </c>
      <c r="E12" s="12"/>
      <c r="F12" s="32">
        <v>23.76</v>
      </c>
      <c r="G12" s="33">
        <v>1</v>
      </c>
      <c r="H12" s="34">
        <f>G12*F12</f>
        <v>23.76</v>
      </c>
      <c r="I12" s="35">
        <v>42.34</v>
      </c>
      <c r="J12" s="36">
        <f>G12</f>
        <v>1</v>
      </c>
      <c r="K12" s="34">
        <f>J12*I12</f>
        <v>42.34</v>
      </c>
      <c r="L12" s="37">
        <f t="shared" ref="L12:L31" si="0">K12-H12</f>
        <v>18.580000000000002</v>
      </c>
      <c r="M12" s="38">
        <f>IF(ISERROR(L12/H12), "", L12/H12)</f>
        <v>0.78198653198653201</v>
      </c>
    </row>
    <row r="13" spans="4:13" x14ac:dyDescent="0.25">
      <c r="D13" s="11" t="s">
        <v>16</v>
      </c>
      <c r="E13" s="12"/>
      <c r="F13" s="39">
        <v>1.4999999999999999E-2</v>
      </c>
      <c r="G13" s="33">
        <f>IF($E5&gt;0, $E5, $E4)</f>
        <v>750</v>
      </c>
      <c r="H13" s="34">
        <f t="shared" ref="H13:H22" si="1">G13*F13</f>
        <v>11.25</v>
      </c>
      <c r="I13" s="40">
        <v>1.72E-2</v>
      </c>
      <c r="J13" s="36">
        <f>IF($E5&gt;0, $E5, $E4)</f>
        <v>750</v>
      </c>
      <c r="K13" s="34">
        <f>J13*I13</f>
        <v>12.9</v>
      </c>
      <c r="L13" s="37">
        <f t="shared" si="0"/>
        <v>1.6500000000000004</v>
      </c>
      <c r="M13" s="38">
        <f t="shared" ref="M13:M22" si="2">IF(ISERROR(L13/H13), "", L13/H13)</f>
        <v>0.1466666666666667</v>
      </c>
    </row>
    <row r="14" spans="4:13" x14ac:dyDescent="0.25">
      <c r="D14" s="11" t="s">
        <v>43</v>
      </c>
      <c r="E14" s="12"/>
      <c r="F14" s="39"/>
      <c r="G14" s="33"/>
      <c r="H14" s="34"/>
      <c r="I14" s="40"/>
      <c r="J14" s="36"/>
      <c r="K14" s="34">
        <f>-(K12+K13-36.86)</f>
        <v>-18.380000000000003</v>
      </c>
      <c r="L14" s="37">
        <f t="shared" ref="L14" si="3">K14-H14</f>
        <v>-18.380000000000003</v>
      </c>
      <c r="M14" s="38" t="str">
        <f t="shared" ref="M14" si="4">IF(ISERROR(L14/H14), "", L14/H14)</f>
        <v/>
      </c>
    </row>
    <row r="15" spans="4:13" x14ac:dyDescent="0.25">
      <c r="D15" s="14" t="s">
        <v>17</v>
      </c>
      <c r="E15" s="12"/>
      <c r="F15" s="32">
        <v>27.72</v>
      </c>
      <c r="G15" s="33">
        <v>1</v>
      </c>
      <c r="H15" s="34">
        <f t="shared" si="1"/>
        <v>27.72</v>
      </c>
      <c r="I15" s="35">
        <v>11.16</v>
      </c>
      <c r="J15" s="36">
        <f>G15</f>
        <v>1</v>
      </c>
      <c r="K15" s="34">
        <f>J15*I15</f>
        <v>11.16</v>
      </c>
      <c r="L15" s="37">
        <f t="shared" si="0"/>
        <v>-16.559999999999999</v>
      </c>
      <c r="M15" s="38">
        <f t="shared" si="2"/>
        <v>-0.59740259740259738</v>
      </c>
    </row>
    <row r="16" spans="4:13" x14ac:dyDescent="0.25">
      <c r="D16" s="11" t="s">
        <v>18</v>
      </c>
      <c r="E16" s="12"/>
      <c r="F16" s="39">
        <v>0</v>
      </c>
      <c r="G16" s="33">
        <f>IF($E5&gt;0, $E5, $E4)</f>
        <v>750</v>
      </c>
      <c r="H16" s="34">
        <f t="shared" si="1"/>
        <v>0</v>
      </c>
      <c r="I16" s="40">
        <v>-1.9E-3</v>
      </c>
      <c r="J16" s="36">
        <f>IF($E5&gt;0, $E5, $E4)</f>
        <v>750</v>
      </c>
      <c r="K16" s="34">
        <f t="shared" ref="K16:K22" si="5">J16*I16</f>
        <v>-1.425</v>
      </c>
      <c r="L16" s="37">
        <f t="shared" si="0"/>
        <v>-1.425</v>
      </c>
      <c r="M16" s="38" t="str">
        <f t="shared" si="2"/>
        <v/>
      </c>
    </row>
    <row r="17" spans="4:13" x14ac:dyDescent="0.25">
      <c r="D17" s="41" t="s">
        <v>19</v>
      </c>
      <c r="E17" s="42"/>
      <c r="F17" s="43"/>
      <c r="G17" s="44"/>
      <c r="H17" s="45">
        <f>SUM(H12:H16)</f>
        <v>62.730000000000004</v>
      </c>
      <c r="I17" s="46"/>
      <c r="J17" s="47"/>
      <c r="K17" s="45">
        <f>SUM(K12:K16)</f>
        <v>46.594999999999999</v>
      </c>
      <c r="L17" s="48">
        <f t="shared" si="0"/>
        <v>-16.135000000000005</v>
      </c>
      <c r="M17" s="49">
        <f>IF((H17)=0,"",(L17/H17))</f>
        <v>-0.25721345448748612</v>
      </c>
    </row>
    <row r="18" spans="4:13" x14ac:dyDescent="0.25">
      <c r="D18" s="15" t="s">
        <v>20</v>
      </c>
      <c r="E18" s="12"/>
      <c r="F18" s="39">
        <f>(F33*G33+F34*G34)/(G33+G34)</f>
        <v>7.6999999999999999E-2</v>
      </c>
      <c r="G18" s="50">
        <f>IF(F18=0, 0, $E4*E6-E4)</f>
        <v>68.774999999999864</v>
      </c>
      <c r="H18" s="34">
        <f>G18*F18</f>
        <v>5.2956749999999895</v>
      </c>
      <c r="I18" s="39">
        <f>(I33*J33+I34*J34)/(J33+J34)</f>
        <v>7.6999999999999999E-2</v>
      </c>
      <c r="J18" s="50">
        <f>IF(I18=0, 0, E4*E7-E4)</f>
        <v>68.774999999999864</v>
      </c>
      <c r="K18" s="34">
        <f>J18*I18</f>
        <v>5.2956749999999895</v>
      </c>
      <c r="L18" s="37">
        <f>K18-H18</f>
        <v>0</v>
      </c>
      <c r="M18" s="38">
        <f>IF(ISERROR(L18/H18), "", L18/H18)</f>
        <v>0</v>
      </c>
    </row>
    <row r="19" spans="4:13" ht="25.5" x14ac:dyDescent="0.25">
      <c r="D19" s="15" t="s">
        <v>21</v>
      </c>
      <c r="E19" s="12"/>
      <c r="F19" s="39">
        <v>0</v>
      </c>
      <c r="G19" s="51">
        <f>IF($E5&gt;0, $E5, $E4)</f>
        <v>750</v>
      </c>
      <c r="H19" s="34">
        <f t="shared" si="1"/>
        <v>0</v>
      </c>
      <c r="I19" s="40">
        <v>-1.1000000000000001E-3</v>
      </c>
      <c r="J19" s="51">
        <f>IF($E5&gt;0, $E5, $E4)</f>
        <v>750</v>
      </c>
      <c r="K19" s="34">
        <f t="shared" si="5"/>
        <v>-0.82500000000000007</v>
      </c>
      <c r="L19" s="37">
        <f t="shared" si="0"/>
        <v>-0.82500000000000007</v>
      </c>
      <c r="M19" s="38" t="str">
        <f t="shared" si="2"/>
        <v/>
      </c>
    </row>
    <row r="20" spans="4:13" x14ac:dyDescent="0.25">
      <c r="D20" s="15" t="s">
        <v>22</v>
      </c>
      <c r="E20" s="12"/>
      <c r="F20" s="39">
        <v>0</v>
      </c>
      <c r="G20" s="51">
        <f>IF($E5&gt;0, $E5, $E4)</f>
        <v>750</v>
      </c>
      <c r="H20" s="34">
        <f>G20*F20</f>
        <v>0</v>
      </c>
      <c r="I20" s="40">
        <v>0</v>
      </c>
      <c r="J20" s="51">
        <f>IF($E5&gt;0, $E5, $E4)</f>
        <v>750</v>
      </c>
      <c r="K20" s="34">
        <f>J20*I20</f>
        <v>0</v>
      </c>
      <c r="L20" s="37">
        <f t="shared" si="0"/>
        <v>0</v>
      </c>
      <c r="M20" s="38" t="str">
        <f t="shared" si="2"/>
        <v/>
      </c>
    </row>
    <row r="21" spans="4:13" x14ac:dyDescent="0.25">
      <c r="D21" s="15" t="s">
        <v>23</v>
      </c>
      <c r="E21" s="12"/>
      <c r="F21" s="39">
        <v>0</v>
      </c>
      <c r="G21" s="51">
        <f>E4</f>
        <v>750</v>
      </c>
      <c r="H21" s="34">
        <f>G21*F21</f>
        <v>0</v>
      </c>
      <c r="I21" s="40">
        <v>0</v>
      </c>
      <c r="J21" s="51">
        <f>E4</f>
        <v>750</v>
      </c>
      <c r="K21" s="34">
        <f t="shared" si="5"/>
        <v>0</v>
      </c>
      <c r="L21" s="37">
        <f t="shared" si="0"/>
        <v>0</v>
      </c>
      <c r="M21" s="38" t="str">
        <f t="shared" si="2"/>
        <v/>
      </c>
    </row>
    <row r="22" spans="4:13" x14ac:dyDescent="0.25">
      <c r="D22" s="16" t="s">
        <v>24</v>
      </c>
      <c r="E22" s="12"/>
      <c r="F22" s="39">
        <v>1.52E-2</v>
      </c>
      <c r="G22" s="51">
        <f>IF($E5&gt;0, $E5, $E4)</f>
        <v>750</v>
      </c>
      <c r="H22" s="34">
        <f t="shared" si="1"/>
        <v>11.4</v>
      </c>
      <c r="I22" s="40"/>
      <c r="J22" s="51">
        <f>IF($E5&gt;0, $E5, $E4)</f>
        <v>750</v>
      </c>
      <c r="K22" s="34">
        <f t="shared" si="5"/>
        <v>0</v>
      </c>
      <c r="L22" s="37">
        <f t="shared" si="0"/>
        <v>-11.4</v>
      </c>
      <c r="M22" s="38">
        <f t="shared" si="2"/>
        <v>-1</v>
      </c>
    </row>
    <row r="23" spans="4:13" ht="51" x14ac:dyDescent="0.25">
      <c r="D23" s="17" t="s">
        <v>25</v>
      </c>
      <c r="E23" s="12"/>
      <c r="F23" s="52">
        <v>0</v>
      </c>
      <c r="G23" s="33">
        <v>1</v>
      </c>
      <c r="H23" s="34">
        <f>G23*F23</f>
        <v>0</v>
      </c>
      <c r="I23" s="53">
        <v>0.56999999999999995</v>
      </c>
      <c r="J23" s="33">
        <v>1</v>
      </c>
      <c r="K23" s="34">
        <f>J23*I23</f>
        <v>0.56999999999999995</v>
      </c>
      <c r="L23" s="37">
        <f t="shared" si="0"/>
        <v>0.56999999999999995</v>
      </c>
      <c r="M23" s="38" t="str">
        <f>IF(ISERROR(L23/H23), "", L23/H23)</f>
        <v/>
      </c>
    </row>
    <row r="24" spans="4:13" x14ac:dyDescent="0.25">
      <c r="D24" s="16" t="s">
        <v>26</v>
      </c>
      <c r="E24" s="12"/>
      <c r="F24" s="39"/>
      <c r="G24" s="51">
        <f>IF($E5&gt;0, $E5, $E4)</f>
        <v>750</v>
      </c>
      <c r="H24" s="34">
        <f>G24*F24</f>
        <v>0</v>
      </c>
      <c r="I24" s="40">
        <v>0</v>
      </c>
      <c r="J24" s="51">
        <f>IF($E5&gt;0, $E5, $E4)</f>
        <v>750</v>
      </c>
      <c r="K24" s="34">
        <f>J24*I24</f>
        <v>0</v>
      </c>
      <c r="L24" s="37">
        <f t="shared" si="0"/>
        <v>0</v>
      </c>
      <c r="M24" s="38" t="str">
        <f>IF(ISERROR(L24/H24), "", L24/H24)</f>
        <v/>
      </c>
    </row>
    <row r="25" spans="4:13" ht="25.5" x14ac:dyDescent="0.25">
      <c r="D25" s="54" t="s">
        <v>27</v>
      </c>
      <c r="E25" s="55"/>
      <c r="F25" s="56"/>
      <c r="G25" s="57"/>
      <c r="H25" s="58">
        <f>SUM(H17:H24)</f>
        <v>79.425674999999998</v>
      </c>
      <c r="I25" s="59"/>
      <c r="J25" s="60"/>
      <c r="K25" s="58">
        <f>SUM(K17:K24)</f>
        <v>51.635674999999985</v>
      </c>
      <c r="L25" s="48">
        <f t="shared" si="0"/>
        <v>-27.790000000000013</v>
      </c>
      <c r="M25" s="49">
        <f>IF((H25)=0,"",(L25/H25))</f>
        <v>-0.3498868596332359</v>
      </c>
    </row>
    <row r="26" spans="4:13" x14ac:dyDescent="0.25">
      <c r="D26" s="18" t="s">
        <v>28</v>
      </c>
      <c r="E26" s="12"/>
      <c r="F26" s="39">
        <v>0</v>
      </c>
      <c r="G26" s="50">
        <f>IF($E5&gt;0, $E5, $E4*$E6)</f>
        <v>818.77499999999986</v>
      </c>
      <c r="H26" s="34">
        <f>G26*F26</f>
        <v>0</v>
      </c>
      <c r="I26" s="40">
        <v>6.6E-3</v>
      </c>
      <c r="J26" s="50">
        <f>IF($E5&gt;0, $E5, $E4*$E7)</f>
        <v>818.77499999999986</v>
      </c>
      <c r="K26" s="34">
        <f>J26*I26</f>
        <v>5.4039149999999987</v>
      </c>
      <c r="L26" s="37">
        <f t="shared" si="0"/>
        <v>5.4039149999999987</v>
      </c>
      <c r="M26" s="38" t="str">
        <f>IF(ISERROR(L26/H26), "", L26/H26)</f>
        <v/>
      </c>
    </row>
    <row r="27" spans="4:13" ht="25.5" x14ac:dyDescent="0.25">
      <c r="D27" s="61" t="s">
        <v>29</v>
      </c>
      <c r="E27" s="12"/>
      <c r="F27" s="39">
        <v>0</v>
      </c>
      <c r="G27" s="50">
        <f>IF($E5&gt;0, $E5, $E4*$E6)</f>
        <v>818.77499999999986</v>
      </c>
      <c r="H27" s="34">
        <f>G27*F27</f>
        <v>0</v>
      </c>
      <c r="I27" s="40">
        <v>6.0000000000000001E-3</v>
      </c>
      <c r="J27" s="50">
        <f>IF($E5&gt;0, $E5, $E4*$E7)</f>
        <v>818.77499999999986</v>
      </c>
      <c r="K27" s="34">
        <f>J27*I27</f>
        <v>4.9126499999999993</v>
      </c>
      <c r="L27" s="37">
        <f t="shared" si="0"/>
        <v>4.9126499999999993</v>
      </c>
      <c r="M27" s="38" t="str">
        <f>IF(ISERROR(L27/H27), "", L27/H27)</f>
        <v/>
      </c>
    </row>
    <row r="28" spans="4:13" ht="25.5" x14ac:dyDescent="0.25">
      <c r="D28" s="54" t="s">
        <v>30</v>
      </c>
      <c r="E28" s="42"/>
      <c r="F28" s="56"/>
      <c r="G28" s="57"/>
      <c r="H28" s="58">
        <f>SUM(H25:H27)</f>
        <v>79.425674999999998</v>
      </c>
      <c r="I28" s="59"/>
      <c r="J28" s="47"/>
      <c r="K28" s="58">
        <f>SUM(K25:K27)</f>
        <v>61.952239999999982</v>
      </c>
      <c r="L28" s="48">
        <f t="shared" si="0"/>
        <v>-17.473435000000016</v>
      </c>
      <c r="M28" s="49">
        <f>IF((H28)=0,"",(L28/H28))</f>
        <v>-0.21999731195233804</v>
      </c>
    </row>
    <row r="29" spans="4:13" ht="25.5" x14ac:dyDescent="0.25">
      <c r="D29" s="19" t="s">
        <v>31</v>
      </c>
      <c r="E29" s="12"/>
      <c r="F29" s="39">
        <v>3.5999999999999999E-3</v>
      </c>
      <c r="G29" s="50">
        <f>E4*E6</f>
        <v>818.77499999999986</v>
      </c>
      <c r="H29" s="62">
        <f t="shared" ref="H29:H34" si="6">G29*F29</f>
        <v>2.9475899999999995</v>
      </c>
      <c r="I29" s="40">
        <v>3.6000000000000003E-3</v>
      </c>
      <c r="J29" s="50">
        <f>E4*E7</f>
        <v>818.77499999999986</v>
      </c>
      <c r="K29" s="62">
        <f t="shared" ref="K29:K34" si="7">J29*I29</f>
        <v>2.9475899999999999</v>
      </c>
      <c r="L29" s="37">
        <f t="shared" si="0"/>
        <v>0</v>
      </c>
      <c r="M29" s="38">
        <f t="shared" ref="M29:M34" si="8">IF(ISERROR(L29/H29), "", L29/H29)</f>
        <v>0</v>
      </c>
    </row>
    <row r="30" spans="4:13" ht="25.5" x14ac:dyDescent="0.25">
      <c r="D30" s="19" t="s">
        <v>32</v>
      </c>
      <c r="E30" s="12"/>
      <c r="F30" s="39">
        <v>2.9999999999999997E-4</v>
      </c>
      <c r="G30" s="50">
        <f>E4*E6</f>
        <v>818.77499999999986</v>
      </c>
      <c r="H30" s="62">
        <f t="shared" si="6"/>
        <v>0.24563249999999995</v>
      </c>
      <c r="I30" s="40">
        <v>2.9999999999999997E-4</v>
      </c>
      <c r="J30" s="50">
        <f>E4*E7</f>
        <v>818.77499999999986</v>
      </c>
      <c r="K30" s="62">
        <f t="shared" si="7"/>
        <v>0.24563249999999995</v>
      </c>
      <c r="L30" s="37">
        <f t="shared" si="0"/>
        <v>0</v>
      </c>
      <c r="M30" s="38">
        <f t="shared" si="8"/>
        <v>0</v>
      </c>
    </row>
    <row r="31" spans="4:13" x14ac:dyDescent="0.25">
      <c r="D31" s="20" t="s">
        <v>33</v>
      </c>
      <c r="E31" s="12"/>
      <c r="F31" s="52">
        <v>0.25</v>
      </c>
      <c r="G31" s="33">
        <v>1</v>
      </c>
      <c r="H31" s="62">
        <f t="shared" si="6"/>
        <v>0.25</v>
      </c>
      <c r="I31" s="53">
        <f>'[1]17. Regulatory Charges'!$D$17</f>
        <v>0.25</v>
      </c>
      <c r="J31" s="36">
        <v>1</v>
      </c>
      <c r="K31" s="62">
        <f t="shared" si="7"/>
        <v>0.25</v>
      </c>
      <c r="L31" s="37">
        <f t="shared" si="0"/>
        <v>0</v>
      </c>
      <c r="M31" s="38">
        <f t="shared" si="8"/>
        <v>0</v>
      </c>
    </row>
    <row r="32" spans="4:13" ht="25.5" x14ac:dyDescent="0.25">
      <c r="D32" s="19" t="s">
        <v>34</v>
      </c>
      <c r="E32" s="12"/>
      <c r="F32" s="39"/>
      <c r="G32" s="50"/>
      <c r="H32" s="62"/>
      <c r="I32" s="40"/>
      <c r="J32" s="50"/>
      <c r="K32" s="62"/>
      <c r="L32" s="37"/>
      <c r="M32" s="38"/>
    </row>
    <row r="33" spans="4:13" x14ac:dyDescent="0.25">
      <c r="D33" s="21" t="s">
        <v>41</v>
      </c>
      <c r="E33" s="12"/>
      <c r="F33" s="63">
        <v>7.6999999999999999E-2</v>
      </c>
      <c r="G33" s="64">
        <f>IF(E4-1000&gt;0,1000,E4)</f>
        <v>750</v>
      </c>
      <c r="H33" s="62">
        <f t="shared" si="6"/>
        <v>57.75</v>
      </c>
      <c r="I33" s="65">
        <f>F33</f>
        <v>7.6999999999999999E-2</v>
      </c>
      <c r="J33" s="64">
        <f>G33</f>
        <v>750</v>
      </c>
      <c r="K33" s="62">
        <f t="shared" si="7"/>
        <v>57.75</v>
      </c>
      <c r="L33" s="37">
        <f>K33-H33</f>
        <v>0</v>
      </c>
      <c r="M33" s="38">
        <f t="shared" si="8"/>
        <v>0</v>
      </c>
    </row>
    <row r="34" spans="4:13" ht="15.75" thickBot="1" x14ac:dyDescent="0.3">
      <c r="D34" s="21" t="s">
        <v>42</v>
      </c>
      <c r="E34" s="12"/>
      <c r="F34" s="63">
        <v>8.8999999999999996E-2</v>
      </c>
      <c r="G34" s="64">
        <f>IF(E4-1000&gt;0,E4-1000,0)</f>
        <v>0</v>
      </c>
      <c r="H34" s="62">
        <f t="shared" si="6"/>
        <v>0</v>
      </c>
      <c r="I34" s="65">
        <f>F34</f>
        <v>8.8999999999999996E-2</v>
      </c>
      <c r="J34" s="64">
        <f>G34</f>
        <v>0</v>
      </c>
      <c r="K34" s="62">
        <f t="shared" si="7"/>
        <v>0</v>
      </c>
      <c r="L34" s="37">
        <f>K34-H34</f>
        <v>0</v>
      </c>
      <c r="M34" s="38" t="str">
        <f t="shared" si="8"/>
        <v/>
      </c>
    </row>
    <row r="35" spans="4:13" ht="15.75" thickBot="1" x14ac:dyDescent="0.3">
      <c r="D35" s="66"/>
      <c r="E35" s="67"/>
      <c r="F35" s="68"/>
      <c r="G35" s="69"/>
      <c r="H35" s="70"/>
      <c r="I35" s="68"/>
      <c r="J35" s="71"/>
      <c r="K35" s="70"/>
      <c r="L35" s="72"/>
      <c r="M35" s="73"/>
    </row>
    <row r="36" spans="4:13" x14ac:dyDescent="0.25">
      <c r="D36" s="22" t="s">
        <v>35</v>
      </c>
      <c r="E36" s="20"/>
      <c r="F36" s="74"/>
      <c r="G36" s="23"/>
      <c r="H36" s="75">
        <f>SUM(H29:H34,H28)</f>
        <v>140.6188975</v>
      </c>
      <c r="I36" s="76"/>
      <c r="J36" s="76"/>
      <c r="K36" s="75">
        <f>SUM(K29:K34,K28)</f>
        <v>123.14546249999998</v>
      </c>
      <c r="L36" s="77">
        <f>K36-H36</f>
        <v>-17.473435000000023</v>
      </c>
      <c r="M36" s="78">
        <f>IF((H36)=0,"",(L36/H36))</f>
        <v>-0.12426093014987565</v>
      </c>
    </row>
    <row r="37" spans="4:13" x14ac:dyDescent="0.25">
      <c r="D37" s="24" t="s">
        <v>36</v>
      </c>
      <c r="E37" s="20"/>
      <c r="F37" s="74">
        <v>0.13</v>
      </c>
      <c r="G37" s="13"/>
      <c r="H37" s="79">
        <f>H36*F37</f>
        <v>18.280456675</v>
      </c>
      <c r="I37" s="80">
        <v>0.13</v>
      </c>
      <c r="J37" s="33"/>
      <c r="K37" s="79">
        <f>K36*I37</f>
        <v>16.008910124999996</v>
      </c>
      <c r="L37" s="81">
        <f>K37-H37</f>
        <v>-2.2715465500000036</v>
      </c>
      <c r="M37" s="82">
        <f>IF((H37)=0,"",(L37/H37))</f>
        <v>-0.12426093014987567</v>
      </c>
    </row>
    <row r="38" spans="4:13" x14ac:dyDescent="0.25">
      <c r="D38" s="24" t="s">
        <v>37</v>
      </c>
      <c r="E38" s="20"/>
      <c r="F38" s="74">
        <v>0.08</v>
      </c>
      <c r="G38" s="13"/>
      <c r="H38" s="79">
        <f>H36*-F38</f>
        <v>-11.249511800000001</v>
      </c>
      <c r="I38" s="74">
        <v>0.08</v>
      </c>
      <c r="J38" s="33"/>
      <c r="K38" s="79">
        <f>K36*-I38</f>
        <v>-9.8516369999999984</v>
      </c>
      <c r="L38" s="81">
        <f>K38-H38</f>
        <v>1.3978748000000021</v>
      </c>
      <c r="M38" s="82"/>
    </row>
    <row r="39" spans="4:13" ht="15.75" customHeight="1" thickBot="1" x14ac:dyDescent="0.3">
      <c r="D39" s="98" t="s">
        <v>38</v>
      </c>
      <c r="E39" s="98"/>
      <c r="F39" s="83"/>
      <c r="G39" s="84"/>
      <c r="H39" s="85">
        <f>H36+H37+H38</f>
        <v>147.64984237500002</v>
      </c>
      <c r="I39" s="86"/>
      <c r="J39" s="86"/>
      <c r="K39" s="87">
        <f>K36+K37+K38</f>
        <v>129.30273562499997</v>
      </c>
      <c r="L39" s="88">
        <f>K39-H39</f>
        <v>-18.347106750000052</v>
      </c>
      <c r="M39" s="89">
        <f>IF((H39)=0,"",(L39/H39))</f>
        <v>-0.12426093014987581</v>
      </c>
    </row>
    <row r="40" spans="4:13" ht="15.75" thickBot="1" x14ac:dyDescent="0.3">
      <c r="D40" s="66"/>
      <c r="E40" s="67"/>
      <c r="F40" s="68"/>
      <c r="G40" s="69"/>
      <c r="H40" s="70"/>
      <c r="I40" s="68"/>
      <c r="J40" s="71"/>
      <c r="K40" s="70"/>
      <c r="L40" s="72"/>
      <c r="M40" s="73"/>
    </row>
  </sheetData>
  <mergeCells count="9">
    <mergeCell ref="E10:E11"/>
    <mergeCell ref="L10:L11"/>
    <mergeCell ref="M10:M11"/>
    <mergeCell ref="D39:E39"/>
    <mergeCell ref="E2:J2"/>
    <mergeCell ref="E3:G3"/>
    <mergeCell ref="F9:H9"/>
    <mergeCell ref="I9:K9"/>
    <mergeCell ref="L9:M9"/>
  </mergeCells>
  <dataValidations disablePrompts="1" count="1">
    <dataValidation type="list" allowBlank="1" showInputMessage="1" showErrorMessage="1" prompt="Select Charge Unit - monthly, per kWh, per kW" sqref="E40 E35">
      <formula1>"Monthly, per kWh, per kW"</formula1>
    </dataValidation>
  </dataValidations>
  <pageMargins left="0.7" right="0.7" top="0.75" bottom="0.75" header="0.3" footer="0.3"/>
  <pageSetup scale="66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39"/>
  <sheetViews>
    <sheetView showGridLines="0" tabSelected="1" topLeftCell="A7" zoomScaleNormal="100" zoomScaleSheetLayoutView="80" workbookViewId="0">
      <selection activeCell="L17" sqref="L17"/>
    </sheetView>
  </sheetViews>
  <sheetFormatPr defaultRowHeight="15" x14ac:dyDescent="0.25"/>
  <cols>
    <col min="1" max="1" width="1.140625" customWidth="1"/>
    <col min="2" max="2" width="1.42578125" customWidth="1"/>
    <col min="3" max="3" width="3.42578125" customWidth="1"/>
    <col min="4" max="4" width="34.7109375" customWidth="1"/>
    <col min="5" max="5" width="13.140625" customWidth="1"/>
    <col min="6" max="6" width="14.85546875" customWidth="1"/>
    <col min="7" max="7" width="10.28515625" bestFit="1" customWidth="1"/>
    <col min="8" max="8" width="18.140625" customWidth="1"/>
    <col min="9" max="9" width="12.85546875" customWidth="1"/>
    <col min="10" max="10" width="14.28515625" bestFit="1" customWidth="1"/>
    <col min="11" max="11" width="18.85546875" bestFit="1" customWidth="1"/>
    <col min="12" max="12" width="13.5703125" bestFit="1" customWidth="1"/>
    <col min="13" max="13" width="15.85546875" customWidth="1"/>
  </cols>
  <sheetData>
    <row r="2" spans="4:13" x14ac:dyDescent="0.25">
      <c r="D2" s="1" t="s">
        <v>0</v>
      </c>
      <c r="E2" s="99" t="s">
        <v>47</v>
      </c>
      <c r="F2" s="99"/>
      <c r="G2" s="99"/>
      <c r="H2" s="99"/>
      <c r="I2" s="99"/>
      <c r="J2" s="99"/>
      <c r="K2" s="2"/>
      <c r="L2" s="2"/>
      <c r="M2" s="2"/>
    </row>
    <row r="3" spans="4:13" x14ac:dyDescent="0.25">
      <c r="D3" s="1" t="s">
        <v>1</v>
      </c>
      <c r="E3" s="100" t="s">
        <v>39</v>
      </c>
      <c r="F3" s="100"/>
      <c r="G3" s="100"/>
      <c r="H3" s="3"/>
      <c r="I3" s="3"/>
      <c r="J3" s="2"/>
      <c r="K3" s="2"/>
      <c r="L3" s="2"/>
      <c r="M3" s="2"/>
    </row>
    <row r="4" spans="4:13" ht="15.75" x14ac:dyDescent="0.25">
      <c r="D4" s="1" t="s">
        <v>2</v>
      </c>
      <c r="E4" s="25">
        <v>2000</v>
      </c>
      <c r="F4" s="4" t="s">
        <v>3</v>
      </c>
      <c r="G4" s="5"/>
      <c r="H4" s="2"/>
      <c r="I4" s="2"/>
      <c r="J4" s="6"/>
      <c r="K4" s="6"/>
      <c r="L4" s="6"/>
      <c r="M4" s="6"/>
    </row>
    <row r="5" spans="4:13" ht="15.75" x14ac:dyDescent="0.25">
      <c r="D5" s="1" t="s">
        <v>4</v>
      </c>
      <c r="E5" s="25">
        <v>0</v>
      </c>
      <c r="F5" s="7" t="s">
        <v>5</v>
      </c>
      <c r="G5" s="8"/>
      <c r="H5" s="9"/>
      <c r="I5" s="9"/>
      <c r="J5" s="9"/>
      <c r="K5" s="2"/>
      <c r="L5" s="2"/>
      <c r="M5" s="2"/>
    </row>
    <row r="6" spans="4:13" x14ac:dyDescent="0.25">
      <c r="D6" s="1" t="s">
        <v>6</v>
      </c>
      <c r="E6" s="26">
        <v>1.0916999999999999</v>
      </c>
      <c r="F6" s="2"/>
      <c r="G6" s="2"/>
      <c r="H6" s="2"/>
      <c r="I6" s="2"/>
      <c r="J6" s="2"/>
      <c r="K6" s="2"/>
      <c r="L6" s="2"/>
      <c r="M6" s="2"/>
    </row>
    <row r="7" spans="4:13" x14ac:dyDescent="0.25">
      <c r="D7" s="1" t="s">
        <v>7</v>
      </c>
      <c r="E7" s="26">
        <v>1.0916999999999999</v>
      </c>
      <c r="F7" s="2"/>
      <c r="G7" s="2"/>
      <c r="H7" s="2"/>
      <c r="I7" s="2"/>
      <c r="J7" s="2"/>
      <c r="K7" s="2"/>
      <c r="L7" s="2"/>
      <c r="M7" s="2"/>
    </row>
    <row r="8" spans="4:13" x14ac:dyDescent="0.25">
      <c r="D8" s="5"/>
      <c r="E8" s="2"/>
      <c r="F8" s="2"/>
      <c r="G8" s="2"/>
      <c r="H8" s="2"/>
      <c r="I8" s="2"/>
      <c r="J8" s="2"/>
      <c r="K8" s="2"/>
      <c r="L8" s="2"/>
      <c r="M8" s="2"/>
    </row>
    <row r="9" spans="4:13" x14ac:dyDescent="0.25">
      <c r="D9" s="5"/>
      <c r="E9" s="10"/>
      <c r="F9" s="90" t="s">
        <v>44</v>
      </c>
      <c r="G9" s="101"/>
      <c r="H9" s="91"/>
      <c r="I9" s="90" t="s">
        <v>40</v>
      </c>
      <c r="J9" s="101"/>
      <c r="K9" s="91"/>
      <c r="L9" s="90" t="s">
        <v>8</v>
      </c>
      <c r="M9" s="91"/>
    </row>
    <row r="10" spans="4:13" x14ac:dyDescent="0.25">
      <c r="D10" s="5"/>
      <c r="E10" s="92"/>
      <c r="F10" s="27" t="s">
        <v>9</v>
      </c>
      <c r="G10" s="27" t="s">
        <v>10</v>
      </c>
      <c r="H10" s="28" t="s">
        <v>11</v>
      </c>
      <c r="I10" s="27" t="s">
        <v>9</v>
      </c>
      <c r="J10" s="29" t="s">
        <v>10</v>
      </c>
      <c r="K10" s="28" t="s">
        <v>11</v>
      </c>
      <c r="L10" s="94" t="s">
        <v>12</v>
      </c>
      <c r="M10" s="96" t="s">
        <v>13</v>
      </c>
    </row>
    <row r="11" spans="4:13" x14ac:dyDescent="0.25">
      <c r="D11" s="5"/>
      <c r="E11" s="93"/>
      <c r="F11" s="30" t="s">
        <v>14</v>
      </c>
      <c r="G11" s="30"/>
      <c r="H11" s="31" t="s">
        <v>14</v>
      </c>
      <c r="I11" s="30" t="s">
        <v>14</v>
      </c>
      <c r="J11" s="31"/>
      <c r="K11" s="31" t="s">
        <v>14</v>
      </c>
      <c r="L11" s="95"/>
      <c r="M11" s="97"/>
    </row>
    <row r="12" spans="4:13" x14ac:dyDescent="0.25">
      <c r="D12" s="11" t="s">
        <v>15</v>
      </c>
      <c r="E12" s="12"/>
      <c r="F12" s="32">
        <v>23.76</v>
      </c>
      <c r="G12" s="33">
        <v>1</v>
      </c>
      <c r="H12" s="34">
        <f>G12*F12</f>
        <v>23.76</v>
      </c>
      <c r="I12" s="35">
        <v>25.71</v>
      </c>
      <c r="J12" s="36">
        <f>G12</f>
        <v>1</v>
      </c>
      <c r="K12" s="34">
        <f>J12*I12</f>
        <v>25.71</v>
      </c>
      <c r="L12" s="37">
        <f t="shared" ref="L12:L30" si="0">K12-H12</f>
        <v>1.9499999999999993</v>
      </c>
      <c r="M12" s="38">
        <f>IF(ISERROR(L12/H12), "", L12/H12)</f>
        <v>8.207070707070703E-2</v>
      </c>
    </row>
    <row r="13" spans="4:13" x14ac:dyDescent="0.25">
      <c r="D13" s="11" t="s">
        <v>16</v>
      </c>
      <c r="E13" s="12"/>
      <c r="F13" s="39">
        <v>1.4999999999999999E-2</v>
      </c>
      <c r="G13" s="33">
        <f>IF($E5&gt;0, $E5, $E4)</f>
        <v>2000</v>
      </c>
      <c r="H13" s="34">
        <f t="shared" ref="H13:H21" si="1">G13*F13</f>
        <v>30</v>
      </c>
      <c r="I13" s="40">
        <v>3.6200000000000003E-2</v>
      </c>
      <c r="J13" s="36">
        <f>IF($E5&gt;0, $E5, $E4)</f>
        <v>2000</v>
      </c>
      <c r="K13" s="34">
        <f>J13*I13</f>
        <v>72.400000000000006</v>
      </c>
      <c r="L13" s="37">
        <f t="shared" si="0"/>
        <v>42.400000000000006</v>
      </c>
      <c r="M13" s="38">
        <f t="shared" ref="M13:M21" si="2">IF(ISERROR(L13/H13), "", L13/H13)</f>
        <v>1.4133333333333336</v>
      </c>
    </row>
    <row r="14" spans="4:13" x14ac:dyDescent="0.25">
      <c r="D14" s="14" t="s">
        <v>17</v>
      </c>
      <c r="E14" s="12"/>
      <c r="F14" s="32">
        <v>27.72</v>
      </c>
      <c r="G14" s="33">
        <v>1</v>
      </c>
      <c r="H14" s="34">
        <f t="shared" si="1"/>
        <v>27.72</v>
      </c>
      <c r="I14" s="35">
        <v>11.16</v>
      </c>
      <c r="J14" s="36">
        <f>G14</f>
        <v>1</v>
      </c>
      <c r="K14" s="34">
        <f>J14*I14</f>
        <v>11.16</v>
      </c>
      <c r="L14" s="37">
        <f t="shared" ref="L14" si="3">K14-H14</f>
        <v>-16.559999999999999</v>
      </c>
      <c r="M14" s="38">
        <f t="shared" ref="M14" si="4">IF(ISERROR(L14/H14), "", L14/H14)</f>
        <v>-0.59740259740259738</v>
      </c>
    </row>
    <row r="15" spans="4:13" x14ac:dyDescent="0.25">
      <c r="D15" s="11" t="s">
        <v>18</v>
      </c>
      <c r="E15" s="12"/>
      <c r="F15" s="39">
        <v>0</v>
      </c>
      <c r="G15" s="33">
        <f>IF($E5&gt;0, $E5, $E4)</f>
        <v>2000</v>
      </c>
      <c r="H15" s="34">
        <f t="shared" si="1"/>
        <v>0</v>
      </c>
      <c r="I15" s="40">
        <v>-1.9E-3</v>
      </c>
      <c r="J15" s="36">
        <f>IF($E5&gt;0, $E5, $E4)</f>
        <v>2000</v>
      </c>
      <c r="K15" s="34">
        <f t="shared" ref="K15:K21" si="5">J15*I15</f>
        <v>-3.8</v>
      </c>
      <c r="L15" s="37">
        <f t="shared" si="0"/>
        <v>-3.8</v>
      </c>
      <c r="M15" s="38" t="str">
        <f t="shared" si="2"/>
        <v/>
      </c>
    </row>
    <row r="16" spans="4:13" x14ac:dyDescent="0.25">
      <c r="D16" s="41" t="s">
        <v>19</v>
      </c>
      <c r="E16" s="42"/>
      <c r="F16" s="43"/>
      <c r="G16" s="44"/>
      <c r="H16" s="45">
        <f>SUM(H12:H15)</f>
        <v>81.48</v>
      </c>
      <c r="I16" s="46"/>
      <c r="J16" s="47"/>
      <c r="K16" s="45">
        <f>SUM(K12:K15)</f>
        <v>105.47000000000001</v>
      </c>
      <c r="L16" s="48">
        <f t="shared" si="0"/>
        <v>23.990000000000009</v>
      </c>
      <c r="M16" s="49">
        <f>IF((H16)=0,"",(L16/H16))</f>
        <v>0.29442808051055486</v>
      </c>
    </row>
    <row r="17" spans="4:13" x14ac:dyDescent="0.25">
      <c r="D17" s="15" t="s">
        <v>20</v>
      </c>
      <c r="E17" s="12"/>
      <c r="F17" s="39">
        <f>(F32*G32+F33*G33)/(G32+G33)</f>
        <v>8.4500000000000006E-2</v>
      </c>
      <c r="G17" s="50">
        <f>IF(F17=0, 0, $E4*E6-E4)</f>
        <v>183.39999999999964</v>
      </c>
      <c r="H17" s="34">
        <f>G17*F17</f>
        <v>15.497299999999971</v>
      </c>
      <c r="I17" s="39">
        <f>(I32*J32+I33*J33)/(J32+J33)</f>
        <v>8.4500000000000006E-2</v>
      </c>
      <c r="J17" s="50">
        <f>IF(I17=0, 0, E4*E7-E4)</f>
        <v>183.39999999999964</v>
      </c>
      <c r="K17" s="34">
        <f>J17*I17</f>
        <v>15.497299999999971</v>
      </c>
      <c r="L17" s="37">
        <f>K17-H17</f>
        <v>0</v>
      </c>
      <c r="M17" s="38">
        <f>IF(ISERROR(L17/H17), "", L17/H17)</f>
        <v>0</v>
      </c>
    </row>
    <row r="18" spans="4:13" ht="25.5" x14ac:dyDescent="0.25">
      <c r="D18" s="15" t="s">
        <v>21</v>
      </c>
      <c r="E18" s="12"/>
      <c r="F18" s="39">
        <v>0</v>
      </c>
      <c r="G18" s="51">
        <f>IF($E5&gt;0, $E5, $E4)</f>
        <v>2000</v>
      </c>
      <c r="H18" s="34">
        <f t="shared" si="1"/>
        <v>0</v>
      </c>
      <c r="I18" s="40">
        <v>-1.1000000000000001E-3</v>
      </c>
      <c r="J18" s="51">
        <f>IF($E5&gt;0, $E5, $E4)</f>
        <v>2000</v>
      </c>
      <c r="K18" s="34">
        <f t="shared" si="5"/>
        <v>-2.2000000000000002</v>
      </c>
      <c r="L18" s="37">
        <f t="shared" si="0"/>
        <v>-2.2000000000000002</v>
      </c>
      <c r="M18" s="38" t="str">
        <f t="shared" si="2"/>
        <v/>
      </c>
    </row>
    <row r="19" spans="4:13" x14ac:dyDescent="0.25">
      <c r="D19" s="15" t="s">
        <v>22</v>
      </c>
      <c r="E19" s="12"/>
      <c r="F19" s="39">
        <v>0</v>
      </c>
      <c r="G19" s="51">
        <f>IF($E5&gt;0, $E5, $E4)</f>
        <v>2000</v>
      </c>
      <c r="H19" s="34">
        <f>G19*F19</f>
        <v>0</v>
      </c>
      <c r="I19" s="40">
        <v>0</v>
      </c>
      <c r="J19" s="51">
        <f>IF($E5&gt;0, $E5, $E4)</f>
        <v>2000</v>
      </c>
      <c r="K19" s="34">
        <f>J19*I19</f>
        <v>0</v>
      </c>
      <c r="L19" s="37">
        <f t="shared" si="0"/>
        <v>0</v>
      </c>
      <c r="M19" s="38" t="str">
        <f t="shared" si="2"/>
        <v/>
      </c>
    </row>
    <row r="20" spans="4:13" x14ac:dyDescent="0.25">
      <c r="D20" s="15" t="s">
        <v>23</v>
      </c>
      <c r="E20" s="12"/>
      <c r="F20" s="39">
        <v>0</v>
      </c>
      <c r="G20" s="51">
        <f>E4</f>
        <v>2000</v>
      </c>
      <c r="H20" s="34">
        <f>G20*F20</f>
        <v>0</v>
      </c>
      <c r="I20" s="40">
        <v>0</v>
      </c>
      <c r="J20" s="51">
        <f>E4</f>
        <v>2000</v>
      </c>
      <c r="K20" s="34">
        <f t="shared" si="5"/>
        <v>0</v>
      </c>
      <c r="L20" s="37">
        <f t="shared" si="0"/>
        <v>0</v>
      </c>
      <c r="M20" s="38" t="str">
        <f t="shared" si="2"/>
        <v/>
      </c>
    </row>
    <row r="21" spans="4:13" x14ac:dyDescent="0.25">
      <c r="D21" s="16" t="s">
        <v>24</v>
      </c>
      <c r="E21" s="12"/>
      <c r="F21" s="39">
        <v>1.52E-2</v>
      </c>
      <c r="G21" s="51">
        <f>IF($E5&gt;0, $E5, $E4)</f>
        <v>2000</v>
      </c>
      <c r="H21" s="34">
        <f t="shared" si="1"/>
        <v>30.4</v>
      </c>
      <c r="I21" s="40"/>
      <c r="J21" s="51">
        <f>IF($E5&gt;0, $E5, $E4)</f>
        <v>2000</v>
      </c>
      <c r="K21" s="34">
        <f t="shared" si="5"/>
        <v>0</v>
      </c>
      <c r="L21" s="37">
        <f t="shared" si="0"/>
        <v>-30.4</v>
      </c>
      <c r="M21" s="38">
        <f t="shared" si="2"/>
        <v>-1</v>
      </c>
    </row>
    <row r="22" spans="4:13" ht="51" x14ac:dyDescent="0.25">
      <c r="D22" s="17" t="s">
        <v>25</v>
      </c>
      <c r="E22" s="12"/>
      <c r="F22" s="52">
        <v>0</v>
      </c>
      <c r="G22" s="33">
        <v>1</v>
      </c>
      <c r="H22" s="34">
        <f>G22*F22</f>
        <v>0</v>
      </c>
      <c r="I22" s="53">
        <v>0.56999999999999995</v>
      </c>
      <c r="J22" s="33">
        <v>1</v>
      </c>
      <c r="K22" s="34">
        <f>J22*I22</f>
        <v>0.56999999999999995</v>
      </c>
      <c r="L22" s="37">
        <f t="shared" si="0"/>
        <v>0.56999999999999995</v>
      </c>
      <c r="M22" s="38" t="str">
        <f>IF(ISERROR(L22/H22), "", L22/H22)</f>
        <v/>
      </c>
    </row>
    <row r="23" spans="4:13" x14ac:dyDescent="0.25">
      <c r="D23" s="16" t="s">
        <v>26</v>
      </c>
      <c r="E23" s="12"/>
      <c r="F23" s="39"/>
      <c r="G23" s="51">
        <f>IF($E5&gt;0, $E5, $E4)</f>
        <v>2000</v>
      </c>
      <c r="H23" s="34">
        <f>G23*F23</f>
        <v>0</v>
      </c>
      <c r="I23" s="40">
        <v>0</v>
      </c>
      <c r="J23" s="51">
        <f>IF($E5&gt;0, $E5, $E4)</f>
        <v>2000</v>
      </c>
      <c r="K23" s="34">
        <f>J23*I23</f>
        <v>0</v>
      </c>
      <c r="L23" s="37">
        <f t="shared" si="0"/>
        <v>0</v>
      </c>
      <c r="M23" s="38" t="str">
        <f>IF(ISERROR(L23/H23), "", L23/H23)</f>
        <v/>
      </c>
    </row>
    <row r="24" spans="4:13" ht="25.5" x14ac:dyDescent="0.25">
      <c r="D24" s="54" t="s">
        <v>27</v>
      </c>
      <c r="E24" s="55"/>
      <c r="F24" s="56"/>
      <c r="G24" s="57"/>
      <c r="H24" s="58">
        <f>SUM(H16:H23)</f>
        <v>127.37729999999996</v>
      </c>
      <c r="I24" s="59"/>
      <c r="J24" s="60"/>
      <c r="K24" s="58">
        <f>SUM(K16:K23)</f>
        <v>119.33729999999997</v>
      </c>
      <c r="L24" s="48">
        <f t="shared" si="0"/>
        <v>-8.039999999999992</v>
      </c>
      <c r="M24" s="49">
        <f>IF((H24)=0,"",(L24/H24))</f>
        <v>-6.3119566830196538E-2</v>
      </c>
    </row>
    <row r="25" spans="4:13" x14ac:dyDescent="0.25">
      <c r="D25" s="18" t="s">
        <v>28</v>
      </c>
      <c r="E25" s="12"/>
      <c r="F25" s="39">
        <v>0</v>
      </c>
      <c r="G25" s="50">
        <f>IF($E5&gt;0, $E5, $E4*$E6)</f>
        <v>2183.3999999999996</v>
      </c>
      <c r="H25" s="34">
        <f>G25*F25</f>
        <v>0</v>
      </c>
      <c r="I25" s="40">
        <v>6.6E-3</v>
      </c>
      <c r="J25" s="50">
        <f>IF($E5&gt;0, $E5, $E4*$E7)</f>
        <v>2183.3999999999996</v>
      </c>
      <c r="K25" s="34">
        <f>J25*I25</f>
        <v>14.410439999999998</v>
      </c>
      <c r="L25" s="37">
        <f t="shared" si="0"/>
        <v>14.410439999999998</v>
      </c>
      <c r="M25" s="38" t="str">
        <f>IF(ISERROR(L25/H25), "", L25/H25)</f>
        <v/>
      </c>
    </row>
    <row r="26" spans="4:13" ht="25.5" x14ac:dyDescent="0.25">
      <c r="D26" s="61" t="s">
        <v>29</v>
      </c>
      <c r="E26" s="12"/>
      <c r="F26" s="39">
        <v>0</v>
      </c>
      <c r="G26" s="50">
        <f>IF($E5&gt;0, $E5, $E4*$E6)</f>
        <v>2183.3999999999996</v>
      </c>
      <c r="H26" s="34">
        <f>G26*F26</f>
        <v>0</v>
      </c>
      <c r="I26" s="40">
        <v>6.0000000000000001E-3</v>
      </c>
      <c r="J26" s="50">
        <f>IF($E5&gt;0, $E5, $E4*$E7)</f>
        <v>2183.3999999999996</v>
      </c>
      <c r="K26" s="34">
        <f>J26*I26</f>
        <v>13.100399999999999</v>
      </c>
      <c r="L26" s="37">
        <f t="shared" si="0"/>
        <v>13.100399999999999</v>
      </c>
      <c r="M26" s="38" t="str">
        <f>IF(ISERROR(L26/H26), "", L26/H26)</f>
        <v/>
      </c>
    </row>
    <row r="27" spans="4:13" ht="25.5" x14ac:dyDescent="0.25">
      <c r="D27" s="54" t="s">
        <v>30</v>
      </c>
      <c r="E27" s="42"/>
      <c r="F27" s="56"/>
      <c r="G27" s="57"/>
      <c r="H27" s="58">
        <f>SUM(H24:H26)</f>
        <v>127.37729999999996</v>
      </c>
      <c r="I27" s="59"/>
      <c r="J27" s="47"/>
      <c r="K27" s="58">
        <f>SUM(K24:K26)</f>
        <v>146.84813999999997</v>
      </c>
      <c r="L27" s="48">
        <f t="shared" si="0"/>
        <v>19.47084000000001</v>
      </c>
      <c r="M27" s="49">
        <f>IF((H27)=0,"",(L27/H27))</f>
        <v>0.15285957545025697</v>
      </c>
    </row>
    <row r="28" spans="4:13" ht="25.5" x14ac:dyDescent="0.25">
      <c r="D28" s="19" t="s">
        <v>31</v>
      </c>
      <c r="E28" s="12"/>
      <c r="F28" s="39">
        <v>3.5999999999999999E-3</v>
      </c>
      <c r="G28" s="50">
        <f>E4*E6</f>
        <v>2183.3999999999996</v>
      </c>
      <c r="H28" s="62">
        <f t="shared" ref="H28:H33" si="6">G28*F28</f>
        <v>7.8602399999999983</v>
      </c>
      <c r="I28" s="40">
        <v>3.6000000000000003E-3</v>
      </c>
      <c r="J28" s="50">
        <f>E4*E7</f>
        <v>2183.3999999999996</v>
      </c>
      <c r="K28" s="62">
        <f t="shared" ref="K28:K33" si="7">J28*I28</f>
        <v>7.8602399999999992</v>
      </c>
      <c r="L28" s="37">
        <f t="shared" si="0"/>
        <v>0</v>
      </c>
      <c r="M28" s="38">
        <f t="shared" ref="M28:M33" si="8">IF(ISERROR(L28/H28), "", L28/H28)</f>
        <v>0</v>
      </c>
    </row>
    <row r="29" spans="4:13" ht="25.5" x14ac:dyDescent="0.25">
      <c r="D29" s="19" t="s">
        <v>32</v>
      </c>
      <c r="E29" s="12"/>
      <c r="F29" s="39">
        <v>2.9999999999999997E-4</v>
      </c>
      <c r="G29" s="50">
        <f>E4*E6</f>
        <v>2183.3999999999996</v>
      </c>
      <c r="H29" s="62">
        <f t="shared" si="6"/>
        <v>0.65501999999999982</v>
      </c>
      <c r="I29" s="40">
        <v>2.9999999999999997E-4</v>
      </c>
      <c r="J29" s="50">
        <f>E4*E7</f>
        <v>2183.3999999999996</v>
      </c>
      <c r="K29" s="62">
        <f t="shared" si="7"/>
        <v>0.65501999999999982</v>
      </c>
      <c r="L29" s="37">
        <f t="shared" si="0"/>
        <v>0</v>
      </c>
      <c r="M29" s="38">
        <f t="shared" si="8"/>
        <v>0</v>
      </c>
    </row>
    <row r="30" spans="4:13" x14ac:dyDescent="0.25">
      <c r="D30" s="20" t="s">
        <v>33</v>
      </c>
      <c r="E30" s="12"/>
      <c r="F30" s="52">
        <v>0.25</v>
      </c>
      <c r="G30" s="33">
        <v>1</v>
      </c>
      <c r="H30" s="62">
        <f t="shared" si="6"/>
        <v>0.25</v>
      </c>
      <c r="I30" s="53">
        <f>'[1]17. Regulatory Charges'!$D$17</f>
        <v>0.25</v>
      </c>
      <c r="J30" s="36">
        <v>1</v>
      </c>
      <c r="K30" s="62">
        <f t="shared" si="7"/>
        <v>0.25</v>
      </c>
      <c r="L30" s="37">
        <f t="shared" si="0"/>
        <v>0</v>
      </c>
      <c r="M30" s="38">
        <f t="shared" si="8"/>
        <v>0</v>
      </c>
    </row>
    <row r="31" spans="4:13" ht="25.5" x14ac:dyDescent="0.25">
      <c r="D31" s="19" t="s">
        <v>34</v>
      </c>
      <c r="E31" s="12"/>
      <c r="F31" s="39"/>
      <c r="G31" s="50"/>
      <c r="H31" s="62"/>
      <c r="I31" s="40"/>
      <c r="J31" s="50"/>
      <c r="K31" s="62"/>
      <c r="L31" s="37"/>
      <c r="M31" s="38"/>
    </row>
    <row r="32" spans="4:13" x14ac:dyDescent="0.25">
      <c r="D32" s="21" t="s">
        <v>41</v>
      </c>
      <c r="E32" s="12"/>
      <c r="F32" s="63">
        <v>7.6999999999999999E-2</v>
      </c>
      <c r="G32" s="64">
        <f>IF(E4-750&gt;0,750,E4)</f>
        <v>750</v>
      </c>
      <c r="H32" s="62">
        <f t="shared" si="6"/>
        <v>57.75</v>
      </c>
      <c r="I32" s="65">
        <f>F32</f>
        <v>7.6999999999999999E-2</v>
      </c>
      <c r="J32" s="64">
        <f>G32</f>
        <v>750</v>
      </c>
      <c r="K32" s="62">
        <f t="shared" si="7"/>
        <v>57.75</v>
      </c>
      <c r="L32" s="37">
        <f>K32-H32</f>
        <v>0</v>
      </c>
      <c r="M32" s="38">
        <f t="shared" si="8"/>
        <v>0</v>
      </c>
    </row>
    <row r="33" spans="4:13" ht="15.75" thickBot="1" x14ac:dyDescent="0.3">
      <c r="D33" s="21" t="s">
        <v>42</v>
      </c>
      <c r="E33" s="12"/>
      <c r="F33" s="63">
        <v>8.8999999999999996E-2</v>
      </c>
      <c r="G33" s="64">
        <f>IF(E4-750&gt;0,E4-750,0)</f>
        <v>1250</v>
      </c>
      <c r="H33" s="62">
        <f t="shared" si="6"/>
        <v>111.25</v>
      </c>
      <c r="I33" s="65">
        <f>F33</f>
        <v>8.8999999999999996E-2</v>
      </c>
      <c r="J33" s="64">
        <f>G33</f>
        <v>1250</v>
      </c>
      <c r="K33" s="62">
        <f t="shared" si="7"/>
        <v>111.25</v>
      </c>
      <c r="L33" s="37">
        <f>K33-H33</f>
        <v>0</v>
      </c>
      <c r="M33" s="38">
        <f t="shared" si="8"/>
        <v>0</v>
      </c>
    </row>
    <row r="34" spans="4:13" ht="15.75" thickBot="1" x14ac:dyDescent="0.3">
      <c r="D34" s="66"/>
      <c r="E34" s="67"/>
      <c r="F34" s="68"/>
      <c r="G34" s="69"/>
      <c r="H34" s="70"/>
      <c r="I34" s="68"/>
      <c r="J34" s="71"/>
      <c r="K34" s="70"/>
      <c r="L34" s="72"/>
      <c r="M34" s="73"/>
    </row>
    <row r="35" spans="4:13" x14ac:dyDescent="0.25">
      <c r="D35" s="22" t="s">
        <v>35</v>
      </c>
      <c r="E35" s="20"/>
      <c r="F35" s="74"/>
      <c r="G35" s="23"/>
      <c r="H35" s="75">
        <f>SUM(H28:H33,H27)</f>
        <v>305.14256</v>
      </c>
      <c r="I35" s="76"/>
      <c r="J35" s="76"/>
      <c r="K35" s="75">
        <f>SUM(K28:K33,K27)</f>
        <v>324.61339999999996</v>
      </c>
      <c r="L35" s="77">
        <f>K35-H35</f>
        <v>19.470839999999953</v>
      </c>
      <c r="M35" s="78">
        <f>IF((H35)=0,"",(L35/H35))</f>
        <v>6.380899472036923E-2</v>
      </c>
    </row>
    <row r="36" spans="4:13" x14ac:dyDescent="0.25">
      <c r="D36" s="24" t="s">
        <v>36</v>
      </c>
      <c r="E36" s="20"/>
      <c r="F36" s="74">
        <v>0.13</v>
      </c>
      <c r="G36" s="13"/>
      <c r="H36" s="79">
        <f>H35*F36</f>
        <v>39.668532800000001</v>
      </c>
      <c r="I36" s="80">
        <v>0.13</v>
      </c>
      <c r="J36" s="33"/>
      <c r="K36" s="79">
        <f>K35*I36</f>
        <v>42.199741999999993</v>
      </c>
      <c r="L36" s="81">
        <f>K36-H36</f>
        <v>2.5312091999999922</v>
      </c>
      <c r="M36" s="82">
        <f>IF((H36)=0,"",(L36/H36))</f>
        <v>6.3808994720369189E-2</v>
      </c>
    </row>
    <row r="37" spans="4:13" x14ac:dyDescent="0.25">
      <c r="D37" s="24" t="s">
        <v>37</v>
      </c>
      <c r="E37" s="20"/>
      <c r="F37" s="74">
        <v>0.08</v>
      </c>
      <c r="G37" s="13"/>
      <c r="H37" s="79">
        <f>H35*-F37</f>
        <v>-24.4114048</v>
      </c>
      <c r="I37" s="74">
        <v>0.08</v>
      </c>
      <c r="J37" s="33"/>
      <c r="K37" s="79">
        <f>K35*-I37</f>
        <v>-25.969071999999997</v>
      </c>
      <c r="L37" s="81">
        <f>K37-H37</f>
        <v>-1.5576671999999974</v>
      </c>
      <c r="M37" s="82"/>
    </row>
    <row r="38" spans="4:13" ht="15.75" customHeight="1" thickBot="1" x14ac:dyDescent="0.3">
      <c r="D38" s="98" t="s">
        <v>38</v>
      </c>
      <c r="E38" s="98"/>
      <c r="F38" s="83"/>
      <c r="G38" s="84"/>
      <c r="H38" s="85">
        <f>H35+H36+H37</f>
        <v>320.39968799999997</v>
      </c>
      <c r="I38" s="86"/>
      <c r="J38" s="86"/>
      <c r="K38" s="87">
        <f>K35+K36+K37</f>
        <v>340.84406999999999</v>
      </c>
      <c r="L38" s="88">
        <f>K38-H38</f>
        <v>20.444382000000019</v>
      </c>
      <c r="M38" s="89">
        <f>IF((H38)=0,"",(L38/H38))</f>
        <v>6.3808994720369452E-2</v>
      </c>
    </row>
    <row r="39" spans="4:13" ht="15.75" thickBot="1" x14ac:dyDescent="0.3">
      <c r="D39" s="66"/>
      <c r="E39" s="67"/>
      <c r="F39" s="68"/>
      <c r="G39" s="69"/>
      <c r="H39" s="70"/>
      <c r="I39" s="68"/>
      <c r="J39" s="71"/>
      <c r="K39" s="70"/>
      <c r="L39" s="72"/>
      <c r="M39" s="73"/>
    </row>
  </sheetData>
  <mergeCells count="9">
    <mergeCell ref="M10:M11"/>
    <mergeCell ref="D38:E38"/>
    <mergeCell ref="E2:J2"/>
    <mergeCell ref="E3:G3"/>
    <mergeCell ref="F9:H9"/>
    <mergeCell ref="I9:K9"/>
    <mergeCell ref="L10:L11"/>
    <mergeCell ref="L9:M9"/>
    <mergeCell ref="E10:E11"/>
  </mergeCells>
  <dataValidations disablePrompts="1" count="1">
    <dataValidation type="list" allowBlank="1" showInputMessage="1" showErrorMessage="1" prompt="Select Charge Unit - monthly, per kWh, per kW" sqref="E39 E34">
      <formula1>"Monthly, per kWh, per kW"</formula1>
    </dataValidation>
  </dataValidations>
  <pageMargins left="0.7" right="0.7" top="0.75" bottom="0.75" header="0.3" footer="0.3"/>
  <pageSetup scale="66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R1(i) Bill Impact 393kWh</vt:lpstr>
      <vt:lpstr>R1(i) Bill Impact 750kWh</vt:lpstr>
      <vt:lpstr>R1(ii) Bill Impact 2000kWh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Beharriell, Greg</cp:lastModifiedBy>
  <dcterms:modified xsi:type="dcterms:W3CDTF">2018-10-01T19:08:12Z</dcterms:modified>
</cp:coreProperties>
</file>