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WELL-FILE01\Data\Company Shared Folders\CoS &amp; IRM\2019 IRM\GA Analysis\"/>
    </mc:Choice>
  </mc:AlternateContent>
  <xr:revisionPtr revIDLastSave="0" documentId="13_ncr:1_{5EE8B659-E861-445E-807E-B55DB2B7C6F6}" xr6:coauthVersionLast="36" xr6:coauthVersionMax="36" xr10:uidLastSave="{00000000-0000-0000-0000-000000000000}"/>
  <bookViews>
    <workbookView xWindow="0" yWindow="0" windowWidth="28770" windowHeight="13620" xr2:uid="{00000000-000D-0000-FFFF-FFFF00000000}"/>
  </bookViews>
  <sheets>
    <sheet name="CT148 true up" sheetId="6" r:id="rId1"/>
  </sheets>
  <definedNames>
    <definedName name="GARate" localSheetId="0">#REF!</definedName>
    <definedName name="GARate">#REF!</definedName>
    <definedName name="_xlnm.Print_Area" localSheetId="0">'CT148 true up'!#REF!</definedName>
  </definedNames>
  <calcPr calcId="162913"/>
  <fileRecoveryPr autoRecover="0"/>
</workbook>
</file>

<file path=xl/calcChain.xml><?xml version="1.0" encoding="utf-8"?>
<calcChain xmlns="http://schemas.openxmlformats.org/spreadsheetml/2006/main">
  <c r="R3" i="6" l="1"/>
  <c r="I15" i="6"/>
  <c r="J15" i="6"/>
  <c r="K15" i="6"/>
  <c r="M15" i="6"/>
  <c r="O15" i="6"/>
  <c r="P15" i="6"/>
  <c r="P3" i="6"/>
  <c r="G15" i="6"/>
  <c r="P14" i="6"/>
  <c r="K14" i="6"/>
  <c r="M14" i="6" s="1"/>
  <c r="P13" i="6"/>
  <c r="K13" i="6"/>
  <c r="M13" i="6" s="1"/>
  <c r="P12" i="6"/>
  <c r="K12" i="6"/>
  <c r="M12" i="6" s="1"/>
  <c r="P11" i="6"/>
  <c r="K11" i="6"/>
  <c r="M11" i="6" s="1"/>
  <c r="A11" i="6"/>
  <c r="B11" i="6" s="1"/>
  <c r="P10" i="6"/>
  <c r="K10" i="6"/>
  <c r="M10" i="6" s="1"/>
  <c r="P9" i="6"/>
  <c r="K9" i="6"/>
  <c r="M9" i="6" s="1"/>
  <c r="A9" i="6"/>
  <c r="B9" i="6" s="1"/>
  <c r="P8" i="6"/>
  <c r="K8" i="6"/>
  <c r="M8" i="6" s="1"/>
  <c r="P7" i="6"/>
  <c r="K7" i="6"/>
  <c r="M7" i="6" s="1"/>
  <c r="P6" i="6"/>
  <c r="K6" i="6"/>
  <c r="M6" i="6" s="1"/>
  <c r="P5" i="6"/>
  <c r="K5" i="6"/>
  <c r="M5" i="6" s="1"/>
  <c r="P4" i="6"/>
  <c r="K4" i="6"/>
  <c r="M4" i="6" s="1"/>
  <c r="A4" i="6"/>
  <c r="B4" i="6" s="1"/>
  <c r="K3" i="6"/>
  <c r="M3" i="6" s="1"/>
  <c r="O3" i="6" s="1"/>
  <c r="C9" i="6" l="1"/>
  <c r="C11" i="6"/>
  <c r="D11" i="6" s="1"/>
  <c r="E11" i="6" s="1"/>
  <c r="A5" i="6"/>
  <c r="B5" i="6" s="1"/>
  <c r="C5" i="6" s="1"/>
  <c r="F5" i="6" s="1"/>
  <c r="A7" i="6"/>
  <c r="B7" i="6" s="1"/>
  <c r="C7" i="6" s="1"/>
  <c r="D7" i="6" s="1"/>
  <c r="E7" i="6" s="1"/>
  <c r="A8" i="6"/>
  <c r="B8" i="6" s="1"/>
  <c r="C8" i="6" s="1"/>
  <c r="D8" i="6" s="1"/>
  <c r="E8" i="6" s="1"/>
  <c r="A10" i="6"/>
  <c r="B10" i="6" s="1"/>
  <c r="C10" i="6" s="1"/>
  <c r="D10" i="6" s="1"/>
  <c r="E10" i="6" s="1"/>
  <c r="A14" i="6"/>
  <c r="B14" i="6" s="1"/>
  <c r="C14" i="6" s="1"/>
  <c r="D14" i="6" s="1"/>
  <c r="E14" i="6" s="1"/>
  <c r="A6" i="6"/>
  <c r="B6" i="6" s="1"/>
  <c r="C6" i="6" s="1"/>
  <c r="C4" i="6"/>
  <c r="A3" i="6"/>
  <c r="D9" i="6"/>
  <c r="E9" i="6" s="1"/>
  <c r="A12" i="6"/>
  <c r="B12" i="6" s="1"/>
  <c r="C12" i="6" s="1"/>
  <c r="A13" i="6"/>
  <c r="B13" i="6" s="1"/>
  <c r="C13" i="6" s="1"/>
  <c r="O9" i="6" l="1"/>
  <c r="R9" i="6" s="1"/>
  <c r="O7" i="6"/>
  <c r="O13" i="6"/>
  <c r="R13" i="6" s="1"/>
  <c r="O14" i="6"/>
  <c r="R14" i="6" s="1"/>
  <c r="O10" i="6"/>
  <c r="R10" i="6" s="1"/>
  <c r="O6" i="6"/>
  <c r="O11" i="6"/>
  <c r="R11" i="6" s="1"/>
  <c r="O8" i="6"/>
  <c r="F11" i="6"/>
  <c r="D5" i="6"/>
  <c r="E5" i="6" s="1"/>
  <c r="O5" i="6"/>
  <c r="O4" i="6"/>
  <c r="F10" i="6"/>
  <c r="F7" i="6"/>
  <c r="F9" i="6"/>
  <c r="B3" i="6"/>
  <c r="A15" i="6"/>
  <c r="F8" i="6"/>
  <c r="F13" i="6"/>
  <c r="D13" i="6"/>
  <c r="E13" i="6" s="1"/>
  <c r="F14" i="6"/>
  <c r="O12" i="6"/>
  <c r="F12" i="6"/>
  <c r="D12" i="6"/>
  <c r="E12" i="6" s="1"/>
  <c r="F4" i="6"/>
  <c r="D4" i="6"/>
  <c r="E4" i="6" s="1"/>
  <c r="D6" i="6"/>
  <c r="E6" i="6" s="1"/>
  <c r="F6" i="6"/>
  <c r="R7" i="6" l="1"/>
  <c r="R6" i="6"/>
  <c r="R5" i="6"/>
  <c r="R4" i="6"/>
  <c r="R12" i="6"/>
  <c r="R8" i="6"/>
  <c r="B15" i="6"/>
  <c r="C3" i="6"/>
  <c r="Q15" i="6" l="1"/>
  <c r="C15" i="6"/>
  <c r="F3" i="6"/>
  <c r="F15" i="6" s="1"/>
  <c r="D3" i="6"/>
  <c r="R15" i="6"/>
  <c r="D15" i="6" l="1"/>
  <c r="E3" i="6"/>
  <c r="E15" i="6" s="1"/>
  <c r="F16" i="6" s="1"/>
</calcChain>
</file>

<file path=xl/sharedStrings.xml><?xml version="1.0" encoding="utf-8"?>
<sst xmlns="http://schemas.openxmlformats.org/spreadsheetml/2006/main" count="27" uniqueCount="27">
  <si>
    <t>May</t>
  </si>
  <si>
    <t>June</t>
  </si>
  <si>
    <t>July</t>
  </si>
  <si>
    <t>IESO Invoice Kwh @ Actual posted GA rate</t>
  </si>
  <si>
    <t>Total actual Kwh @ actual posted GA rate</t>
  </si>
  <si>
    <t>IESO invoice Non-RPP Kwh @ actual posted GA rate</t>
  </si>
  <si>
    <t>IESO GA Chg on Inv</t>
  </si>
  <si>
    <t>$ Non-RPP GA Chg difference (Posted Actual vs actual invoices)</t>
  </si>
  <si>
    <t>Actual posted GA rate</t>
  </si>
  <si>
    <t>Actual Non-RPP %</t>
  </si>
  <si>
    <t>$ Non-RPP GA at actual posted actual GA rate (IESO+ H1)</t>
  </si>
  <si>
    <t xml:space="preserve">$ Non-RPP GA in the GL </t>
  </si>
  <si>
    <t xml:space="preserve">Total actual Kwh </t>
  </si>
  <si>
    <t>Non-RPP Kwh (IESO+ H1)</t>
  </si>
  <si>
    <t>Year 2017</t>
  </si>
  <si>
    <t>Feb</t>
  </si>
  <si>
    <t>Jan.</t>
  </si>
  <si>
    <t>Mar.</t>
  </si>
  <si>
    <t>Apr.</t>
  </si>
  <si>
    <t>Aug.</t>
  </si>
  <si>
    <t>Sept.</t>
  </si>
  <si>
    <t>Oct.</t>
  </si>
  <si>
    <t>Nov.</t>
  </si>
  <si>
    <t>Dec.</t>
  </si>
  <si>
    <t>Hydro One Kwh</t>
  </si>
  <si>
    <t>CT148 IESO kwh+Generations</t>
  </si>
  <si>
    <t>$ Difference caused by IESO GA chg rate vs. published GA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</si>
</sst>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8" formatCode="0.00000"/>
    <numFmt numFmtId="170" formatCode="0.000%"/>
    <numFmt numFmtId="172" formatCode="_(* #,##0.00000_);_(* \(#,##0.00000\);_(* &quot;-&quot;???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/>
    <xf numFmtId="0" fontId="5" fillId="0" borderId="0" xfId="0" applyFont="1" applyFill="1"/>
    <xf numFmtId="0" fontId="6" fillId="0" borderId="0" xfId="0" applyFont="1" applyBorder="1"/>
    <xf numFmtId="0" fontId="6" fillId="0" borderId="0" xfId="0" applyFont="1" applyFill="1"/>
    <xf numFmtId="0" fontId="7" fillId="0" borderId="0" xfId="0" applyFont="1" applyAlignment="1">
      <alignment wrapText="1"/>
    </xf>
    <xf numFmtId="43" fontId="6" fillId="0" borderId="0" xfId="0" applyNumberFormat="1" applyFont="1"/>
    <xf numFmtId="43" fontId="6" fillId="0" borderId="2" xfId="0" applyNumberFormat="1" applyFont="1" applyBorder="1"/>
    <xf numFmtId="168" fontId="6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3" fontId="3" fillId="0" borderId="2" xfId="0" applyNumberFormat="1" applyFont="1" applyBorder="1"/>
    <xf numFmtId="43" fontId="6" fillId="0" borderId="4" xfId="0" applyNumberFormat="1" applyFont="1" applyBorder="1"/>
    <xf numFmtId="170" fontId="6" fillId="0" borderId="5" xfId="0" applyNumberFormat="1" applyFont="1" applyBorder="1"/>
    <xf numFmtId="43" fontId="6" fillId="0" borderId="5" xfId="0" applyNumberFormat="1" applyFont="1" applyBorder="1"/>
    <xf numFmtId="172" fontId="6" fillId="0" borderId="5" xfId="0" applyNumberFormat="1" applyFont="1" applyBorder="1"/>
    <xf numFmtId="0" fontId="3" fillId="0" borderId="7" xfId="0" applyFont="1" applyBorder="1" applyAlignment="1">
      <alignment wrapText="1"/>
    </xf>
    <xf numFmtId="43" fontId="6" fillId="0" borderId="6" xfId="0" applyNumberFormat="1" applyFont="1" applyBorder="1"/>
    <xf numFmtId="43" fontId="6" fillId="0" borderId="8" xfId="0" applyNumberFormat="1" applyFont="1" applyBorder="1"/>
    <xf numFmtId="0" fontId="3" fillId="0" borderId="9" xfId="0" applyFont="1" applyBorder="1" applyAlignment="1">
      <alignment wrapText="1"/>
    </xf>
    <xf numFmtId="43" fontId="3" fillId="0" borderId="11" xfId="0" applyNumberFormat="1" applyFont="1" applyBorder="1"/>
    <xf numFmtId="43" fontId="6" fillId="0" borderId="1" xfId="0" applyNumberFormat="1" applyFont="1" applyBorder="1"/>
    <xf numFmtId="170" fontId="6" fillId="0" borderId="1" xfId="0" applyNumberFormat="1" applyFont="1" applyBorder="1"/>
    <xf numFmtId="172" fontId="6" fillId="0" borderId="1" xfId="0" applyNumberFormat="1" applyFont="1" applyBorder="1"/>
    <xf numFmtId="43" fontId="6" fillId="0" borderId="13" xfId="0" applyNumberFormat="1" applyFont="1" applyBorder="1"/>
    <xf numFmtId="43" fontId="6" fillId="0" borderId="3" xfId="0" applyNumberFormat="1" applyFont="1" applyBorder="1"/>
    <xf numFmtId="170" fontId="6" fillId="0" borderId="3" xfId="0" applyNumberFormat="1" applyFont="1" applyBorder="1"/>
    <xf numFmtId="172" fontId="6" fillId="0" borderId="3" xfId="0" applyNumberFormat="1" applyFont="1" applyBorder="1"/>
    <xf numFmtId="43" fontId="6" fillId="0" borderId="14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43" fontId="6" fillId="0" borderId="18" xfId="0" applyNumberFormat="1" applyFont="1" applyBorder="1"/>
    <xf numFmtId="43" fontId="2" fillId="0" borderId="12" xfId="0" applyNumberFormat="1" applyFont="1" applyBorder="1"/>
    <xf numFmtId="43" fontId="2" fillId="0" borderId="10" xfId="0" applyNumberFormat="1" applyFont="1" applyBorder="1"/>
    <xf numFmtId="0" fontId="3" fillId="0" borderId="20" xfId="0" applyFont="1" applyBorder="1" applyAlignment="1">
      <alignment wrapText="1"/>
    </xf>
    <xf numFmtId="0" fontId="3" fillId="0" borderId="19" xfId="0" applyFont="1" applyFill="1" applyBorder="1" applyAlignment="1">
      <alignment horizontal="center" wrapText="1"/>
    </xf>
    <xf numFmtId="43" fontId="6" fillId="0" borderId="15" xfId="0" applyNumberFormat="1" applyFont="1" applyBorder="1"/>
  </cellXfs>
  <cellStyles count="4">
    <cellStyle name="Currency 2" xfId="3" xr:uid="{3E9A4922-5355-4270-A0C8-C6B07A0F3E77}"/>
    <cellStyle name="Normal" xfId="0" builtinId="0"/>
    <cellStyle name="Normal 2" xfId="1" xr:uid="{00000000-0005-0000-0000-000003000000}"/>
    <cellStyle name="Percent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BAB277-6FB0-4EFA-9622-1F82456A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74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9432646-EAF5-43DC-B34E-F4771DEDCA81}"/>
            </a:ext>
          </a:extLst>
        </xdr:cNvPr>
        <xdr:cNvSpPr/>
      </xdr:nvSpPr>
      <xdr:spPr>
        <a:xfrm>
          <a:off x="28575" y="695325"/>
          <a:ext cx="86201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9E9625C-5E83-48E1-8CDA-8C1E677C1B80}"/>
            </a:ext>
          </a:extLst>
        </xdr:cNvPr>
        <xdr:cNvSpPr/>
      </xdr:nvSpPr>
      <xdr:spPr>
        <a:xfrm>
          <a:off x="638175" y="123825"/>
          <a:ext cx="455945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EE2A2E-171C-45CA-B936-8E5167F3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1F91-A1C0-4120-98B8-9019D074B40D}">
  <dimension ref="A1:R48"/>
  <sheetViews>
    <sheetView tabSelected="1" topLeftCell="H1" zoomScaleNormal="100" zoomScaleSheetLayoutView="100" workbookViewId="0">
      <selection activeCell="R21" sqref="R21"/>
    </sheetView>
  </sheetViews>
  <sheetFormatPr defaultColWidth="9.140625" defaultRowHeight="14.25" x14ac:dyDescent="0.2"/>
  <cols>
    <col min="1" max="1" width="15.7109375" style="2" hidden="1" customWidth="1"/>
    <col min="2" max="2" width="16.85546875" style="2" hidden="1" customWidth="1"/>
    <col min="3" max="3" width="15.7109375" style="2" hidden="1" customWidth="1"/>
    <col min="4" max="4" width="14.5703125" style="2" hidden="1" customWidth="1"/>
    <col min="5" max="5" width="11.5703125" style="2" hidden="1" customWidth="1"/>
    <col min="6" max="6" width="12.28515625" style="2" hidden="1" customWidth="1"/>
    <col min="7" max="7" width="14.5703125" style="2" hidden="1" customWidth="1"/>
    <col min="8" max="8" width="8.42578125" style="2" customWidth="1"/>
    <col min="9" max="9" width="15.7109375" style="2" bestFit="1" customWidth="1"/>
    <col min="10" max="10" width="15.7109375" style="2" customWidth="1"/>
    <col min="11" max="11" width="16.85546875" style="2" bestFit="1" customWidth="1"/>
    <col min="12" max="12" width="16.5703125" style="2" customWidth="1"/>
    <col min="13" max="13" width="17.42578125" style="2" bestFit="1" customWidth="1"/>
    <col min="14" max="14" width="17.42578125" style="2" customWidth="1"/>
    <col min="15" max="16" width="14.5703125" style="2" bestFit="1" customWidth="1"/>
    <col min="17" max="17" width="12.85546875" style="2" bestFit="1" customWidth="1"/>
    <col min="18" max="18" width="14.5703125" style="2" bestFit="1" customWidth="1"/>
    <col min="19" max="16384" width="9.140625" style="2"/>
  </cols>
  <sheetData>
    <row r="1" spans="1:18" s="6" customFormat="1" ht="80.25" customHeight="1" thickBot="1" x14ac:dyDescent="0.3">
      <c r="G1" s="10"/>
      <c r="H1" s="10"/>
      <c r="K1" s="10"/>
      <c r="L1" s="10"/>
      <c r="Q1" s="10"/>
    </row>
    <row r="2" spans="1:18" s="6" customFormat="1" ht="115.5" customHeight="1" thickTop="1" x14ac:dyDescent="0.25">
      <c r="A2" s="6" t="s">
        <v>3</v>
      </c>
      <c r="B2" s="1" t="s">
        <v>4</v>
      </c>
      <c r="C2" s="1" t="s">
        <v>5</v>
      </c>
      <c r="D2" s="1"/>
      <c r="E2" s="1"/>
      <c r="F2" s="1"/>
      <c r="G2" s="11" t="s">
        <v>6</v>
      </c>
      <c r="H2" s="36" t="s">
        <v>14</v>
      </c>
      <c r="I2" s="35" t="s">
        <v>24</v>
      </c>
      <c r="J2" s="17" t="s">
        <v>25</v>
      </c>
      <c r="K2" s="17" t="s">
        <v>12</v>
      </c>
      <c r="L2" s="17" t="s">
        <v>9</v>
      </c>
      <c r="M2" s="17" t="s">
        <v>13</v>
      </c>
      <c r="N2" s="17" t="s">
        <v>8</v>
      </c>
      <c r="O2" s="17" t="s">
        <v>10</v>
      </c>
      <c r="P2" s="17" t="s">
        <v>11</v>
      </c>
      <c r="Q2" s="17" t="s">
        <v>26</v>
      </c>
      <c r="R2" s="20" t="s">
        <v>7</v>
      </c>
    </row>
    <row r="3" spans="1:18" x14ac:dyDescent="0.2">
      <c r="A3" s="7" t="e">
        <f>+G3/#REF!</f>
        <v>#REF!</v>
      </c>
      <c r="B3" s="7" t="e">
        <f>+A3+I3</f>
        <v>#REF!</v>
      </c>
      <c r="C3" s="7" t="e">
        <f>ROUND(+B3*#REF!,2)</f>
        <v>#REF!</v>
      </c>
      <c r="D3" s="7" t="e">
        <f>+C3*#REF!</f>
        <v>#REF!</v>
      </c>
      <c r="E3" s="7" t="e">
        <f>+D3-P3</f>
        <v>#REF!</v>
      </c>
      <c r="F3" s="7" t="e">
        <f>+(C3-#REF!)*#REF!</f>
        <v>#REF!</v>
      </c>
      <c r="G3" s="7">
        <v>341823.45</v>
      </c>
      <c r="H3" s="33" t="s">
        <v>16</v>
      </c>
      <c r="I3" s="30">
        <v>8929252.25</v>
      </c>
      <c r="J3" s="22">
        <v>4153242.3</v>
      </c>
      <c r="K3" s="22">
        <f>+I3+J3</f>
        <v>13082494.550000001</v>
      </c>
      <c r="L3" s="23">
        <v>0.52766999999999997</v>
      </c>
      <c r="M3" s="22">
        <f>+ROUND(K3*L3,2)</f>
        <v>6903239.9000000004</v>
      </c>
      <c r="N3" s="24">
        <v>8.2269999999999996E-2</v>
      </c>
      <c r="O3" s="22">
        <f>+M3*N3</f>
        <v>567929.54657300003</v>
      </c>
      <c r="P3" s="22">
        <f>169404.28+364065.16</f>
        <v>533469.43999999994</v>
      </c>
      <c r="Q3" s="22">
        <v>71.870000000024447</v>
      </c>
      <c r="R3" s="25">
        <f>+O3+Q3-P3</f>
        <v>34531.97657300008</v>
      </c>
    </row>
    <row r="4" spans="1:18" x14ac:dyDescent="0.2">
      <c r="A4" s="7" t="e">
        <f>316791.61/#REF!</f>
        <v>#REF!</v>
      </c>
      <c r="B4" s="7" t="e">
        <f t="shared" ref="B4:B14" si="0">+A4+I4</f>
        <v>#REF!</v>
      </c>
      <c r="C4" s="7" t="e">
        <f>ROUND(+B4*#REF!,2)</f>
        <v>#REF!</v>
      </c>
      <c r="D4" s="7" t="e">
        <f>+C4*#REF!</f>
        <v>#REF!</v>
      </c>
      <c r="E4" s="7" t="e">
        <f>+D4-P4</f>
        <v>#REF!</v>
      </c>
      <c r="F4" s="7" t="e">
        <f>+(C4-#REF!)*#REF!</f>
        <v>#REF!</v>
      </c>
      <c r="G4" s="7">
        <v>316791.61</v>
      </c>
      <c r="H4" s="34" t="s">
        <v>15</v>
      </c>
      <c r="I4" s="13">
        <v>7893338.2699999996</v>
      </c>
      <c r="J4" s="15">
        <v>3666942.67</v>
      </c>
      <c r="K4" s="15">
        <f t="shared" ref="K4:K14" si="1">+I4+J4</f>
        <v>11560280.939999999</v>
      </c>
      <c r="L4" s="14">
        <v>0.54133999999999993</v>
      </c>
      <c r="M4" s="15">
        <f t="shared" ref="M4:M14" si="2">+ROUND(K4*L4,2)</f>
        <v>6258042.4800000004</v>
      </c>
      <c r="N4" s="16">
        <v>8.6389999999999995E-2</v>
      </c>
      <c r="O4" s="15">
        <f>+M4*N4</f>
        <v>540632.28984720004</v>
      </c>
      <c r="P4" s="15">
        <f>167161.43+359821.07</f>
        <v>526982.5</v>
      </c>
      <c r="Q4" s="15">
        <v>2.3999999999941792</v>
      </c>
      <c r="R4" s="18">
        <f>+O4+Q4-P4</f>
        <v>13652.189847200061</v>
      </c>
    </row>
    <row r="5" spans="1:18" x14ac:dyDescent="0.2">
      <c r="A5" s="7" t="e">
        <f>289317.44/#REF!</f>
        <v>#REF!</v>
      </c>
      <c r="B5" s="7" t="e">
        <f t="shared" si="0"/>
        <v>#REF!</v>
      </c>
      <c r="C5" s="7" t="e">
        <f>ROUND(+B5*#REF!,2)</f>
        <v>#REF!</v>
      </c>
      <c r="D5" s="7" t="e">
        <f>+C5*#REF!</f>
        <v>#REF!</v>
      </c>
      <c r="E5" s="7" t="e">
        <f>+D5-P5</f>
        <v>#REF!</v>
      </c>
      <c r="F5" s="7" t="e">
        <f>+(C5-#REF!)*#REF!</f>
        <v>#REF!</v>
      </c>
      <c r="G5" s="7">
        <v>289317.44</v>
      </c>
      <c r="H5" s="34" t="s">
        <v>17</v>
      </c>
      <c r="I5" s="13">
        <v>8543046.3200000003</v>
      </c>
      <c r="J5" s="15">
        <v>4055005.29</v>
      </c>
      <c r="K5" s="15">
        <f t="shared" si="1"/>
        <v>12598051.609999999</v>
      </c>
      <c r="L5" s="14">
        <v>0.54096999999999995</v>
      </c>
      <c r="M5" s="15">
        <f t="shared" si="2"/>
        <v>6815167.9800000004</v>
      </c>
      <c r="N5" s="16">
        <v>7.1349999999999997E-2</v>
      </c>
      <c r="O5" s="15">
        <f>+M5*N5</f>
        <v>486262.23537300003</v>
      </c>
      <c r="P5" s="15">
        <f>156619.1+329971.83</f>
        <v>486590.93000000005</v>
      </c>
      <c r="Q5" s="15">
        <v>-3.8800000000046566</v>
      </c>
      <c r="R5" s="18">
        <f>+O5+Q5-P5</f>
        <v>-332.57462700002361</v>
      </c>
    </row>
    <row r="6" spans="1:18" x14ac:dyDescent="0.2">
      <c r="A6" s="7" t="e">
        <f>389906.46/#REF!</f>
        <v>#REF!</v>
      </c>
      <c r="B6" s="7" t="e">
        <f t="shared" si="0"/>
        <v>#REF!</v>
      </c>
      <c r="C6" s="7" t="e">
        <f>ROUND(+B6*#REF!,2)</f>
        <v>#REF!</v>
      </c>
      <c r="D6" s="7" t="e">
        <f>+C6*#REF!</f>
        <v>#REF!</v>
      </c>
      <c r="E6" s="7" t="e">
        <f>+D6-P6</f>
        <v>#REF!</v>
      </c>
      <c r="F6" s="7" t="e">
        <f>+(C6-#REF!)*#REF!</f>
        <v>#REF!</v>
      </c>
      <c r="G6" s="7">
        <v>389906.46</v>
      </c>
      <c r="H6" s="34" t="s">
        <v>18</v>
      </c>
      <c r="I6" s="13">
        <v>7139112.6100000003</v>
      </c>
      <c r="J6" s="15">
        <v>3547212.5900000003</v>
      </c>
      <c r="K6" s="15">
        <f t="shared" si="1"/>
        <v>10686325.200000001</v>
      </c>
      <c r="L6" s="14">
        <v>0.55770999999999993</v>
      </c>
      <c r="M6" s="15">
        <f t="shared" si="2"/>
        <v>5959870.4299999997</v>
      </c>
      <c r="N6" s="16">
        <v>0.10778</v>
      </c>
      <c r="O6" s="15">
        <f>+M6*N6</f>
        <v>642354.83494540001</v>
      </c>
      <c r="P6" s="15">
        <f>210927.7+416251.29</f>
        <v>627178.99</v>
      </c>
      <c r="Q6" s="15">
        <v>4231.8399999999965</v>
      </c>
      <c r="R6" s="18">
        <f>+O6+Q6-P6</f>
        <v>19407.684945399989</v>
      </c>
    </row>
    <row r="7" spans="1:18" x14ac:dyDescent="0.2">
      <c r="A7" s="7" t="e">
        <f>469142.29/#REF!</f>
        <v>#REF!</v>
      </c>
      <c r="B7" s="7" t="e">
        <f t="shared" si="0"/>
        <v>#REF!</v>
      </c>
      <c r="C7" s="7" t="e">
        <f>ROUND(+B7*#REF!,2)</f>
        <v>#REF!</v>
      </c>
      <c r="D7" s="7" t="e">
        <f>+C7*#REF!</f>
        <v>#REF!</v>
      </c>
      <c r="E7" s="7" t="e">
        <f>+D7-P7</f>
        <v>#REF!</v>
      </c>
      <c r="F7" s="7" t="e">
        <f>+(C7-#REF!)*#REF!</f>
        <v>#REF!</v>
      </c>
      <c r="G7" s="7">
        <v>469142.29</v>
      </c>
      <c r="H7" s="34" t="s">
        <v>0</v>
      </c>
      <c r="I7" s="13">
        <v>7086457.9699999997</v>
      </c>
      <c r="J7" s="15">
        <v>3761055.46</v>
      </c>
      <c r="K7" s="15">
        <f t="shared" si="1"/>
        <v>10847513.43</v>
      </c>
      <c r="L7" s="14">
        <v>0.56010000000000004</v>
      </c>
      <c r="M7" s="15">
        <f t="shared" si="2"/>
        <v>6075692.2699999996</v>
      </c>
      <c r="N7" s="16">
        <v>0.12307</v>
      </c>
      <c r="O7" s="15">
        <f>+M7*N7</f>
        <v>747735.4476688999</v>
      </c>
      <c r="P7" s="15">
        <f>261645.35+486395.83</f>
        <v>748041.18</v>
      </c>
      <c r="Q7" s="15">
        <v>3511.3799999999756</v>
      </c>
      <c r="R7" s="18">
        <f>+O7+Q7-P7</f>
        <v>3205.6476688998519</v>
      </c>
    </row>
    <row r="8" spans="1:18" x14ac:dyDescent="0.2">
      <c r="A8" s="7" t="e">
        <f>423806.9/#REF!</f>
        <v>#REF!</v>
      </c>
      <c r="B8" s="7" t="e">
        <f t="shared" si="0"/>
        <v>#REF!</v>
      </c>
      <c r="C8" s="7" t="e">
        <f>ROUND(+B8*#REF!,2)</f>
        <v>#REF!</v>
      </c>
      <c r="D8" s="7" t="e">
        <f>+C8*#REF!</f>
        <v>#REF!</v>
      </c>
      <c r="E8" s="7" t="e">
        <f>+D8-P8</f>
        <v>#REF!</v>
      </c>
      <c r="F8" s="7" t="e">
        <f>+(C8-#REF!)*#REF!</f>
        <v>#REF!</v>
      </c>
      <c r="G8" s="7">
        <v>423806.9</v>
      </c>
      <c r="H8" s="34" t="s">
        <v>1</v>
      </c>
      <c r="I8" s="13">
        <v>7607113.1699999999</v>
      </c>
      <c r="J8" s="15">
        <v>3894302.35</v>
      </c>
      <c r="K8" s="15">
        <f t="shared" si="1"/>
        <v>11501415.52</v>
      </c>
      <c r="L8" s="14">
        <v>0.55825999999999998</v>
      </c>
      <c r="M8" s="15">
        <f t="shared" si="2"/>
        <v>6420780.2300000004</v>
      </c>
      <c r="N8" s="16">
        <v>0.11848</v>
      </c>
      <c r="O8" s="15">
        <f>+M8*N8</f>
        <v>760734.04165040003</v>
      </c>
      <c r="P8" s="15">
        <f>237374.24+504812.96</f>
        <v>742187.2</v>
      </c>
      <c r="Q8" s="15">
        <v>-20985.01999999999</v>
      </c>
      <c r="R8" s="18">
        <f>+O8+Q8-P8</f>
        <v>-2438.1783495999407</v>
      </c>
    </row>
    <row r="9" spans="1:18" x14ac:dyDescent="0.2">
      <c r="A9" s="7" t="e">
        <f>483157.48/#REF!</f>
        <v>#REF!</v>
      </c>
      <c r="B9" s="7" t="e">
        <f t="shared" si="0"/>
        <v>#REF!</v>
      </c>
      <c r="C9" s="7" t="e">
        <f>ROUND(+B9*#REF!,2)</f>
        <v>#REF!</v>
      </c>
      <c r="D9" s="7" t="e">
        <f>+C9*#REF!</f>
        <v>#REF!</v>
      </c>
      <c r="E9" s="7" t="e">
        <f>+D9-P9</f>
        <v>#REF!</v>
      </c>
      <c r="F9" s="7" t="e">
        <f>+(C9-#REF!)*#REF!</f>
        <v>#REF!</v>
      </c>
      <c r="G9" s="7">
        <v>483157.48</v>
      </c>
      <c r="H9" s="34" t="s">
        <v>2</v>
      </c>
      <c r="I9" s="13">
        <v>8078875.6500000004</v>
      </c>
      <c r="J9" s="15">
        <v>3865913.82</v>
      </c>
      <c r="K9" s="15">
        <f t="shared" si="1"/>
        <v>11944789.470000001</v>
      </c>
      <c r="L9" s="14">
        <v>0.52665000000000006</v>
      </c>
      <c r="M9" s="15">
        <f t="shared" si="2"/>
        <v>6290723.3700000001</v>
      </c>
      <c r="N9" s="16">
        <v>0.1128</v>
      </c>
      <c r="O9" s="15">
        <f>+M9*N9</f>
        <v>709593.59613600001</v>
      </c>
      <c r="P9" s="15">
        <f>254454.89+479934.65</f>
        <v>734389.54</v>
      </c>
      <c r="Q9" s="15">
        <v>24795.950000000012</v>
      </c>
      <c r="R9" s="18">
        <f>+O9+Q9-P9</f>
        <v>6.1359999235719442E-3</v>
      </c>
    </row>
    <row r="10" spans="1:18" x14ac:dyDescent="0.2">
      <c r="A10" s="7" t="e">
        <f>395487.78/#REF!</f>
        <v>#REF!</v>
      </c>
      <c r="B10" s="7" t="e">
        <f t="shared" si="0"/>
        <v>#REF!</v>
      </c>
      <c r="C10" s="7" t="e">
        <f>ROUND(+B10*#REF!,2)</f>
        <v>#REF!</v>
      </c>
      <c r="D10" s="7" t="e">
        <f>+C10*#REF!</f>
        <v>#REF!</v>
      </c>
      <c r="E10" s="7" t="e">
        <f>+D10-P10</f>
        <v>#REF!</v>
      </c>
      <c r="F10" s="7" t="e">
        <f>+(C10-#REF!)*#REF!</f>
        <v>#REF!</v>
      </c>
      <c r="G10" s="7">
        <v>395487.78</v>
      </c>
      <c r="H10" s="34" t="s">
        <v>19</v>
      </c>
      <c r="I10" s="13">
        <v>7600782.1299999999</v>
      </c>
      <c r="J10" s="15">
        <v>3914929.32</v>
      </c>
      <c r="K10" s="15">
        <f t="shared" si="1"/>
        <v>11515711.449999999</v>
      </c>
      <c r="L10" s="14">
        <v>0.53432999999999997</v>
      </c>
      <c r="M10" s="15">
        <f t="shared" si="2"/>
        <v>6153190.0999999996</v>
      </c>
      <c r="N10" s="16">
        <v>0.10109</v>
      </c>
      <c r="O10" s="15">
        <f>+M10*N10</f>
        <v>622025.98720899993</v>
      </c>
      <c r="P10" s="15">
        <f>211320.99+410559.44</f>
        <v>621880.42999999993</v>
      </c>
      <c r="Q10" s="15">
        <v>-145.55999999999767</v>
      </c>
      <c r="R10" s="18">
        <f>+O10+Q10-P10</f>
        <v>-2.7910000644624233E-3</v>
      </c>
    </row>
    <row r="11" spans="1:18" x14ac:dyDescent="0.2">
      <c r="A11" s="7" t="e">
        <f>331064.19/#REF!</f>
        <v>#REF!</v>
      </c>
      <c r="B11" s="7" t="e">
        <f t="shared" si="0"/>
        <v>#REF!</v>
      </c>
      <c r="C11" s="7" t="e">
        <f>ROUND(+B11*#REF!,2)</f>
        <v>#REF!</v>
      </c>
      <c r="D11" s="7" t="e">
        <f>+C11*#REF!</f>
        <v>#REF!</v>
      </c>
      <c r="E11" s="7" t="e">
        <f>+D11-P11</f>
        <v>#REF!</v>
      </c>
      <c r="F11" s="7" t="e">
        <f>+(C11-#REF!)*#REF!</f>
        <v>#REF!</v>
      </c>
      <c r="G11" s="7">
        <v>331064.19</v>
      </c>
      <c r="H11" s="34" t="s">
        <v>20</v>
      </c>
      <c r="I11" s="13">
        <v>7695307.4100000001</v>
      </c>
      <c r="J11" s="15">
        <v>3740802.0100000002</v>
      </c>
      <c r="K11" s="15">
        <f t="shared" si="1"/>
        <v>11436109.42</v>
      </c>
      <c r="L11" s="14">
        <v>0.54730000000000001</v>
      </c>
      <c r="M11" s="15">
        <f t="shared" si="2"/>
        <v>6258982.6900000004</v>
      </c>
      <c r="N11" s="16">
        <v>8.8639999999999997E-2</v>
      </c>
      <c r="O11" s="15">
        <f>+M11*N11</f>
        <v>554796.22564159997</v>
      </c>
      <c r="P11" s="15">
        <f>181191.43+373319.92</f>
        <v>554511.35</v>
      </c>
      <c r="Q11" s="15">
        <v>-284.86999999999534</v>
      </c>
      <c r="R11" s="18">
        <f>+O11+Q11-P11</f>
        <v>5.6416000006720424E-3</v>
      </c>
    </row>
    <row r="12" spans="1:18" x14ac:dyDescent="0.2">
      <c r="A12" s="7" t="e">
        <f>445017.76/#REF!</f>
        <v>#REF!</v>
      </c>
      <c r="B12" s="7" t="e">
        <f t="shared" si="0"/>
        <v>#REF!</v>
      </c>
      <c r="C12" s="7" t="e">
        <f>ROUND(+B12*#REF!,2)</f>
        <v>#REF!</v>
      </c>
      <c r="D12" s="7" t="e">
        <f>+C12*#REF!</f>
        <v>#REF!</v>
      </c>
      <c r="E12" s="7" t="e">
        <f>+D12-P12</f>
        <v>#REF!</v>
      </c>
      <c r="F12" s="7" t="e">
        <f>+(C12-#REF!)*#REF!</f>
        <v>#REF!</v>
      </c>
      <c r="G12" s="7">
        <v>445017.76</v>
      </c>
      <c r="H12" s="34" t="s">
        <v>21</v>
      </c>
      <c r="I12" s="13">
        <v>7782254.4400000004</v>
      </c>
      <c r="J12" s="15">
        <v>3548603.36</v>
      </c>
      <c r="K12" s="15">
        <f t="shared" si="1"/>
        <v>11330857.800000001</v>
      </c>
      <c r="L12" s="14">
        <v>0.56326999999999994</v>
      </c>
      <c r="M12" s="15">
        <f t="shared" si="2"/>
        <v>6382332.2699999996</v>
      </c>
      <c r="N12" s="16">
        <v>0.12562999999999999</v>
      </c>
      <c r="O12" s="15">
        <f>+M12*N12</f>
        <v>801812.40308009984</v>
      </c>
      <c r="P12" s="15">
        <f>250665.15+550700.42</f>
        <v>801365.57000000007</v>
      </c>
      <c r="Q12" s="15">
        <v>-446.8300000000163</v>
      </c>
      <c r="R12" s="18">
        <f>+O12+Q12-P12</f>
        <v>3.0800998210906982E-3</v>
      </c>
    </row>
    <row r="13" spans="1:18" x14ac:dyDescent="0.2">
      <c r="A13" s="7" t="e">
        <f>353751.13/#REF!</f>
        <v>#REF!</v>
      </c>
      <c r="B13" s="7" t="e">
        <f t="shared" si="0"/>
        <v>#REF!</v>
      </c>
      <c r="C13" s="7" t="e">
        <f>ROUND(+B13*#REF!,2)</f>
        <v>#REF!</v>
      </c>
      <c r="D13" s="7" t="e">
        <f>+C13*#REF!</f>
        <v>#REF!</v>
      </c>
      <c r="E13" s="7" t="e">
        <f>+D13-P13</f>
        <v>#REF!</v>
      </c>
      <c r="F13" s="7" t="e">
        <f>+(C13-#REF!)*#REF!</f>
        <v>#REF!</v>
      </c>
      <c r="G13" s="7">
        <v>353751.13</v>
      </c>
      <c r="H13" s="34" t="s">
        <v>22</v>
      </c>
      <c r="I13" s="13">
        <v>8459182.4800000004</v>
      </c>
      <c r="J13" s="15">
        <v>3651364.58</v>
      </c>
      <c r="K13" s="15">
        <f t="shared" si="1"/>
        <v>12110547.060000001</v>
      </c>
      <c r="L13" s="14">
        <v>0.54493000000000003</v>
      </c>
      <c r="M13" s="15">
        <f t="shared" si="2"/>
        <v>6599400.4100000001</v>
      </c>
      <c r="N13" s="16">
        <v>9.7040000000000001E-2</v>
      </c>
      <c r="O13" s="15">
        <f>+M13*N13</f>
        <v>640405.81578639999</v>
      </c>
      <c r="P13" s="15">
        <f>192769.6+447321.63</f>
        <v>640091.23</v>
      </c>
      <c r="Q13" s="15">
        <v>-314.58999999999651</v>
      </c>
      <c r="R13" s="18">
        <f>+O13+Q13-P13</f>
        <v>-4.2135999538004398E-3</v>
      </c>
    </row>
    <row r="14" spans="1:18" x14ac:dyDescent="0.2">
      <c r="A14" s="7" t="e">
        <f>360524.17/#REF!</f>
        <v>#REF!</v>
      </c>
      <c r="B14" s="7" t="e">
        <f t="shared" si="0"/>
        <v>#REF!</v>
      </c>
      <c r="C14" s="7" t="e">
        <f>ROUND(+B14*#REF!,2)</f>
        <v>#REF!</v>
      </c>
      <c r="D14" s="7" t="e">
        <f>+C14*#REF!</f>
        <v>#REF!</v>
      </c>
      <c r="E14" s="7" t="e">
        <f>+D14-P14</f>
        <v>#REF!</v>
      </c>
      <c r="F14" s="7" t="e">
        <f>+(C14-#REF!)*#REF!</f>
        <v>#REF!</v>
      </c>
      <c r="G14" s="7">
        <v>360524.17</v>
      </c>
      <c r="H14" s="34" t="s">
        <v>23</v>
      </c>
      <c r="I14" s="31">
        <v>8797719.7100000009</v>
      </c>
      <c r="J14" s="26">
        <v>3915196.0199999996</v>
      </c>
      <c r="K14" s="26">
        <f t="shared" si="1"/>
        <v>12712915.73</v>
      </c>
      <c r="L14" s="27">
        <v>0.48721000000000003</v>
      </c>
      <c r="M14" s="26">
        <f t="shared" si="2"/>
        <v>6193859.6699999999</v>
      </c>
      <c r="N14" s="28">
        <v>9.2069999999999999E-2</v>
      </c>
      <c r="O14" s="26">
        <f>+M14*N14</f>
        <v>570268.65981690004</v>
      </c>
      <c r="P14" s="26">
        <f>175650.98+394643.05</f>
        <v>570294.03</v>
      </c>
      <c r="Q14" s="26">
        <v>25.370000000024447</v>
      </c>
      <c r="R14" s="29">
        <f>+O14+Q14-P14</f>
        <v>-1.8309999722987413E-4</v>
      </c>
    </row>
    <row r="15" spans="1:18" ht="15.75" thickBot="1" x14ac:dyDescent="0.3">
      <c r="A15" s="8" t="e">
        <f>SUM(A3:A14)</f>
        <v>#REF!</v>
      </c>
      <c r="B15" s="8" t="e">
        <f>SUM(B3:B14)</f>
        <v>#REF!</v>
      </c>
      <c r="C15" s="8" t="e">
        <f t="shared" ref="C15" si="3">SUM(C3:C14)</f>
        <v>#REF!</v>
      </c>
      <c r="D15" s="8" t="e">
        <f>SUM(D3:D14)</f>
        <v>#REF!</v>
      </c>
      <c r="E15" s="12" t="e">
        <f>SUM(E3:E14)</f>
        <v>#REF!</v>
      </c>
      <c r="F15" s="8" t="e">
        <f>SUM(F3:F14)</f>
        <v>#REF!</v>
      </c>
      <c r="G15" s="8">
        <f t="shared" ref="G15" si="4">SUM(G3:G14)</f>
        <v>4599790.66</v>
      </c>
      <c r="H15" s="37"/>
      <c r="I15" s="32">
        <f>SUM(I3:I14)</f>
        <v>95612442.409999996</v>
      </c>
      <c r="J15" s="19">
        <f>SUM(J3:J14)</f>
        <v>45714569.769999996</v>
      </c>
      <c r="K15" s="19">
        <f>SUM(K3:K14)</f>
        <v>141327012.18000001</v>
      </c>
      <c r="L15" s="19"/>
      <c r="M15" s="19">
        <f>SUM(M3:M14)</f>
        <v>76311281.799999997</v>
      </c>
      <c r="N15" s="19"/>
      <c r="O15" s="19">
        <f>SUM(O3:O14)</f>
        <v>7644551.0837278999</v>
      </c>
      <c r="P15" s="19">
        <f>SUM(P3:P14)</f>
        <v>7586982.3899999997</v>
      </c>
      <c r="Q15" s="19">
        <f>SUM(Q3:Q14)</f>
        <v>10458.060000000027</v>
      </c>
      <c r="R15" s="21">
        <f>SUM(R3:R14)</f>
        <v>68026.753727899748</v>
      </c>
    </row>
    <row r="16" spans="1:18" ht="15" thickTop="1" x14ac:dyDescent="0.2">
      <c r="F16" s="7" t="e">
        <f>+E15-F15</f>
        <v>#REF!</v>
      </c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Q18" s="9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30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28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43.5" customHeight="1" x14ac:dyDescent="0.2">
      <c r="G23" s="3"/>
      <c r="H23" s="3"/>
      <c r="K23" s="3"/>
      <c r="L23" s="3"/>
      <c r="Q23" s="3"/>
    </row>
    <row r="24" spans="1:17" ht="28.5" customHeight="1" x14ac:dyDescent="0.2">
      <c r="G24" s="3"/>
      <c r="H24" s="3"/>
      <c r="K24" s="3"/>
      <c r="L24" s="3"/>
      <c r="Q24" s="3"/>
    </row>
    <row r="25" spans="1:17" x14ac:dyDescent="0.2">
      <c r="G25" s="3"/>
      <c r="H25" s="3"/>
      <c r="K25" s="3"/>
      <c r="L25" s="3"/>
      <c r="Q25" s="3"/>
    </row>
    <row r="26" spans="1:17" ht="57" customHeight="1" x14ac:dyDescent="0.2">
      <c r="G26" s="3"/>
      <c r="H26" s="3"/>
      <c r="K26" s="3"/>
      <c r="L26" s="3"/>
      <c r="Q26" s="3"/>
    </row>
    <row r="27" spans="1:17" ht="28.5" customHeight="1" x14ac:dyDescent="0.2">
      <c r="G27" s="3"/>
      <c r="H27" s="3"/>
      <c r="K27" s="3"/>
      <c r="L27" s="3"/>
      <c r="Q27" s="3"/>
    </row>
    <row r="28" spans="1:17" ht="33.75" customHeight="1" x14ac:dyDescent="0.2">
      <c r="G28" s="3"/>
      <c r="H28" s="3"/>
      <c r="K28" s="3"/>
      <c r="L28" s="3"/>
      <c r="Q28" s="3"/>
    </row>
    <row r="29" spans="1:17" x14ac:dyDescent="0.2">
      <c r="G29" s="3"/>
      <c r="H29" s="3"/>
      <c r="K29" s="3"/>
      <c r="L29" s="3"/>
      <c r="Q29" s="3"/>
    </row>
    <row r="30" spans="1:17" ht="35.25" customHeight="1" x14ac:dyDescent="0.2"/>
    <row r="31" spans="1:17" ht="31.5" customHeight="1" x14ac:dyDescent="0.2"/>
    <row r="32" spans="1:17" ht="35.25" customHeight="1" x14ac:dyDescent="0.2"/>
    <row r="33" spans="1:17" ht="30.75" customHeight="1" x14ac:dyDescent="0.2"/>
    <row r="34" spans="1:17" ht="27" customHeight="1" x14ac:dyDescent="0.2"/>
    <row r="43" spans="1:17" x14ac:dyDescent="0.2">
      <c r="A43" s="5"/>
      <c r="G43" s="5"/>
      <c r="H43" s="5"/>
      <c r="I43" s="5"/>
      <c r="J43" s="5"/>
      <c r="K43" s="5"/>
      <c r="L43" s="5"/>
      <c r="Q43" s="5"/>
    </row>
    <row r="44" spans="1:17" x14ac:dyDescent="0.2">
      <c r="A44" s="5"/>
      <c r="G44" s="5"/>
      <c r="H44" s="5"/>
      <c r="I44" s="5"/>
      <c r="J44" s="5"/>
      <c r="K44" s="5"/>
      <c r="L44" s="5"/>
      <c r="Q44" s="5"/>
    </row>
    <row r="45" spans="1:17" x14ac:dyDescent="0.2">
      <c r="A45" s="5"/>
      <c r="G45" s="5"/>
      <c r="H45" s="5"/>
      <c r="I45" s="5"/>
      <c r="J45" s="5"/>
      <c r="K45" s="5"/>
      <c r="L45" s="5"/>
      <c r="Q45" s="5"/>
    </row>
    <row r="46" spans="1:17" x14ac:dyDescent="0.2">
      <c r="A46" s="5"/>
      <c r="G46" s="5"/>
      <c r="H46" s="5"/>
      <c r="I46" s="5"/>
      <c r="J46" s="5"/>
      <c r="K46" s="5"/>
      <c r="L46" s="5"/>
      <c r="Q46" s="5"/>
    </row>
    <row r="47" spans="1:17" x14ac:dyDescent="0.2">
      <c r="A47" s="5"/>
      <c r="G47" s="5"/>
      <c r="H47" s="5"/>
      <c r="I47" s="5"/>
      <c r="J47" s="5"/>
      <c r="K47" s="5"/>
      <c r="L47" s="5"/>
      <c r="Q47" s="5"/>
    </row>
    <row r="48" spans="1:17" x14ac:dyDescent="0.2">
      <c r="A48" s="5"/>
      <c r="G48" s="5"/>
      <c r="H48" s="5"/>
      <c r="I48" s="5"/>
      <c r="J48" s="5"/>
      <c r="K48" s="5"/>
      <c r="L48" s="5"/>
      <c r="Q48" s="5"/>
    </row>
  </sheetData>
  <pageMargins left="0.70866141732283472" right="0.70866141732283472" top="0.74803149606299213" bottom="0.74803149606299213" header="0.31496062992125984" footer="0.31496062992125984"/>
  <pageSetup paperSize="5" scale="54" fitToHeight="2" orientation="landscape" cellComments="asDisplayed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CT148 true up</vt:lpstr>
    </vt:vector>
  </TitlesOfParts>
  <Company>OEB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Kwan</dc:creator>
  <cp:lastModifiedBy>Lisa Lin</cp:lastModifiedBy>
  <cp:lastPrinted>2018-08-07T21:10:32Z</cp:lastPrinted>
  <dcterms:created xsi:type="dcterms:W3CDTF">2017-05-01T19:29:01Z</dcterms:created>
  <dcterms:modified xsi:type="dcterms:W3CDTF">2018-10-02T19:04:02Z</dcterms:modified>
</cp:coreProperties>
</file>