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-7110" yWindow="360" windowWidth="28800" windowHeight="11595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<sst xmlns="http://schemas.openxmlformats.org/spreadsheetml/2006/main" count="517" uniqueCount="275">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</sst>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9" fontId="0" fillId="2" borderId="6" xfId="2" applyFont="1" applyFill="1" applyBorder="1"/>
    <xf numFmtId="167" fontId="16" fillId="0" borderId="0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topLeftCell="B1" zoomScaleNormal="100" workbookViewId="0">
      <selection activeCell="H35" sqref="H3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7" width="14.140625" customWidth="1"/>
    <col min="8" max="8" width="18.140625" bestFit="1" customWidth="1"/>
    <col min="9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8" t="s">
        <v>191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2:15" ht="19.5" customHeight="1" x14ac:dyDescent="0.25">
      <c r="C3" s="229" t="str">
        <f>IF(F5="Click to Choose an LDC","",F5)</f>
        <v>Erie Thames Powerlines Corporation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25">
      <c r="B5" s="144" t="s">
        <v>189</v>
      </c>
      <c r="E5" s="78"/>
      <c r="F5" s="145" t="s">
        <v>219</v>
      </c>
      <c r="G5" s="14" t="s">
        <v>175</v>
      </c>
      <c r="H5" s="14" t="s">
        <v>176</v>
      </c>
      <c r="I5" s="14" t="s">
        <v>174</v>
      </c>
      <c r="J5" s="230" t="s">
        <v>177</v>
      </c>
      <c r="K5" s="230"/>
      <c r="L5" s="230"/>
      <c r="M5" s="230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1"/>
      <c r="I8" s="231"/>
      <c r="J8" s="231"/>
      <c r="K8" s="231"/>
      <c r="L8" s="231"/>
      <c r="M8" s="231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4385303</v>
      </c>
      <c r="H9" s="124">
        <v>3549913</v>
      </c>
      <c r="I9" s="124">
        <v>3242950</v>
      </c>
      <c r="J9" s="124">
        <v>3232080</v>
      </c>
      <c r="K9" s="124">
        <v>3248240</v>
      </c>
      <c r="L9" s="124">
        <v>3264482</v>
      </c>
      <c r="M9" s="124">
        <v>3280804</v>
      </c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18641</v>
      </c>
      <c r="H13" s="124">
        <v>19539</v>
      </c>
      <c r="I13" s="124">
        <v>19677</v>
      </c>
      <c r="J13" s="124">
        <v>19913.124</v>
      </c>
      <c r="K13" s="124">
        <v>20152.081488</v>
      </c>
      <c r="L13" s="124">
        <v>20393.906465855998</v>
      </c>
      <c r="M13" s="124">
        <v>20638.633343446272</v>
      </c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475607780</v>
      </c>
      <c r="H14" s="124">
        <v>477554147</v>
      </c>
      <c r="I14" s="124">
        <v>459339081</v>
      </c>
      <c r="J14" s="124">
        <v>464851149.972</v>
      </c>
      <c r="K14" s="124">
        <v>470429363.77166402</v>
      </c>
      <c r="L14" s="124">
        <v>476074516.13692397</v>
      </c>
      <c r="M14" s="124">
        <v>481787410.33056706</v>
      </c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84530</v>
      </c>
      <c r="H15" s="124">
        <v>84875.928745131125</v>
      </c>
      <c r="I15" s="124">
        <v>85223.273161582591</v>
      </c>
      <c r="J15" s="124">
        <v>85572.039042817109</v>
      </c>
      <c r="K15" s="124">
        <v>85922.232206006433</v>
      </c>
      <c r="L15" s="124">
        <v>86273.858492128391</v>
      </c>
      <c r="M15" s="124">
        <v>86626.923766064298</v>
      </c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345</v>
      </c>
      <c r="H16" s="124">
        <v>350</v>
      </c>
      <c r="I16" s="124">
        <v>355</v>
      </c>
      <c r="J16" s="124">
        <v>360</v>
      </c>
      <c r="K16" s="124">
        <v>365</v>
      </c>
      <c r="L16" s="124">
        <v>370</v>
      </c>
      <c r="M16" s="124">
        <v>375</v>
      </c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0.20864941969785386</v>
      </c>
      <c r="H17" s="224">
        <v>0.20864941969785386</v>
      </c>
      <c r="I17" s="224">
        <v>0.20864941969785386</v>
      </c>
      <c r="J17" s="224">
        <v>0.20864941969785386</v>
      </c>
      <c r="K17" s="224">
        <v>0.20864941969785386</v>
      </c>
      <c r="L17" s="224">
        <v>0.20864941969785386</v>
      </c>
      <c r="M17" s="224">
        <v>0.20864941969785386</v>
      </c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1"/>
      <c r="I19" s="231"/>
      <c r="J19" s="231"/>
      <c r="K19" s="231"/>
      <c r="L19" s="231"/>
      <c r="M19" s="231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/>
      <c r="I20" s="123"/>
      <c r="J20" s="123"/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/>
      <c r="I21" s="123"/>
      <c r="J21" s="123"/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6.2843999999999997E-2</v>
      </c>
      <c r="I22" s="123">
        <v>5.67E-2</v>
      </c>
      <c r="J22" s="123">
        <v>5.67E-2</v>
      </c>
      <c r="K22" s="123">
        <v>5.67E-2</v>
      </c>
      <c r="L22" s="123">
        <v>5.67E-2</v>
      </c>
      <c r="M22" s="123">
        <v>5.67E-2</v>
      </c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22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226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3" t="s">
        <v>169</v>
      </c>
      <c r="F27" s="76" t="s">
        <v>198</v>
      </c>
      <c r="G27" s="51">
        <f>G35-G36+G37</f>
        <v>6058023.2599999998</v>
      </c>
      <c r="H27" s="51">
        <f t="shared" ref="H27:M27" si="0">H35-H36+H37</f>
        <v>6218836.2818999998</v>
      </c>
      <c r="I27" s="51">
        <f t="shared" si="0"/>
        <v>6494803.1003569998</v>
      </c>
      <c r="J27" s="51">
        <f t="shared" si="0"/>
        <v>6625079.5133677106</v>
      </c>
      <c r="K27" s="51">
        <f t="shared" si="0"/>
        <v>6757972.8651687419</v>
      </c>
      <c r="L27" s="51">
        <f t="shared" si="0"/>
        <v>6893535.8368518045</v>
      </c>
      <c r="M27" s="51">
        <f t="shared" si="0"/>
        <v>7031822.1733999187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3" t="s">
        <v>170</v>
      </c>
      <c r="F29" s="76" t="s">
        <v>202</v>
      </c>
      <c r="G29" s="51">
        <f t="shared" ref="G29:M29" si="1">G115-G121+G122</f>
        <v>6058023.2599999998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6058023.2599999998</v>
      </c>
      <c r="H31" s="51">
        <f t="shared" si="2"/>
        <v>6218836.2818999998</v>
      </c>
      <c r="I31" s="51">
        <f t="shared" si="2"/>
        <v>6494803.1003569998</v>
      </c>
      <c r="J31" s="51">
        <f t="shared" si="2"/>
        <v>6625079.5133677106</v>
      </c>
      <c r="K31" s="51">
        <f t="shared" si="2"/>
        <v>6757972.8651687419</v>
      </c>
      <c r="L31" s="51">
        <f t="shared" si="2"/>
        <v>6893535.8368518045</v>
      </c>
      <c r="M31" s="51">
        <f t="shared" si="2"/>
        <v>7031822.1733999187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7" t="s">
        <v>183</v>
      </c>
      <c r="I34" s="227"/>
      <c r="J34" s="227"/>
      <c r="K34" s="227"/>
      <c r="L34" s="227"/>
      <c r="M34" s="227"/>
      <c r="N34" s="154"/>
    </row>
    <row r="35" spans="2:14" x14ac:dyDescent="0.2">
      <c r="C35" s="153"/>
      <c r="D35" s="169" t="s">
        <v>195</v>
      </c>
      <c r="E35" s="26" t="s">
        <v>203</v>
      </c>
      <c r="F35" s="26"/>
      <c r="G35" s="85">
        <f>G115</f>
        <v>6022171.5299999993</v>
      </c>
      <c r="H35" s="124">
        <v>6181909</v>
      </c>
      <c r="I35" s="124">
        <v>6456768</v>
      </c>
      <c r="J35" s="124">
        <v>6585903.3600000003</v>
      </c>
      <c r="K35" s="124">
        <v>6717621.4272000007</v>
      </c>
      <c r="L35" s="124">
        <v>6851973.8557440005</v>
      </c>
      <c r="M35" s="124">
        <v>6989013.332858881</v>
      </c>
      <c r="N35" s="154" t="s">
        <v>172</v>
      </c>
    </row>
    <row r="36" spans="2:14" x14ac:dyDescent="0.2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">
      <c r="C37" s="153"/>
      <c r="D37" s="170" t="s">
        <v>197</v>
      </c>
      <c r="E37" s="26" t="s">
        <v>83</v>
      </c>
      <c r="F37" s="26"/>
      <c r="G37" s="51">
        <f>G122</f>
        <v>35851.729999999996</v>
      </c>
      <c r="H37" s="124">
        <v>36927.281899999994</v>
      </c>
      <c r="I37" s="124">
        <v>38035.100356999996</v>
      </c>
      <c r="J37" s="124">
        <v>39176.153367709994</v>
      </c>
      <c r="K37" s="124">
        <v>40351.437968741295</v>
      </c>
      <c r="L37" s="124">
        <v>41561.981107803535</v>
      </c>
      <c r="M37" s="124">
        <v>42808.840541037644</v>
      </c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/>
      <c r="I44" s="141"/>
      <c r="J44" s="142"/>
      <c r="K44" s="142"/>
      <c r="L44" s="142"/>
      <c r="M44" s="142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/>
      <c r="I45" s="141"/>
      <c r="J45" s="142"/>
      <c r="K45" s="142"/>
      <c r="L45" s="142"/>
      <c r="M45" s="142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/>
      <c r="I46" s="141"/>
      <c r="J46" s="142"/>
      <c r="K46" s="142"/>
      <c r="L46" s="142"/>
      <c r="M46" s="142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/>
      <c r="I47" s="141"/>
      <c r="J47" s="142"/>
      <c r="K47" s="142"/>
      <c r="L47" s="142"/>
      <c r="M47" s="142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/>
      <c r="I48" s="141"/>
      <c r="J48" s="142"/>
      <c r="K48" s="142"/>
      <c r="L48" s="142"/>
      <c r="M48" s="142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0</v>
      </c>
      <c r="H49" s="141"/>
      <c r="I49" s="141"/>
      <c r="J49" s="142"/>
      <c r="K49" s="142"/>
      <c r="L49" s="142"/>
      <c r="M49" s="142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/>
      <c r="I50" s="141"/>
      <c r="J50" s="142"/>
      <c r="K50" s="142"/>
      <c r="L50" s="142"/>
      <c r="M50" s="142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0</v>
      </c>
      <c r="H51" s="141"/>
      <c r="I51" s="141"/>
      <c r="J51" s="142"/>
      <c r="K51" s="142"/>
      <c r="L51" s="142"/>
      <c r="M51" s="142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0</v>
      </c>
      <c r="H52" s="141"/>
      <c r="I52" s="141"/>
      <c r="J52" s="142"/>
      <c r="K52" s="142"/>
      <c r="L52" s="142"/>
      <c r="M52" s="142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/>
      <c r="I53" s="141"/>
      <c r="J53" s="142"/>
      <c r="K53" s="142"/>
      <c r="L53" s="142"/>
      <c r="M53" s="142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/>
      <c r="I55" s="141"/>
      <c r="J55" s="142"/>
      <c r="K55" s="142"/>
      <c r="L55" s="142"/>
      <c r="M55" s="142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/>
      <c r="I56" s="141"/>
      <c r="J56" s="142"/>
      <c r="K56" s="142"/>
      <c r="L56" s="142"/>
      <c r="M56" s="142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0</v>
      </c>
      <c r="H57" s="141"/>
      <c r="I57" s="141"/>
      <c r="J57" s="142"/>
      <c r="K57" s="142"/>
      <c r="L57" s="142"/>
      <c r="M57" s="142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/>
      <c r="I58" s="141"/>
      <c r="J58" s="142"/>
      <c r="K58" s="142"/>
      <c r="L58" s="142"/>
      <c r="M58" s="142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/>
      <c r="I59" s="141"/>
      <c r="J59" s="142"/>
      <c r="K59" s="142"/>
      <c r="L59" s="142"/>
      <c r="M59" s="142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90763.77</v>
      </c>
      <c r="H60" s="141"/>
      <c r="I60" s="141"/>
      <c r="J60" s="142"/>
      <c r="K60" s="142"/>
      <c r="L60" s="142"/>
      <c r="M60" s="142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/>
      <c r="I61" s="141"/>
      <c r="J61" s="142"/>
      <c r="K61" s="142"/>
      <c r="L61" s="142"/>
      <c r="M61" s="142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1"/>
      <c r="I62" s="141"/>
      <c r="J62" s="142"/>
      <c r="K62" s="142"/>
      <c r="L62" s="142"/>
      <c r="M62" s="142"/>
      <c r="N62" s="154" t="s">
        <v>172</v>
      </c>
    </row>
    <row r="63" spans="3:14" x14ac:dyDescent="0.2">
      <c r="C63" s="158"/>
      <c r="D63" s="26"/>
      <c r="E63" s="111">
        <v>5096</v>
      </c>
      <c r="F63" s="168" t="s">
        <v>27</v>
      </c>
      <c r="G63" s="112">
        <f>'Benchmarking Calculations'!G29</f>
        <v>810</v>
      </c>
      <c r="H63" s="141"/>
      <c r="I63" s="141"/>
      <c r="J63" s="142"/>
      <c r="K63" s="142"/>
      <c r="L63" s="142"/>
      <c r="M63" s="142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91573.77</v>
      </c>
      <c r="H64" s="81">
        <f>SUM(H44:H63)</f>
        <v>0</v>
      </c>
      <c r="I64" s="81">
        <f t="shared" ref="I64:M64" si="3">SUM(I44:I63)</f>
        <v>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/>
      <c r="I65" s="141"/>
      <c r="J65" s="142"/>
      <c r="K65" s="142"/>
      <c r="L65" s="142"/>
      <c r="M65" s="142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22883.599999999999</v>
      </c>
      <c r="H66" s="141"/>
      <c r="I66" s="141"/>
      <c r="J66" s="142"/>
      <c r="K66" s="142"/>
      <c r="L66" s="142"/>
      <c r="M66" s="142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/>
      <c r="I67" s="141"/>
      <c r="J67" s="142"/>
      <c r="K67" s="142"/>
      <c r="L67" s="142"/>
      <c r="M67" s="142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10735.22</v>
      </c>
      <c r="H68" s="141"/>
      <c r="I68" s="141"/>
      <c r="J68" s="142"/>
      <c r="K68" s="142"/>
      <c r="L68" s="142"/>
      <c r="M68" s="142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16572.689999999999</v>
      </c>
      <c r="H69" s="141"/>
      <c r="I69" s="141"/>
      <c r="J69" s="142"/>
      <c r="K69" s="142"/>
      <c r="L69" s="142"/>
      <c r="M69" s="142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/>
      <c r="I70" s="141"/>
      <c r="J70" s="142"/>
      <c r="K70" s="142"/>
      <c r="L70" s="142"/>
      <c r="M70" s="142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33201.839999999997</v>
      </c>
      <c r="H71" s="141"/>
      <c r="I71" s="141"/>
      <c r="J71" s="142"/>
      <c r="K71" s="142"/>
      <c r="L71" s="142"/>
      <c r="M71" s="142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71793.78</v>
      </c>
      <c r="H72" s="141"/>
      <c r="I72" s="141"/>
      <c r="J72" s="142"/>
      <c r="K72" s="142"/>
      <c r="L72" s="142"/>
      <c r="M72" s="142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/>
      <c r="I73" s="141"/>
      <c r="J73" s="142"/>
      <c r="K73" s="142"/>
      <c r="L73" s="142"/>
      <c r="M73" s="142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7066.34</v>
      </c>
      <c r="H74" s="141"/>
      <c r="I74" s="141"/>
      <c r="J74" s="142"/>
      <c r="K74" s="142"/>
      <c r="L74" s="142"/>
      <c r="M74" s="142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64649.08</v>
      </c>
      <c r="H75" s="141"/>
      <c r="I75" s="141"/>
      <c r="J75" s="142"/>
      <c r="K75" s="142"/>
      <c r="L75" s="142"/>
      <c r="M75" s="142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12367.97</v>
      </c>
      <c r="H76" s="141"/>
      <c r="I76" s="141"/>
      <c r="J76" s="142"/>
      <c r="K76" s="142"/>
      <c r="L76" s="142"/>
      <c r="M76" s="142"/>
      <c r="N76" s="154" t="s">
        <v>172</v>
      </c>
    </row>
    <row r="77" spans="3:14" x14ac:dyDescent="0.2">
      <c r="C77" s="158"/>
      <c r="D77" s="26"/>
      <c r="E77" s="111">
        <v>5175</v>
      </c>
      <c r="F77" s="168" t="s">
        <v>42</v>
      </c>
      <c r="G77" s="112">
        <f>'Benchmarking Calculations'!G43</f>
        <v>47531.29</v>
      </c>
      <c r="H77" s="141"/>
      <c r="I77" s="141"/>
      <c r="J77" s="142"/>
      <c r="K77" s="142"/>
      <c r="L77" s="142"/>
      <c r="M77" s="142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286801.81</v>
      </c>
      <c r="H78" s="81">
        <f>SUM(H65:H77)</f>
        <v>0</v>
      </c>
      <c r="I78" s="81">
        <f t="shared" ref="I78:M78" si="4">SUM(I65:I77)</f>
        <v>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/>
      <c r="I79" s="141"/>
      <c r="J79" s="142"/>
      <c r="K79" s="142"/>
      <c r="L79" s="142"/>
      <c r="M79" s="142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0</v>
      </c>
      <c r="H80" s="141"/>
      <c r="I80" s="141"/>
      <c r="J80" s="142"/>
      <c r="K80" s="142"/>
      <c r="L80" s="142"/>
      <c r="M80" s="142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799615.21</v>
      </c>
      <c r="H81" s="141"/>
      <c r="I81" s="141"/>
      <c r="J81" s="142"/>
      <c r="K81" s="142"/>
      <c r="L81" s="142"/>
      <c r="M81" s="142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155827.64000000001</v>
      </c>
      <c r="H82" s="141"/>
      <c r="I82" s="141"/>
      <c r="J82" s="142"/>
      <c r="K82" s="142"/>
      <c r="L82" s="142"/>
      <c r="M82" s="142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0</v>
      </c>
      <c r="H83" s="141"/>
      <c r="I83" s="141"/>
      <c r="J83" s="142"/>
      <c r="K83" s="142"/>
      <c r="L83" s="142"/>
      <c r="M83" s="142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/>
      <c r="I84" s="141"/>
      <c r="J84" s="142"/>
      <c r="K84" s="142"/>
      <c r="L84" s="142"/>
      <c r="M84" s="142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/>
      <c r="I85" s="141"/>
      <c r="J85" s="142"/>
      <c r="K85" s="142"/>
      <c r="L85" s="142"/>
      <c r="M85" s="142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955442.85</v>
      </c>
      <c r="H86" s="81">
        <f>SUM(H79:H85)</f>
        <v>0</v>
      </c>
      <c r="I86" s="81">
        <f t="shared" ref="I86:M86" si="5">SUM(I79:I85)</f>
        <v>0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24584.33</v>
      </c>
      <c r="H88" s="141"/>
      <c r="I88" s="141"/>
      <c r="J88" s="142"/>
      <c r="K88" s="142"/>
      <c r="L88" s="142"/>
      <c r="M88" s="142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14840.32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39424.65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322273.8</v>
      </c>
      <c r="H92" s="141"/>
      <c r="I92" s="141"/>
      <c r="J92" s="142"/>
      <c r="K92" s="142"/>
      <c r="L92" s="142"/>
      <c r="M92" s="142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1265951.1299999999</v>
      </c>
      <c r="H93" s="141"/>
      <c r="I93" s="141"/>
      <c r="J93" s="142"/>
      <c r="K93" s="142"/>
      <c r="L93" s="142"/>
      <c r="M93" s="142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141562.65</v>
      </c>
      <c r="H94" s="141"/>
      <c r="I94" s="141"/>
      <c r="J94" s="142"/>
      <c r="K94" s="142"/>
      <c r="L94" s="142"/>
      <c r="M94" s="142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139937.45000000001</v>
      </c>
      <c r="H95" s="141"/>
      <c r="I95" s="141"/>
      <c r="J95" s="142"/>
      <c r="K95" s="142"/>
      <c r="L95" s="142"/>
      <c r="M95" s="142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/>
      <c r="I96" s="141"/>
      <c r="J96" s="142"/>
      <c r="K96" s="142"/>
      <c r="L96" s="142"/>
      <c r="M96" s="142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315346.3</v>
      </c>
      <c r="H97" s="141"/>
      <c r="I97" s="141"/>
      <c r="J97" s="142"/>
      <c r="K97" s="142"/>
      <c r="L97" s="142"/>
      <c r="M97" s="142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1"/>
      <c r="I98" s="141"/>
      <c r="J98" s="142"/>
      <c r="K98" s="142"/>
      <c r="L98" s="142"/>
      <c r="M98" s="142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1128552.48</v>
      </c>
      <c r="H99" s="141"/>
      <c r="I99" s="141"/>
      <c r="J99" s="142"/>
      <c r="K99" s="142"/>
      <c r="L99" s="142"/>
      <c r="M99" s="142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1"/>
      <c r="I100" s="141"/>
      <c r="J100" s="142"/>
      <c r="K100" s="142"/>
      <c r="L100" s="142"/>
      <c r="M100" s="142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/>
      <c r="I101" s="141"/>
      <c r="J101" s="142"/>
      <c r="K101" s="142"/>
      <c r="L101" s="142"/>
      <c r="M101" s="142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/>
      <c r="I102" s="141"/>
      <c r="J102" s="142"/>
      <c r="K102" s="142"/>
      <c r="L102" s="142"/>
      <c r="M102" s="142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71081.259999999995</v>
      </c>
      <c r="H103" s="141"/>
      <c r="I103" s="141"/>
      <c r="J103" s="142"/>
      <c r="K103" s="142"/>
      <c r="L103" s="142"/>
      <c r="M103" s="142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692968.33</v>
      </c>
      <c r="H104" s="141"/>
      <c r="I104" s="141"/>
      <c r="J104" s="142"/>
      <c r="K104" s="142"/>
      <c r="L104" s="142"/>
      <c r="M104" s="142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238525.16</v>
      </c>
      <c r="H105" s="141"/>
      <c r="I105" s="141"/>
      <c r="J105" s="142"/>
      <c r="K105" s="142"/>
      <c r="L105" s="142"/>
      <c r="M105" s="142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/>
      <c r="I106" s="141"/>
      <c r="J106" s="142"/>
      <c r="K106" s="142"/>
      <c r="L106" s="142"/>
      <c r="M106" s="142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298563.39</v>
      </c>
      <c r="H107" s="141"/>
      <c r="I107" s="141"/>
      <c r="J107" s="142"/>
      <c r="K107" s="142"/>
      <c r="L107" s="142"/>
      <c r="M107" s="142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0</v>
      </c>
      <c r="H108" s="141"/>
      <c r="I108" s="141"/>
      <c r="J108" s="142"/>
      <c r="K108" s="142"/>
      <c r="L108" s="142"/>
      <c r="M108" s="142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4614761.9499999993</v>
      </c>
      <c r="H109" s="81">
        <f>SUM(H92:H108)</f>
        <v>0</v>
      </c>
      <c r="I109" s="81">
        <f t="shared" ref="I109:M109" si="7">SUM(I92:I108)</f>
        <v>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28197.49</v>
      </c>
      <c r="H110" s="141"/>
      <c r="I110" s="141"/>
      <c r="J110" s="142"/>
      <c r="K110" s="142"/>
      <c r="L110" s="142"/>
      <c r="M110" s="142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28197.49</v>
      </c>
      <c r="H112" s="81">
        <f>H110+H111</f>
        <v>0</v>
      </c>
      <c r="I112" s="81">
        <f t="shared" ref="I112:M112" si="8">I110+I111</f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5969.01</v>
      </c>
      <c r="H113" s="141"/>
      <c r="I113" s="141"/>
      <c r="J113" s="142"/>
      <c r="K113" s="142"/>
      <c r="L113" s="142"/>
      <c r="M113" s="142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5969.01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1" t="s">
        <v>199</v>
      </c>
      <c r="F115" s="80" t="s">
        <v>80</v>
      </c>
      <c r="G115" s="58">
        <f>'Benchmarking Calculations'!G81</f>
        <v>6022171.5299999993</v>
      </c>
      <c r="H115" s="81">
        <f>H114+H112+H109+H91+H86+H78+H64</f>
        <v>0</v>
      </c>
      <c r="I115" s="81">
        <f t="shared" ref="I115:M115" si="10">I114+I112+I109+I91+I86+I78+I64</f>
        <v>0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2" t="s">
        <v>29</v>
      </c>
    </row>
    <row r="122" spans="3:14" x14ac:dyDescent="0.2">
      <c r="C122" s="158"/>
      <c r="D122" s="77"/>
      <c r="E122" s="173" t="s">
        <v>201</v>
      </c>
      <c r="F122" s="80" t="s">
        <v>83</v>
      </c>
      <c r="G122" s="110">
        <f>'Benchmarking Calculations'!G88</f>
        <v>35851.729999999996</v>
      </c>
      <c r="H122" s="174"/>
      <c r="I122" s="174"/>
      <c r="J122" s="174"/>
      <c r="K122" s="174"/>
      <c r="L122" s="174"/>
      <c r="M122" s="174"/>
      <c r="N122" s="175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75" activePane="bottomLeft" state="frozen"/>
      <selection activeCell="G33" sqref="G33"/>
      <selection pane="bottomLeft" activeCell="H84" sqref="H8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21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25">
      <c r="B3" s="233" t="s">
        <v>1</v>
      </c>
      <c r="C3" s="233"/>
      <c r="D3" s="101"/>
      <c r="E3" s="102" t="str">
        <f>'Model Inputs'!F5</f>
        <v>Erie Thames Powerlines Corporation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">
      <c r="E4" s="5"/>
      <c r="F4" s="234"/>
      <c r="G4" s="235"/>
      <c r="H4" s="236" t="s">
        <v>2</v>
      </c>
      <c r="I4" s="237"/>
      <c r="J4" s="237"/>
      <c r="K4" s="237"/>
      <c r="L4" s="237"/>
      <c r="M4" s="237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5" thickBot="1" x14ac:dyDescent="0.25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0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90763.77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810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91573.77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22883.599999999999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10735.22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16572.689999999999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33201.839999999997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71793.78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7066.34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64649.08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12367.97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47531.29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286801.81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799615.21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155827.64000000001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955442.85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24584.33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14840.32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39424.65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322273.8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1265951.1299999999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141562.65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139937.45000000001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315346.3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1128552.48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71081.259999999995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692968.33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238525.16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298563.39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4614761.9499999993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28197.49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28197.49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5969.01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5969.01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6022171.5299999993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35851.729999999996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6058023.2599999998</v>
      </c>
      <c r="H89" s="184">
        <f>'Model Inputs'!H31</f>
        <v>6218836.2818999998</v>
      </c>
      <c r="I89" s="185">
        <f>'Model Inputs'!I31</f>
        <v>6494803.1003569998</v>
      </c>
      <c r="J89" s="185">
        <f>'Model Inputs'!J31</f>
        <v>6625079.5133677106</v>
      </c>
      <c r="K89" s="185">
        <f>'Model Inputs'!K31</f>
        <v>6757972.8651687419</v>
      </c>
      <c r="L89" s="185">
        <f>'Model Inputs'!L31</f>
        <v>6893535.8368518045</v>
      </c>
      <c r="M89" s="186">
        <f>'Model Inputs'!M31</f>
        <v>7031822.1733999187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4385303</v>
      </c>
      <c r="H92" s="184">
        <f>'Model Inputs'!H9</f>
        <v>3549913</v>
      </c>
      <c r="I92" s="185">
        <f>'Model Inputs'!I9</f>
        <v>3242950</v>
      </c>
      <c r="J92" s="185">
        <f>'Model Inputs'!J9</f>
        <v>3232080</v>
      </c>
      <c r="K92" s="185">
        <f>'Model Inputs'!K9</f>
        <v>3248240</v>
      </c>
      <c r="L92" s="185">
        <f>'Model Inputs'!L9</f>
        <v>3264482</v>
      </c>
      <c r="M92" s="186">
        <f>'Model Inputs'!M9</f>
        <v>3280804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18641</v>
      </c>
      <c r="H96" s="184">
        <f>'Model Inputs'!H13</f>
        <v>19539</v>
      </c>
      <c r="I96" s="185">
        <f>'Model Inputs'!I13</f>
        <v>19677</v>
      </c>
      <c r="J96" s="185">
        <f>'Model Inputs'!J13</f>
        <v>19913.124</v>
      </c>
      <c r="K96" s="185">
        <f>'Model Inputs'!K13</f>
        <v>20152.081488</v>
      </c>
      <c r="L96" s="185">
        <f>'Model Inputs'!L13</f>
        <v>20393.906465855998</v>
      </c>
      <c r="M96" s="186">
        <f>'Model Inputs'!M13</f>
        <v>20638.633343446272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475607780</v>
      </c>
      <c r="H97" s="184">
        <f>'Model Inputs'!H14</f>
        <v>477554147</v>
      </c>
      <c r="I97" s="185">
        <f>'Model Inputs'!I14</f>
        <v>459339081</v>
      </c>
      <c r="J97" s="185">
        <f>'Model Inputs'!J14</f>
        <v>464851149.972</v>
      </c>
      <c r="K97" s="185">
        <f>'Model Inputs'!K14</f>
        <v>470429363.77166402</v>
      </c>
      <c r="L97" s="185">
        <f>'Model Inputs'!L14</f>
        <v>476074516.13692397</v>
      </c>
      <c r="M97" s="186">
        <f>'Model Inputs'!M14</f>
        <v>481787410.33056706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84530</v>
      </c>
      <c r="H98" s="184">
        <f>'Model Inputs'!H15</f>
        <v>84875.928745131125</v>
      </c>
      <c r="I98" s="185">
        <f>'Model Inputs'!I15</f>
        <v>85223.273161582591</v>
      </c>
      <c r="J98" s="185">
        <f>'Model Inputs'!J15</f>
        <v>85572.039042817109</v>
      </c>
      <c r="K98" s="185">
        <f>'Model Inputs'!K15</f>
        <v>85922.232206006433</v>
      </c>
      <c r="L98" s="185">
        <f>'Model Inputs'!L15</f>
        <v>86273.858492128391</v>
      </c>
      <c r="M98" s="186">
        <f>'Model Inputs'!M15</f>
        <v>86626.923766064298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345</v>
      </c>
      <c r="H99" s="184">
        <f>'Model Inputs'!H16</f>
        <v>350</v>
      </c>
      <c r="I99" s="185">
        <f>'Model Inputs'!I16</f>
        <v>355</v>
      </c>
      <c r="J99" s="185">
        <f>'Model Inputs'!J16</f>
        <v>360</v>
      </c>
      <c r="K99" s="185">
        <f>'Model Inputs'!K16</f>
        <v>365</v>
      </c>
      <c r="L99" s="185">
        <f>'Model Inputs'!L16</f>
        <v>370</v>
      </c>
      <c r="M99" s="186">
        <f>'Model Inputs'!M16</f>
        <v>375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32" t="s">
        <v>93</v>
      </c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6058023.2599999998</v>
      </c>
      <c r="H107" s="29">
        <f t="shared" ref="H107:K107" si="4">H89</f>
        <v>6218836.2818999998</v>
      </c>
      <c r="I107" s="29">
        <f t="shared" si="4"/>
        <v>6494803.1003569998</v>
      </c>
      <c r="J107" s="29">
        <f t="shared" si="4"/>
        <v>6625079.5133677106</v>
      </c>
      <c r="K107" s="29">
        <f t="shared" si="4"/>
        <v>6757972.8651687419</v>
      </c>
      <c r="L107" s="29">
        <f t="shared" ref="L107" si="5">L89</f>
        <v>6893535.8368518045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9">
        <f>'Model Inputs'!H22</f>
        <v>6.2843999999999997E-2</v>
      </c>
      <c r="I110" s="200">
        <f>'Model Inputs'!I22</f>
        <v>5.67E-2</v>
      </c>
      <c r="J110" s="200">
        <f>'Model Inputs'!J22</f>
        <v>5.67E-2</v>
      </c>
      <c r="K110" s="200">
        <f>'Model Inputs'!K22</f>
        <v>5.67E-2</v>
      </c>
      <c r="L110" s="200">
        <f>'Model Inputs'!L22</f>
        <v>5.67E-2</v>
      </c>
      <c r="M110" s="201">
        <f>'Model Inputs'!M22</f>
        <v>5.67E-2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2">
        <f>G112*EXP('Model Inputs'!H21)</f>
        <v>165.09803367584914</v>
      </c>
      <c r="I112" s="203">
        <f>H112*EXP('Model Inputs'!I21)</f>
        <v>165.09803367584914</v>
      </c>
      <c r="J112" s="203">
        <f>I112*EXP('Model Inputs'!J21)</f>
        <v>165.09803367584914</v>
      </c>
      <c r="K112" s="203">
        <f>J112*EXP('Model Inputs'!K21)</f>
        <v>165.09803367584914</v>
      </c>
      <c r="L112" s="203">
        <f>K112*EXP('Model Inputs'!L21)</f>
        <v>165.09803367584914</v>
      </c>
      <c r="M112" s="204">
        <f>L112*EXP('Model Inputs'!M21)</f>
        <v>165.09803367584914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17.95342057404654</v>
      </c>
      <c r="I113" s="29">
        <f t="shared" si="7"/>
        <v>16.939058255142122</v>
      </c>
      <c r="J113" s="29">
        <f t="shared" si="7"/>
        <v>16.939058255142122</v>
      </c>
      <c r="K113" s="29">
        <f t="shared" si="7"/>
        <v>16.939058255142122</v>
      </c>
      <c r="L113" s="29">
        <f t="shared" si="7"/>
        <v>16.939058255142122</v>
      </c>
      <c r="M113" s="29">
        <f t="shared" si="7"/>
        <v>16.939058255142122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4385303</v>
      </c>
      <c r="H114" s="205">
        <f>H92</f>
        <v>3549913</v>
      </c>
      <c r="I114" s="206">
        <f t="shared" ref="I114:L114" si="8">I92</f>
        <v>3242950</v>
      </c>
      <c r="J114" s="206">
        <f t="shared" si="8"/>
        <v>3232080</v>
      </c>
      <c r="K114" s="206">
        <f t="shared" si="8"/>
        <v>3248240</v>
      </c>
      <c r="L114" s="206">
        <f t="shared" si="8"/>
        <v>3264482</v>
      </c>
      <c r="M114" s="207">
        <f t="shared" ref="M114" si="9">M92</f>
        <v>3280804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26561.812411467203</v>
      </c>
      <c r="H116" s="8">
        <f t="shared" ref="H116:K116" si="12">(H114-H115)/H112</f>
        <v>21501.849058783115</v>
      </c>
      <c r="I116" s="8">
        <f t="shared" si="12"/>
        <v>19642.571918010584</v>
      </c>
      <c r="J116" s="8">
        <f t="shared" si="12"/>
        <v>19576.732248342912</v>
      </c>
      <c r="K116" s="8">
        <f t="shared" si="12"/>
        <v>19674.613486781695</v>
      </c>
      <c r="L116" s="8">
        <f t="shared" ref="L116:M116" si="13">(L114-L115)/L112</f>
        <v>19772.991399821469</v>
      </c>
      <c r="M116" s="8">
        <f t="shared" si="13"/>
        <v>19871.85387344757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16401.1383924574</v>
      </c>
      <c r="H117" s="25">
        <f t="shared" ref="H117:M117" si="14">H111*G118</f>
        <v>16867.513329929952</v>
      </c>
      <c r="I117" s="25">
        <f t="shared" si="14"/>
        <v>17080.22933988431</v>
      </c>
      <c r="J117" s="25">
        <f t="shared" si="14"/>
        <v>17197.840864220307</v>
      </c>
      <c r="K117" s="25">
        <f t="shared" si="14"/>
        <v>17307.031978751533</v>
      </c>
      <c r="L117" s="25">
        <f t="shared" si="14"/>
        <v>17415.70396997012</v>
      </c>
      <c r="M117" s="25">
        <f t="shared" si="14"/>
        <v>17523.903463000297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367483.95054313616</v>
      </c>
      <c r="H118" s="25">
        <f t="shared" ref="H118:M118" si="15">G118+H116-H117</f>
        <v>372118.28627198929</v>
      </c>
      <c r="I118" s="25">
        <f t="shared" si="15"/>
        <v>374680.62885011558</v>
      </c>
      <c r="J118" s="25">
        <f t="shared" si="15"/>
        <v>377059.52023423818</v>
      </c>
      <c r="K118" s="25">
        <f t="shared" si="15"/>
        <v>379427.10174226837</v>
      </c>
      <c r="L118" s="25">
        <f t="shared" si="15"/>
        <v>381784.38917211973</v>
      </c>
      <c r="M118" s="25">
        <f t="shared" si="15"/>
        <v>384132.33958256699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6551872.9685198367</v>
      </c>
      <c r="H119" s="25">
        <f t="shared" ref="H119:K119" si="16">H113*H118</f>
        <v>6680796.0967344726</v>
      </c>
      <c r="I119" s="25">
        <f t="shared" si="16"/>
        <v>6346736.9991653915</v>
      </c>
      <c r="J119" s="25">
        <f t="shared" si="16"/>
        <v>6387033.1789036999</v>
      </c>
      <c r="K119" s="25">
        <f t="shared" si="16"/>
        <v>6427137.7799920207</v>
      </c>
      <c r="L119" s="25">
        <f t="shared" ref="L119:M119" si="17">L113*L118</f>
        <v>6467068.0090903873</v>
      </c>
      <c r="M119" s="25">
        <f t="shared" si="17"/>
        <v>6506840.0778731378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12609896.228519836</v>
      </c>
      <c r="H121" s="25">
        <f t="shared" ref="H121:K121" si="18">H107+H119</f>
        <v>12899632.378634471</v>
      </c>
      <c r="I121" s="25">
        <f t="shared" si="18"/>
        <v>12841540.099522391</v>
      </c>
      <c r="J121" s="25">
        <f t="shared" si="18"/>
        <v>13012112.692271411</v>
      </c>
      <c r="K121" s="25">
        <f t="shared" si="18"/>
        <v>13185110.645160763</v>
      </c>
      <c r="L121" s="25">
        <f t="shared" ref="L121:M121" si="19">L107+L119</f>
        <v>13360603.845942192</v>
      </c>
      <c r="M121" s="25">
        <f t="shared" si="19"/>
        <v>6506840.0778731378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32" t="s">
        <v>108</v>
      </c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18641</v>
      </c>
      <c r="H128" s="8">
        <f t="shared" ref="H128:K130" si="20">H96</f>
        <v>19539</v>
      </c>
      <c r="I128" s="8">
        <f t="shared" si="20"/>
        <v>19677</v>
      </c>
      <c r="J128" s="8">
        <f t="shared" si="20"/>
        <v>19913.124</v>
      </c>
      <c r="K128" s="8">
        <f t="shared" si="20"/>
        <v>20152.081488</v>
      </c>
      <c r="L128" s="8">
        <f t="shared" ref="L128:M128" si="21">L96</f>
        <v>20393.906465855998</v>
      </c>
      <c r="M128" s="8">
        <f t="shared" si="21"/>
        <v>20638.633343446272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475607780</v>
      </c>
      <c r="H129" s="39">
        <f t="shared" si="20"/>
        <v>477554147</v>
      </c>
      <c r="I129" s="39">
        <f t="shared" si="20"/>
        <v>459339081</v>
      </c>
      <c r="J129" s="39">
        <f t="shared" si="20"/>
        <v>464851149.972</v>
      </c>
      <c r="K129" s="39">
        <f t="shared" si="20"/>
        <v>470429363.77166402</v>
      </c>
      <c r="L129" s="39">
        <f t="shared" ref="L129:M129" si="22">L97</f>
        <v>476074516.13692397</v>
      </c>
      <c r="M129" s="39">
        <f t="shared" si="22"/>
        <v>481787410.33056706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84530</v>
      </c>
      <c r="H130" s="8">
        <f t="shared" si="20"/>
        <v>84875.928745131125</v>
      </c>
      <c r="I130" s="8">
        <f t="shared" si="20"/>
        <v>85223.273161582591</v>
      </c>
      <c r="J130" s="8">
        <f t="shared" si="20"/>
        <v>85572.039042817109</v>
      </c>
      <c r="K130" s="8">
        <f t="shared" si="20"/>
        <v>85922.232206006433</v>
      </c>
      <c r="L130" s="8">
        <f t="shared" ref="L130:M130" si="23">L98</f>
        <v>86273.858492128391</v>
      </c>
      <c r="M130" s="8">
        <f t="shared" si="23"/>
        <v>86626.923766064298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108683</v>
      </c>
      <c r="H131" s="8">
        <f t="shared" ref="H131:M131" si="24">MAX(G131,H130)</f>
        <v>108683</v>
      </c>
      <c r="I131" s="8">
        <f t="shared" si="24"/>
        <v>108683</v>
      </c>
      <c r="J131" s="8">
        <f t="shared" si="24"/>
        <v>108683</v>
      </c>
      <c r="K131" s="8">
        <f t="shared" si="24"/>
        <v>108683</v>
      </c>
      <c r="L131" s="8">
        <f t="shared" si="24"/>
        <v>108683</v>
      </c>
      <c r="M131" s="8">
        <f t="shared" si="24"/>
        <v>108683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1">
        <f>G134*EXP('Model Inputs'!H21)</f>
        <v>116.75</v>
      </c>
      <c r="I134" s="212">
        <f>H134*EXP('Model Inputs'!I21)</f>
        <v>116.75</v>
      </c>
      <c r="J134" s="212">
        <f>I134*EXP('Model Inputs'!J21)</f>
        <v>116.75</v>
      </c>
      <c r="K134" s="212">
        <f>J134*EXP('Model Inputs'!K21)</f>
        <v>116.75</v>
      </c>
      <c r="L134" s="212">
        <f>K134*EXP('Model Inputs'!L21)</f>
        <v>116.75</v>
      </c>
      <c r="M134" s="213">
        <f>L134*EXP('Model Inputs'!M21)</f>
        <v>116.75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4">
        <f>G135*EXP('Model Inputs'!H20)</f>
        <v>973.56</v>
      </c>
      <c r="I135" s="215">
        <f>H135*EXP('Model Inputs'!I20)</f>
        <v>973.56</v>
      </c>
      <c r="J135" s="215">
        <f>I135*EXP('Model Inputs'!J20)</f>
        <v>973.56</v>
      </c>
      <c r="K135" s="215">
        <f>J135*EXP('Model Inputs'!K20)</f>
        <v>973.56</v>
      </c>
      <c r="L135" s="215">
        <f>K135*EXP('Model Inputs'!L20)</f>
        <v>973.56</v>
      </c>
      <c r="M135" s="216">
        <f>L135*EXP('Model Inputs'!M20)</f>
        <v>973.56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0</v>
      </c>
      <c r="I136" s="40">
        <f t="shared" ref="I136:M136" si="25">LN(I134/H134)*0.3+LN(I135/H135)*0.7</f>
        <v>0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124.78497613550158</v>
      </c>
      <c r="H137" s="29">
        <f t="shared" ref="H137:M137" si="26">G137*EXP(H136)</f>
        <v>124.78497613550158</v>
      </c>
      <c r="I137" s="29">
        <f t="shared" si="26"/>
        <v>124.78497613550158</v>
      </c>
      <c r="J137" s="29">
        <f t="shared" si="26"/>
        <v>124.78497613550158</v>
      </c>
      <c r="K137" s="29">
        <f t="shared" si="26"/>
        <v>124.78497613550158</v>
      </c>
      <c r="L137" s="29">
        <f t="shared" si="26"/>
        <v>124.78497613550158</v>
      </c>
      <c r="M137" s="29">
        <f t="shared" si="26"/>
        <v>124.78497613550158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17.95342057404654</v>
      </c>
      <c r="I139" s="29">
        <f t="shared" si="27"/>
        <v>16.939058255142122</v>
      </c>
      <c r="J139" s="29">
        <f t="shared" si="27"/>
        <v>16.939058255142122</v>
      </c>
      <c r="K139" s="29">
        <f t="shared" si="27"/>
        <v>16.939058255142122</v>
      </c>
      <c r="L139" s="29">
        <f t="shared" ref="L139:M139" si="28">L113</f>
        <v>16.939058255142122</v>
      </c>
      <c r="M139" s="29">
        <f t="shared" si="28"/>
        <v>16.939058255142122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345</v>
      </c>
      <c r="H142" s="42">
        <f>'Model Inputs'!H16</f>
        <v>350</v>
      </c>
      <c r="I142" s="42">
        <f>'Model Inputs'!I16</f>
        <v>355</v>
      </c>
      <c r="J142" s="42">
        <f>'Model Inputs'!J16</f>
        <v>360</v>
      </c>
      <c r="K142" s="42">
        <f>'Model Inputs'!K16</f>
        <v>365</v>
      </c>
      <c r="L142" s="42">
        <f>'Model Inputs'!L16</f>
        <v>370</v>
      </c>
      <c r="M142" s="42">
        <f>'Model Inputs'!M16</f>
        <v>375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322.95999999999998</v>
      </c>
      <c r="H143" s="41">
        <f>(G143*14+H142)/15</f>
        <v>324.76266666666663</v>
      </c>
      <c r="I143" s="41">
        <f>(H143*15+I142)/16</f>
        <v>326.65249999999997</v>
      </c>
      <c r="J143" s="41">
        <f>(I143*16+J142)/17</f>
        <v>328.61411764705878</v>
      </c>
      <c r="K143" s="41">
        <f>(J143*17+K142)/18</f>
        <v>330.63555555555553</v>
      </c>
      <c r="L143" s="41">
        <f>(K143*17+L142)/18</f>
        <v>332.82246913580246</v>
      </c>
      <c r="M143" s="41">
        <f>(L143*17+M142)/18</f>
        <v>335.16566529492457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15423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0.20864941969785386</v>
      </c>
      <c r="H145" s="30">
        <f>'Model Inputs'!H17</f>
        <v>0.20864941969785386</v>
      </c>
      <c r="I145" s="30">
        <f>'Model Inputs'!I17</f>
        <v>0.20864941969785386</v>
      </c>
      <c r="J145" s="30">
        <f>'Model Inputs'!J17</f>
        <v>0.20864941969785386</v>
      </c>
      <c r="K145" s="30">
        <f>'Model Inputs'!K17</f>
        <v>0.20864941969785386</v>
      </c>
      <c r="L145" s="30">
        <f>'Model Inputs'!L17</f>
        <v>0.20864941969785386</v>
      </c>
      <c r="M145" s="30">
        <f>'Model Inputs'!M17</f>
        <v>0.20864941969785386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0.14287781225720117</v>
      </c>
      <c r="H152" s="44">
        <f t="shared" ref="H152:K152" si="31">H113/H137</f>
        <v>0.14387485681410292</v>
      </c>
      <c r="I152" s="44">
        <f t="shared" si="31"/>
        <v>0.13574597503427277</v>
      </c>
      <c r="J152" s="44">
        <f t="shared" si="31"/>
        <v>0.13574597503427277</v>
      </c>
      <c r="K152" s="44">
        <f t="shared" si="31"/>
        <v>0.13574597503427277</v>
      </c>
      <c r="L152" s="44">
        <f t="shared" ref="L152:M152" si="32">L113/L137</f>
        <v>0.13574597503427277</v>
      </c>
      <c r="M152" s="44">
        <f t="shared" si="32"/>
        <v>0.13574597503427277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18641</v>
      </c>
      <c r="H153" s="25">
        <f t="shared" ref="H153:K153" si="33">H96</f>
        <v>19539</v>
      </c>
      <c r="I153" s="25">
        <f t="shared" si="33"/>
        <v>19677</v>
      </c>
      <c r="J153" s="25">
        <f t="shared" si="33"/>
        <v>19913.124</v>
      </c>
      <c r="K153" s="25">
        <f t="shared" si="33"/>
        <v>20152.081488</v>
      </c>
      <c r="L153" s="25">
        <f t="shared" ref="L153:M153" si="34">L96</f>
        <v>20393.906465855998</v>
      </c>
      <c r="M153" s="25">
        <f t="shared" si="34"/>
        <v>20638.633343446272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108683</v>
      </c>
      <c r="H154" s="25">
        <f t="shared" ref="H154:K154" si="35">H131</f>
        <v>108683</v>
      </c>
      <c r="I154" s="25">
        <f t="shared" si="35"/>
        <v>108683</v>
      </c>
      <c r="J154" s="25">
        <f t="shared" si="35"/>
        <v>108683</v>
      </c>
      <c r="K154" s="25">
        <f t="shared" si="35"/>
        <v>108683</v>
      </c>
      <c r="L154" s="25">
        <f t="shared" ref="L154:M154" si="36">L131</f>
        <v>108683</v>
      </c>
      <c r="M154" s="25">
        <f t="shared" si="36"/>
        <v>108683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475607780</v>
      </c>
      <c r="H155" s="39">
        <f t="shared" ref="H155:K155" si="37">H97</f>
        <v>477554147</v>
      </c>
      <c r="I155" s="39">
        <f t="shared" si="37"/>
        <v>459339081</v>
      </c>
      <c r="J155" s="39">
        <f t="shared" si="37"/>
        <v>464851149.972</v>
      </c>
      <c r="K155" s="39">
        <f t="shared" si="37"/>
        <v>470429363.77166402</v>
      </c>
      <c r="L155" s="39">
        <f t="shared" ref="L155:M155" si="38">L97</f>
        <v>476074516.13692397</v>
      </c>
      <c r="M155" s="39">
        <f t="shared" si="38"/>
        <v>481787410.33056706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322.95999999999998</v>
      </c>
      <c r="H156" s="45">
        <f t="shared" ref="H156:K156" si="39">H143</f>
        <v>324.76266666666663</v>
      </c>
      <c r="I156" s="45">
        <f t="shared" si="39"/>
        <v>326.65249999999997</v>
      </c>
      <c r="J156" s="45">
        <f t="shared" si="39"/>
        <v>328.61411764705878</v>
      </c>
      <c r="K156" s="45">
        <f t="shared" si="39"/>
        <v>330.63555555555553</v>
      </c>
      <c r="L156" s="45">
        <f t="shared" ref="L156:M156" si="40">L143</f>
        <v>332.82246913580246</v>
      </c>
      <c r="M156" s="45">
        <f t="shared" si="40"/>
        <v>335.16566529492457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0.20864941969785386</v>
      </c>
      <c r="H157" s="31">
        <f t="shared" ref="H157:L157" si="41">H145</f>
        <v>0.20864941969785386</v>
      </c>
      <c r="I157" s="31">
        <f t="shared" si="41"/>
        <v>0.20864941969785386</v>
      </c>
      <c r="J157" s="31">
        <f t="shared" si="41"/>
        <v>0.20864941969785386</v>
      </c>
      <c r="K157" s="31">
        <f t="shared" si="41"/>
        <v>0.20864941969785386</v>
      </c>
      <c r="L157" s="31">
        <f t="shared" si="41"/>
        <v>0.20864941969785386</v>
      </c>
      <c r="M157" s="31">
        <f t="shared" ref="M157" si="42">M145</f>
        <v>0.20864941969785386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12.812096781482326</v>
      </c>
      <c r="H162" s="49">
        <f t="shared" ref="H162:M179" si="45">G162</f>
        <v>12.812096781482326</v>
      </c>
      <c r="I162" s="49">
        <f t="shared" si="45"/>
        <v>12.812096781482326</v>
      </c>
      <c r="J162" s="49">
        <f t="shared" si="45"/>
        <v>12.812096781482326</v>
      </c>
      <c r="K162" s="49">
        <f t="shared" si="45"/>
        <v>12.812096781482326</v>
      </c>
      <c r="L162" s="49">
        <f t="shared" si="45"/>
        <v>12.812096781482326</v>
      </c>
      <c r="M162" s="49">
        <f t="shared" si="45"/>
        <v>12.812096781482326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0.62771962840268625</v>
      </c>
      <c r="H163" s="49">
        <f t="shared" si="45"/>
        <v>0.62771962840268625</v>
      </c>
      <c r="I163" s="49">
        <f t="shared" si="45"/>
        <v>0.62771962840268625</v>
      </c>
      <c r="J163" s="49">
        <f t="shared" si="45"/>
        <v>0.62771962840268625</v>
      </c>
      <c r="K163" s="49">
        <f t="shared" si="45"/>
        <v>0.62771962840268625</v>
      </c>
      <c r="L163" s="49">
        <f t="shared" si="45"/>
        <v>0.62771962840268625</v>
      </c>
      <c r="M163" s="49">
        <f t="shared" si="45"/>
        <v>0.62771962840268625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0.45271762057555354</v>
      </c>
      <c r="H164" s="49">
        <f t="shared" si="45"/>
        <v>0.45271762057555354</v>
      </c>
      <c r="I164" s="49">
        <f t="shared" si="45"/>
        <v>0.45271762057555354</v>
      </c>
      <c r="J164" s="49">
        <f t="shared" si="45"/>
        <v>0.45271762057555354</v>
      </c>
      <c r="K164" s="49">
        <f t="shared" si="45"/>
        <v>0.45271762057555354</v>
      </c>
      <c r="L164" s="49">
        <f t="shared" si="45"/>
        <v>0.45271762057555354</v>
      </c>
      <c r="M164" s="49">
        <f t="shared" si="45"/>
        <v>0.45271762057555354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0.15509730054549328</v>
      </c>
      <c r="H165" s="49">
        <f t="shared" si="45"/>
        <v>0.15509730054549328</v>
      </c>
      <c r="I165" s="49">
        <f t="shared" si="45"/>
        <v>0.15509730054549328</v>
      </c>
      <c r="J165" s="49">
        <f t="shared" si="45"/>
        <v>0.15509730054549328</v>
      </c>
      <c r="K165" s="49">
        <f t="shared" si="45"/>
        <v>0.15509730054549328</v>
      </c>
      <c r="L165" s="49">
        <f t="shared" si="45"/>
        <v>0.15509730054549328</v>
      </c>
      <c r="M165" s="49">
        <f t="shared" si="45"/>
        <v>0.15509730054549328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0.1057203064698805</v>
      </c>
      <c r="H166" s="49">
        <f t="shared" si="45"/>
        <v>0.1057203064698805</v>
      </c>
      <c r="I166" s="49">
        <f t="shared" si="45"/>
        <v>0.1057203064698805</v>
      </c>
      <c r="J166" s="49">
        <f t="shared" si="45"/>
        <v>0.1057203064698805</v>
      </c>
      <c r="K166" s="49">
        <f t="shared" si="45"/>
        <v>0.1057203064698805</v>
      </c>
      <c r="L166" s="49">
        <f t="shared" si="45"/>
        <v>0.1057203064698805</v>
      </c>
      <c r="M166" s="49">
        <f t="shared" si="45"/>
        <v>0.1057203064698805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0.12676771898688943</v>
      </c>
      <c r="H167" s="49">
        <f t="shared" si="45"/>
        <v>0.12676771898688943</v>
      </c>
      <c r="I167" s="49">
        <f t="shared" si="45"/>
        <v>0.12676771898688943</v>
      </c>
      <c r="J167" s="49">
        <f t="shared" si="45"/>
        <v>0.12676771898688943</v>
      </c>
      <c r="K167" s="49">
        <f t="shared" si="45"/>
        <v>0.12676771898688943</v>
      </c>
      <c r="L167" s="49">
        <f t="shared" si="45"/>
        <v>0.12676771898688943</v>
      </c>
      <c r="M167" s="49">
        <f t="shared" si="45"/>
        <v>0.12676771898688943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-0.37266565684339747</v>
      </c>
      <c r="H168" s="49">
        <f t="shared" si="45"/>
        <v>-0.37266565684339747</v>
      </c>
      <c r="I168" s="49">
        <f t="shared" si="45"/>
        <v>-0.37266565684339747</v>
      </c>
      <c r="J168" s="49">
        <f t="shared" si="45"/>
        <v>-0.37266565684339747</v>
      </c>
      <c r="K168" s="49">
        <f t="shared" si="45"/>
        <v>-0.37266565684339747</v>
      </c>
      <c r="L168" s="49">
        <f t="shared" si="45"/>
        <v>-0.37266565684339747</v>
      </c>
      <c r="M168" s="49">
        <f t="shared" si="45"/>
        <v>-0.37266565684339747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0.11632977868088479</v>
      </c>
      <c r="H169" s="49">
        <f t="shared" si="45"/>
        <v>0.11632977868088479</v>
      </c>
      <c r="I169" s="49">
        <f t="shared" si="45"/>
        <v>0.11632977868088479</v>
      </c>
      <c r="J169" s="49">
        <f t="shared" si="45"/>
        <v>0.11632977868088479</v>
      </c>
      <c r="K169" s="49">
        <f t="shared" si="45"/>
        <v>0.11632977868088479</v>
      </c>
      <c r="L169" s="49">
        <f t="shared" si="45"/>
        <v>0.11632977868088479</v>
      </c>
      <c r="M169" s="49">
        <f t="shared" si="45"/>
        <v>0.11632977868088479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0.14311942948519987</v>
      </c>
      <c r="H170" s="49">
        <f t="shared" si="45"/>
        <v>0.14311942948519987</v>
      </c>
      <c r="I170" s="49">
        <f t="shared" si="45"/>
        <v>0.14311942948519987</v>
      </c>
      <c r="J170" s="49">
        <f t="shared" si="45"/>
        <v>0.14311942948519987</v>
      </c>
      <c r="K170" s="49">
        <f t="shared" si="45"/>
        <v>0.14311942948519987</v>
      </c>
      <c r="L170" s="49">
        <f t="shared" si="45"/>
        <v>0.14311942948519987</v>
      </c>
      <c r="M170" s="49">
        <f t="shared" si="45"/>
        <v>0.14311942948519987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5.147941371628928E-2</v>
      </c>
      <c r="H171" s="49">
        <f t="shared" si="45"/>
        <v>5.147941371628928E-2</v>
      </c>
      <c r="I171" s="49">
        <f t="shared" si="45"/>
        <v>5.147941371628928E-2</v>
      </c>
      <c r="J171" s="49">
        <f t="shared" si="45"/>
        <v>5.147941371628928E-2</v>
      </c>
      <c r="K171" s="49">
        <f t="shared" si="45"/>
        <v>5.147941371628928E-2</v>
      </c>
      <c r="L171" s="49">
        <f t="shared" si="45"/>
        <v>5.147941371628928E-2</v>
      </c>
      <c r="M171" s="49">
        <f t="shared" si="45"/>
        <v>5.147941371628928E-2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1.1006053941147842E-2</v>
      </c>
      <c r="H172" s="49">
        <f t="shared" si="45"/>
        <v>1.1006053941147842E-2</v>
      </c>
      <c r="I172" s="49">
        <f t="shared" si="45"/>
        <v>1.1006053941147842E-2</v>
      </c>
      <c r="J172" s="49">
        <f t="shared" si="45"/>
        <v>1.1006053941147842E-2</v>
      </c>
      <c r="K172" s="49">
        <f t="shared" si="45"/>
        <v>1.1006053941147842E-2</v>
      </c>
      <c r="L172" s="49">
        <f t="shared" si="45"/>
        <v>1.1006053941147842E-2</v>
      </c>
      <c r="M172" s="49">
        <f t="shared" si="45"/>
        <v>1.1006053941147842E-2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1.140042255446172E-3</v>
      </c>
      <c r="H173" s="49">
        <f t="shared" si="45"/>
        <v>1.140042255446172E-3</v>
      </c>
      <c r="I173" s="49">
        <f t="shared" si="45"/>
        <v>1.140042255446172E-3</v>
      </c>
      <c r="J173" s="49">
        <f t="shared" si="45"/>
        <v>1.140042255446172E-3</v>
      </c>
      <c r="K173" s="49">
        <f t="shared" si="45"/>
        <v>1.140042255446172E-3</v>
      </c>
      <c r="L173" s="49">
        <f t="shared" si="45"/>
        <v>1.140042255446172E-3</v>
      </c>
      <c r="M173" s="49">
        <f t="shared" si="45"/>
        <v>1.140042255446172E-3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0.16927832986658353</v>
      </c>
      <c r="H174" s="49">
        <f t="shared" si="45"/>
        <v>0.16927832986658353</v>
      </c>
      <c r="I174" s="49">
        <f t="shared" si="45"/>
        <v>0.16927832986658353</v>
      </c>
      <c r="J174" s="49">
        <f t="shared" si="45"/>
        <v>0.16927832986658353</v>
      </c>
      <c r="K174" s="49">
        <f t="shared" si="45"/>
        <v>0.16927832986658353</v>
      </c>
      <c r="L174" s="49">
        <f t="shared" si="45"/>
        <v>0.16927832986658353</v>
      </c>
      <c r="M174" s="49">
        <f t="shared" si="45"/>
        <v>0.16927832986658353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3.6828671976821645E-2</v>
      </c>
      <c r="H175" s="49">
        <f t="shared" si="45"/>
        <v>3.6828671976821645E-2</v>
      </c>
      <c r="I175" s="49">
        <f t="shared" si="45"/>
        <v>3.6828671976821645E-2</v>
      </c>
      <c r="J175" s="49">
        <f t="shared" si="45"/>
        <v>3.6828671976821645E-2</v>
      </c>
      <c r="K175" s="49">
        <f t="shared" si="45"/>
        <v>3.6828671976821645E-2</v>
      </c>
      <c r="L175" s="49">
        <f t="shared" si="45"/>
        <v>3.6828671976821645E-2</v>
      </c>
      <c r="M175" s="49">
        <f t="shared" si="45"/>
        <v>3.6828671976821645E-2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-0.15025749458548762</v>
      </c>
      <c r="H176" s="49">
        <f t="shared" si="45"/>
        <v>-0.15025749458548762</v>
      </c>
      <c r="I176" s="49">
        <f t="shared" si="45"/>
        <v>-0.15025749458548762</v>
      </c>
      <c r="J176" s="49">
        <f t="shared" si="45"/>
        <v>-0.15025749458548762</v>
      </c>
      <c r="K176" s="49">
        <f t="shared" si="45"/>
        <v>-0.15025749458548762</v>
      </c>
      <c r="L176" s="49">
        <f t="shared" si="45"/>
        <v>-0.15025749458548762</v>
      </c>
      <c r="M176" s="49">
        <f t="shared" si="45"/>
        <v>-0.15025749458548762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0.28273774566805199</v>
      </c>
      <c r="H177" s="49">
        <f t="shared" si="45"/>
        <v>0.28273774566805199</v>
      </c>
      <c r="I177" s="49">
        <f t="shared" si="45"/>
        <v>0.28273774566805199</v>
      </c>
      <c r="J177" s="49">
        <f t="shared" si="45"/>
        <v>0.28273774566805199</v>
      </c>
      <c r="K177" s="49">
        <f t="shared" si="45"/>
        <v>0.28273774566805199</v>
      </c>
      <c r="L177" s="49">
        <f t="shared" si="45"/>
        <v>0.28273774566805199</v>
      </c>
      <c r="M177" s="49">
        <f t="shared" si="45"/>
        <v>0.28273774566805199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1.6514003246118299E-2</v>
      </c>
      <c r="H178" s="49">
        <f t="shared" si="45"/>
        <v>1.6514003246118299E-2</v>
      </c>
      <c r="I178" s="49">
        <f t="shared" si="45"/>
        <v>1.6514003246118299E-2</v>
      </c>
      <c r="J178" s="49">
        <f t="shared" si="45"/>
        <v>1.6514003246118299E-2</v>
      </c>
      <c r="K178" s="49">
        <f t="shared" si="45"/>
        <v>1.6514003246118299E-2</v>
      </c>
      <c r="L178" s="49">
        <f t="shared" si="45"/>
        <v>1.6514003246118299E-2</v>
      </c>
      <c r="M178" s="49">
        <f t="shared" si="45"/>
        <v>1.6514003246118299E-2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1.7117255131705159E-2</v>
      </c>
      <c r="H179" s="49">
        <f t="shared" si="45"/>
        <v>1.7117255131705159E-2</v>
      </c>
      <c r="I179" s="49">
        <f t="shared" si="45"/>
        <v>1.7117255131705159E-2</v>
      </c>
      <c r="J179" s="49">
        <f t="shared" si="45"/>
        <v>1.7117255131705159E-2</v>
      </c>
      <c r="K179" s="49">
        <f t="shared" si="45"/>
        <v>1.7117255131705159E-2</v>
      </c>
      <c r="L179" s="49">
        <f t="shared" si="45"/>
        <v>1.7117255131705159E-2</v>
      </c>
      <c r="M179" s="49">
        <f t="shared" si="45"/>
        <v>1.7117255131705159E-2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-0.14031267736082842</v>
      </c>
      <c r="H206" s="48">
        <f t="shared" ref="H206:K209" si="49">LN(H152/H184)</f>
        <v>-0.13335861079093336</v>
      </c>
      <c r="I206" s="48">
        <f t="shared" si="49"/>
        <v>-0.19151717408721111</v>
      </c>
      <c r="J206" s="48">
        <f t="shared" si="49"/>
        <v>-0.19151717408721111</v>
      </c>
      <c r="K206" s="48">
        <f t="shared" si="49"/>
        <v>-0.19151717408721111</v>
      </c>
      <c r="L206" s="48">
        <f t="shared" ref="L206:M206" si="50">LN(L152/L184)</f>
        <v>-0.19151717408721111</v>
      </c>
      <c r="M206" s="48">
        <f t="shared" si="50"/>
        <v>-0.19151717408721111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-1.2244522647820002</v>
      </c>
      <c r="H207" s="48">
        <f t="shared" si="49"/>
        <v>-1.1774032524367344</v>
      </c>
      <c r="I207" s="48">
        <f t="shared" si="49"/>
        <v>-1.1703652796894006</v>
      </c>
      <c r="J207" s="48">
        <f t="shared" si="49"/>
        <v>-1.1584367088241265</v>
      </c>
      <c r="K207" s="48">
        <f t="shared" si="49"/>
        <v>-1.1465081379588529</v>
      </c>
      <c r="L207" s="48">
        <f t="shared" ref="L207:M207" si="51">LN(L153/L185)</f>
        <v>-1.134579567093579</v>
      </c>
      <c r="M207" s="48">
        <f t="shared" si="51"/>
        <v>-1.1226509962283051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-1.1554829143376621</v>
      </c>
      <c r="H208" s="48">
        <f t="shared" si="49"/>
        <v>-1.1554829143376621</v>
      </c>
      <c r="I208" s="48">
        <f t="shared" si="49"/>
        <v>-1.1554829143376621</v>
      </c>
      <c r="J208" s="48">
        <f t="shared" si="49"/>
        <v>-1.1554829143376621</v>
      </c>
      <c r="K208" s="48">
        <f t="shared" si="49"/>
        <v>-1.1554829143376621</v>
      </c>
      <c r="L208" s="48">
        <f t="shared" ref="L208:M208" si="52">LN(L154/L186)</f>
        <v>-1.1554829143376621</v>
      </c>
      <c r="M208" s="48">
        <f t="shared" si="52"/>
        <v>-1.1554829143376621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-1.2319429739427186</v>
      </c>
      <c r="H209" s="48">
        <f t="shared" si="49"/>
        <v>-1.2278589465593366</v>
      </c>
      <c r="I209" s="48">
        <f t="shared" si="49"/>
        <v>-1.266747821020207</v>
      </c>
      <c r="J209" s="48">
        <f t="shared" si="49"/>
        <v>-1.2548192501549329</v>
      </c>
      <c r="K209" s="48">
        <f t="shared" si="49"/>
        <v>-1.2428906792896592</v>
      </c>
      <c r="L209" s="48">
        <f t="shared" ref="L209:M209" si="53">LN(L155/L187)</f>
        <v>-1.2309621084243854</v>
      </c>
      <c r="M209" s="48">
        <f t="shared" si="53"/>
        <v>-1.2190335375591117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9.8438237140819652E-3</v>
      </c>
      <c r="H210" s="48">
        <f t="shared" ref="H210:K213" si="54">H206*H206/2</f>
        <v>8.8922595360438235E-3</v>
      </c>
      <c r="I210" s="48">
        <f t="shared" si="54"/>
        <v>1.8339413985175565E-2</v>
      </c>
      <c r="J210" s="48">
        <f t="shared" si="54"/>
        <v>1.8339413985175565E-2</v>
      </c>
      <c r="K210" s="48">
        <f t="shared" si="54"/>
        <v>1.8339413985175565E-2</v>
      </c>
      <c r="L210" s="48">
        <f t="shared" ref="L210:M210" si="55">L206*L206/2</f>
        <v>1.8339413985175565E-2</v>
      </c>
      <c r="M210" s="48">
        <f t="shared" si="55"/>
        <v>1.8339413985175565E-2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0.74964167436488471</v>
      </c>
      <c r="H211" s="48">
        <f t="shared" si="54"/>
        <v>0.69313920942430018</v>
      </c>
      <c r="I211" s="48">
        <f t="shared" si="54"/>
        <v>0.68487744395122452</v>
      </c>
      <c r="J211" s="48">
        <f t="shared" si="54"/>
        <v>0.67098780417563708</v>
      </c>
      <c r="K211" s="48">
        <f t="shared" si="54"/>
        <v>0.65724045520293806</v>
      </c>
      <c r="L211" s="48">
        <f t="shared" ref="L211:M211" si="56">L207*L207/2</f>
        <v>0.64363539703312656</v>
      </c>
      <c r="M211" s="48">
        <f t="shared" si="56"/>
        <v>0.63017262966620302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0.66757038266312851</v>
      </c>
      <c r="H212" s="48">
        <f t="shared" si="54"/>
        <v>0.66757038266312851</v>
      </c>
      <c r="I212" s="48">
        <f t="shared" si="54"/>
        <v>0.66757038266312851</v>
      </c>
      <c r="J212" s="48">
        <f t="shared" si="54"/>
        <v>0.66757038266312851</v>
      </c>
      <c r="K212" s="48">
        <f t="shared" si="54"/>
        <v>0.66757038266312851</v>
      </c>
      <c r="L212" s="48">
        <f t="shared" ref="L212:M212" si="57">L208*L208/2</f>
        <v>0.66757038266312851</v>
      </c>
      <c r="M212" s="48">
        <f t="shared" si="57"/>
        <v>0.66757038266312851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0.75884174552341488</v>
      </c>
      <c r="H213" s="48">
        <f t="shared" si="54"/>
        <v>0.75381879632290194</v>
      </c>
      <c r="I213" s="48">
        <f t="shared" si="54"/>
        <v>0.80232502102972114</v>
      </c>
      <c r="J213" s="48">
        <f t="shared" si="54"/>
        <v>0.78728567527969406</v>
      </c>
      <c r="K213" s="48">
        <f t="shared" si="54"/>
        <v>0.77238862033255529</v>
      </c>
      <c r="L213" s="48">
        <f t="shared" ref="L213:M213" si="58">L209*L209/2</f>
        <v>0.75763385618830414</v>
      </c>
      <c r="M213" s="48">
        <f t="shared" si="58"/>
        <v>0.74302138284694108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0.17180617557209243</v>
      </c>
      <c r="H214" s="48">
        <f t="shared" ref="H214:K214" si="59">H206*H207</f>
        <v>0.15701686208568952</v>
      </c>
      <c r="I214" s="48">
        <f t="shared" si="59"/>
        <v>0.22414505101590246</v>
      </c>
      <c r="J214" s="48">
        <f t="shared" si="59"/>
        <v>0.22186052483288612</v>
      </c>
      <c r="K214" s="48">
        <f t="shared" si="59"/>
        <v>0.21957599864986987</v>
      </c>
      <c r="L214" s="48">
        <f t="shared" ref="L214:M214" si="60">L206*L207</f>
        <v>0.2172914724668536</v>
      </c>
      <c r="M214" s="48">
        <f t="shared" si="60"/>
        <v>0.21500694628383729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0.16212890135541014</v>
      </c>
      <c r="H215" s="48">
        <f t="shared" ref="H215:K215" si="61">H206*H208</f>
        <v>0.15409359624872968</v>
      </c>
      <c r="I215" s="48">
        <f t="shared" si="61"/>
        <v>0.22129482246000409</v>
      </c>
      <c r="J215" s="48">
        <f t="shared" si="61"/>
        <v>0.22129482246000409</v>
      </c>
      <c r="K215" s="48">
        <f t="shared" si="61"/>
        <v>0.22129482246000409</v>
      </c>
      <c r="L215" s="48">
        <f t="shared" ref="L215:M215" si="62">L206*L208</f>
        <v>0.22129482246000409</v>
      </c>
      <c r="M215" s="48">
        <f t="shared" si="62"/>
        <v>0.22129482246000409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0.17285721702976412</v>
      </c>
      <c r="H216" s="48">
        <f t="shared" ref="H216:K216" si="63">H206*H209</f>
        <v>0.16374556336037202</v>
      </c>
      <c r="I216" s="48">
        <f t="shared" si="63"/>
        <v>0.24260396296292233</v>
      </c>
      <c r="J216" s="48">
        <f t="shared" si="63"/>
        <v>0.240319436779906</v>
      </c>
      <c r="K216" s="48">
        <f t="shared" si="63"/>
        <v>0.23803491059688975</v>
      </c>
      <c r="L216" s="48">
        <f t="shared" ref="L216:M216" si="64">L206*L209</f>
        <v>0.23575038441387344</v>
      </c>
      <c r="M216" s="48">
        <f t="shared" si="64"/>
        <v>0.23346585823085719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1.4148336713776564</v>
      </c>
      <c r="H217" s="48">
        <f t="shared" ref="H217:K217" si="65">H207*H208</f>
        <v>1.3604693414762399</v>
      </c>
      <c r="I217" s="48">
        <f t="shared" si="65"/>
        <v>1.3523370842151217</v>
      </c>
      <c r="J217" s="48">
        <f t="shared" si="65"/>
        <v>1.3385538243878314</v>
      </c>
      <c r="K217" s="48">
        <f t="shared" si="65"/>
        <v>1.3247705645605417</v>
      </c>
      <c r="L217" s="48">
        <f t="shared" ref="L217:M217" si="66">L207*L208</f>
        <v>1.3109873047332516</v>
      </c>
      <c r="M217" s="48">
        <f t="shared" si="66"/>
        <v>1.2972040449059616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1.5084553645264345</v>
      </c>
      <c r="H218" s="48">
        <f t="shared" ref="H218:K218" si="67">H207*H209</f>
        <v>1.4456851172125054</v>
      </c>
      <c r="I218" s="48">
        <f t="shared" si="67"/>
        <v>1.4825576678442534</v>
      </c>
      <c r="J218" s="48">
        <f t="shared" si="67"/>
        <v>1.4536286823186388</v>
      </c>
      <c r="K218" s="48">
        <f t="shared" si="67"/>
        <v>1.4249842783988009</v>
      </c>
      <c r="L218" s="48">
        <f t="shared" ref="L218:M218" si="68">L207*L209</f>
        <v>1.3966244560847383</v>
      </c>
      <c r="M218" s="48">
        <f t="shared" si="68"/>
        <v>1.3685492153764518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1.423489057829139</v>
      </c>
      <c r="H219" s="48">
        <f t="shared" ref="H219:K219" si="69">H208*H209</f>
        <v>1.4187700339659539</v>
      </c>
      <c r="I219" s="48">
        <f t="shared" si="69"/>
        <v>1.463705463963312</v>
      </c>
      <c r="J219" s="48">
        <f t="shared" si="69"/>
        <v>1.4499222041360218</v>
      </c>
      <c r="K219" s="48">
        <f t="shared" si="69"/>
        <v>1.436138944308732</v>
      </c>
      <c r="L219" s="48">
        <f t="shared" ref="L219:M219" si="70">L208*L209</f>
        <v>1.422355684481442</v>
      </c>
      <c r="M219" s="48">
        <f t="shared" si="70"/>
        <v>1.4085724246541522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-2.1318868304908656</v>
      </c>
      <c r="H220" s="48">
        <f t="shared" ref="H220:K220" si="71">LN(H156/H198)</f>
        <v>-2.1263206478831624</v>
      </c>
      <c r="I220" s="48">
        <f t="shared" si="71"/>
        <v>-2.1205183923263724</v>
      </c>
      <c r="J220" s="48">
        <f t="shared" si="71"/>
        <v>-2.1145311393392636</v>
      </c>
      <c r="K220" s="48">
        <f t="shared" si="71"/>
        <v>-2.1083985788666606</v>
      </c>
      <c r="L220" s="48">
        <f t="shared" ref="L220:M220" si="72">LN(L156/L198)</f>
        <v>-2.1018060849354629</v>
      </c>
      <c r="M220" s="48">
        <f t="shared" si="72"/>
        <v>-2.0947903741783871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1.6224682713674485</v>
      </c>
      <c r="H221" s="31">
        <f t="shared" ref="H221:K221" si="73">H157/H199</f>
        <v>1.6224682713674485</v>
      </c>
      <c r="I221" s="31">
        <f t="shared" si="73"/>
        <v>1.6224682713674485</v>
      </c>
      <c r="J221" s="31">
        <f t="shared" si="73"/>
        <v>1.6224682713674485</v>
      </c>
      <c r="K221" s="31">
        <f t="shared" si="73"/>
        <v>1.6224682713674485</v>
      </c>
      <c r="L221" s="31">
        <f t="shared" ref="L221:M221" si="74">L157/L199</f>
        <v>1.6224682713674485</v>
      </c>
      <c r="M221" s="31">
        <f t="shared" si="74"/>
        <v>1.6224682713674485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12.812096781482326</v>
      </c>
      <c r="H226" s="50">
        <f t="shared" ref="H226:K241" si="78">H162*H205</f>
        <v>12.812096781482326</v>
      </c>
      <c r="I226" s="50">
        <f t="shared" si="78"/>
        <v>12.812096781482326</v>
      </c>
      <c r="J226" s="50">
        <f t="shared" si="78"/>
        <v>12.812096781482326</v>
      </c>
      <c r="K226" s="50">
        <f t="shared" si="78"/>
        <v>12.812096781482326</v>
      </c>
      <c r="L226" s="50">
        <f t="shared" ref="L226:M226" si="79">L162*L205</f>
        <v>12.812096781482326</v>
      </c>
      <c r="M226" s="50">
        <f t="shared" si="79"/>
        <v>12.812096781482326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-8.8077021693125229E-2</v>
      </c>
      <c r="H227" s="50">
        <f t="shared" si="78"/>
        <v>-8.3711817609983155E-2</v>
      </c>
      <c r="I227" s="50">
        <f t="shared" si="78"/>
        <v>-0.12021908935075673</v>
      </c>
      <c r="J227" s="50">
        <f t="shared" si="78"/>
        <v>-0.12021908935075673</v>
      </c>
      <c r="K227" s="50">
        <f t="shared" si="78"/>
        <v>-0.12021908935075673</v>
      </c>
      <c r="L227" s="50">
        <f t="shared" ref="L227:M227" si="80">L163*L206</f>
        <v>-0.12021908935075673</v>
      </c>
      <c r="M227" s="50">
        <f t="shared" si="80"/>
        <v>-0.12021908935075673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-0.5543311158204548</v>
      </c>
      <c r="H228" s="50">
        <f t="shared" si="78"/>
        <v>-0.5330311989010762</v>
      </c>
      <c r="I228" s="50">
        <f t="shared" si="78"/>
        <v>-0.52984498462522767</v>
      </c>
      <c r="J228" s="50">
        <f t="shared" si="78"/>
        <v>-0.52444471040623386</v>
      </c>
      <c r="K228" s="50">
        <f t="shared" si="78"/>
        <v>-0.51904443618724039</v>
      </c>
      <c r="L228" s="50">
        <f t="shared" ref="L228:M228" si="81">L164*L207</f>
        <v>-0.51364416196824669</v>
      </c>
      <c r="M228" s="50">
        <f t="shared" si="81"/>
        <v>-0.508243887749253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-0.17921228084021085</v>
      </c>
      <c r="H229" s="50">
        <f t="shared" si="78"/>
        <v>-0.17921228084021085</v>
      </c>
      <c r="I229" s="50">
        <f t="shared" si="78"/>
        <v>-0.17921228084021085</v>
      </c>
      <c r="J229" s="50">
        <f t="shared" si="78"/>
        <v>-0.17921228084021085</v>
      </c>
      <c r="K229" s="50">
        <f t="shared" si="78"/>
        <v>-0.17921228084021085</v>
      </c>
      <c r="L229" s="50">
        <f t="shared" ref="L229:M229" si="82">L165*L208</f>
        <v>-0.17921228084021085</v>
      </c>
      <c r="M229" s="50">
        <f t="shared" si="82"/>
        <v>-0.17921228084021085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-0.13024138875864022</v>
      </c>
      <c r="H230" s="50">
        <f t="shared" si="78"/>
        <v>-0.12980962413203767</v>
      </c>
      <c r="I230" s="50">
        <f t="shared" si="78"/>
        <v>-0.13392096785830962</v>
      </c>
      <c r="J230" s="50">
        <f t="shared" si="78"/>
        <v>-0.13265987569068513</v>
      </c>
      <c r="K230" s="50">
        <f t="shared" si="78"/>
        <v>-0.13139878352306072</v>
      </c>
      <c r="L230" s="50">
        <f t="shared" ref="L230:M230" si="83">L166*L209</f>
        <v>-0.13013769135543629</v>
      </c>
      <c r="M230" s="50">
        <f t="shared" si="83"/>
        <v>-0.12887659918781186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1.2478790783432207E-3</v>
      </c>
      <c r="H231" s="50">
        <f t="shared" si="78"/>
        <v>1.1272514580236911E-3</v>
      </c>
      <c r="I231" s="50">
        <f t="shared" si="78"/>
        <v>2.3248456784569663E-3</v>
      </c>
      <c r="J231" s="50">
        <f t="shared" si="78"/>
        <v>2.3248456784569663E-3</v>
      </c>
      <c r="K231" s="50">
        <f t="shared" si="78"/>
        <v>2.3248456784569663E-3</v>
      </c>
      <c r="L231" s="50">
        <f t="shared" ref="L231:M231" si="84">L167*L210</f>
        <v>2.3248456784569663E-3</v>
      </c>
      <c r="M231" s="50">
        <f t="shared" si="84"/>
        <v>2.3248456784569663E-3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-0.27936570697437402</v>
      </c>
      <c r="H232" s="50">
        <f t="shared" si="78"/>
        <v>-0.25830917876402004</v>
      </c>
      <c r="I232" s="50">
        <f t="shared" si="78"/>
        <v>-0.25523030250731021</v>
      </c>
      <c r="J232" s="50">
        <f t="shared" si="78"/>
        <v>-0.25005411077702278</v>
      </c>
      <c r="K232" s="50">
        <f t="shared" si="78"/>
        <v>-0.24493094594225645</v>
      </c>
      <c r="L232" s="50">
        <f t="shared" ref="L232:M232" si="85">L168*L211</f>
        <v>-0.23986080800301102</v>
      </c>
      <c r="M232" s="50">
        <f t="shared" si="85"/>
        <v>-0.23484369695928661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7.7658314869115314E-2</v>
      </c>
      <c r="H233" s="50">
        <f t="shared" si="78"/>
        <v>7.7658314869115314E-2</v>
      </c>
      <c r="I233" s="50">
        <f t="shared" si="78"/>
        <v>7.7658314869115314E-2</v>
      </c>
      <c r="J233" s="50">
        <f t="shared" si="78"/>
        <v>7.7658314869115314E-2</v>
      </c>
      <c r="K233" s="50">
        <f t="shared" si="78"/>
        <v>7.7658314869115314E-2</v>
      </c>
      <c r="L233" s="50">
        <f t="shared" ref="L233:M233" si="86">L169*L212</f>
        <v>7.7658314869115314E-2</v>
      </c>
      <c r="M233" s="50">
        <f t="shared" si="86"/>
        <v>7.7658314869115314E-2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0.10860499768886436</v>
      </c>
      <c r="H234" s="50">
        <f t="shared" si="78"/>
        <v>0.10788611606495381</v>
      </c>
      <c r="I234" s="50">
        <f t="shared" si="78"/>
        <v>0.11482829927147468</v>
      </c>
      <c r="J234" s="50">
        <f t="shared" si="78"/>
        <v>0.11267587668790013</v>
      </c>
      <c r="K234" s="50">
        <f t="shared" si="78"/>
        <v>0.11054381868285597</v>
      </c>
      <c r="L234" s="50">
        <f t="shared" ref="L234:M234" si="87">L170*L213</f>
        <v>0.10843212525634206</v>
      </c>
      <c r="M234" s="50">
        <f t="shared" si="87"/>
        <v>0.10634079640835849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8.8444811912891802E-3</v>
      </c>
      <c r="H235" s="50">
        <f t="shared" si="78"/>
        <v>8.0831360037427469E-3</v>
      </c>
      <c r="I235" s="50">
        <f t="shared" si="78"/>
        <v>1.1538855813706408E-2</v>
      </c>
      <c r="J235" s="50">
        <f t="shared" si="78"/>
        <v>1.1421249745185217E-2</v>
      </c>
      <c r="K235" s="50">
        <f t="shared" si="78"/>
        <v>1.1303643676664027E-2</v>
      </c>
      <c r="L235" s="50">
        <f t="shared" ref="L235:M235" si="88">L171*L214</f>
        <v>1.1186037608142838E-2</v>
      </c>
      <c r="M235" s="50">
        <f t="shared" si="88"/>
        <v>1.1068431539621646E-2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1.7843994337366814E-3</v>
      </c>
      <c r="H236" s="50">
        <f t="shared" si="78"/>
        <v>1.6959624322989756E-3</v>
      </c>
      <c r="I236" s="50">
        <f t="shared" si="78"/>
        <v>2.4355827528915398E-3</v>
      </c>
      <c r="J236" s="50">
        <f t="shared" si="78"/>
        <v>2.4355827528915398E-3</v>
      </c>
      <c r="K236" s="50">
        <f t="shared" si="78"/>
        <v>2.4355827528915398E-3</v>
      </c>
      <c r="L236" s="50">
        <f t="shared" ref="L236:M236" si="89">L172*L215</f>
        <v>2.4355827528915398E-3</v>
      </c>
      <c r="M236" s="50">
        <f t="shared" si="89"/>
        <v>2.4355827528915398E-3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1.9706453157276074E-4</v>
      </c>
      <c r="H237" s="50">
        <f t="shared" si="78"/>
        <v>1.8667686137266258E-4</v>
      </c>
      <c r="I237" s="50">
        <f t="shared" si="78"/>
        <v>2.7657876911642954E-4</v>
      </c>
      <c r="J237" s="50">
        <f t="shared" si="78"/>
        <v>2.7397431273411775E-4</v>
      </c>
      <c r="K237" s="50">
        <f t="shared" si="78"/>
        <v>2.7136985635180607E-4</v>
      </c>
      <c r="L237" s="50">
        <f t="shared" ref="L237:M237" si="90">L173*L216</f>
        <v>2.6876539996949434E-4</v>
      </c>
      <c r="M237" s="50">
        <f t="shared" si="90"/>
        <v>2.6616094358718266E-4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0.23950068092981636</v>
      </c>
      <c r="H238" s="50">
        <f t="shared" si="78"/>
        <v>0.2302979779597886</v>
      </c>
      <c r="I238" s="50">
        <f t="shared" si="78"/>
        <v>0.22892136303258112</v>
      </c>
      <c r="J238" s="50">
        <f t="shared" si="78"/>
        <v>0.22658815582890027</v>
      </c>
      <c r="K238" s="50">
        <f t="shared" si="78"/>
        <v>0.22425494862521947</v>
      </c>
      <c r="L238" s="50">
        <f t="shared" ref="L238:M238" si="91">L174*L217</f>
        <v>0.22192174142153864</v>
      </c>
      <c r="M238" s="50">
        <f t="shared" si="91"/>
        <v>0.21958853421785782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5.5554407811820979E-2</v>
      </c>
      <c r="H239" s="50">
        <f t="shared" si="78"/>
        <v>5.3242662963592313E-2</v>
      </c>
      <c r="I239" s="50">
        <f t="shared" si="78"/>
        <v>5.4600630035757707E-2</v>
      </c>
      <c r="J239" s="50">
        <f t="shared" si="78"/>
        <v>5.353521391721263E-2</v>
      </c>
      <c r="K239" s="50">
        <f t="shared" si="78"/>
        <v>5.2480278561277335E-2</v>
      </c>
      <c r="L239" s="50">
        <f t="shared" ref="L239:M239" si="92">L175*L218</f>
        <v>5.1435823967951773E-2</v>
      </c>
      <c r="M239" s="50">
        <f t="shared" si="92"/>
        <v>5.0401850137235978E-2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-0.21388989939926273</v>
      </c>
      <c r="H240" s="50">
        <f t="shared" si="78"/>
        <v>-0.21318083069669141</v>
      </c>
      <c r="I240" s="50">
        <f t="shared" si="78"/>
        <v>-0.21993271582621601</v>
      </c>
      <c r="J240" s="50">
        <f t="shared" si="78"/>
        <v>-0.21786167773734658</v>
      </c>
      <c r="K240" s="50">
        <f t="shared" si="78"/>
        <v>-0.21579063964847722</v>
      </c>
      <c r="L240" s="50">
        <f t="shared" ref="L240:M240" si="93">L176*L219</f>
        <v>-0.21371960155960781</v>
      </c>
      <c r="M240" s="50">
        <f t="shared" si="93"/>
        <v>-0.21164856347073846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-0.60276487647239585</v>
      </c>
      <c r="H241" s="50">
        <f t="shared" si="78"/>
        <v>-0.60119110654991714</v>
      </c>
      <c r="I241" s="50">
        <f t="shared" si="78"/>
        <v>-0.59955058989400034</v>
      </c>
      <c r="J241" s="50">
        <f t="shared" si="78"/>
        <v>-0.59785776748168096</v>
      </c>
      <c r="K241" s="50">
        <f t="shared" si="78"/>
        <v>-0.59612386115848415</v>
      </c>
      <c r="L241" s="50">
        <f t="shared" ref="L241:M241" si="94">L177*L220</f>
        <v>-0.59425991428604696</v>
      </c>
      <c r="M241" s="50">
        <f t="shared" si="94"/>
        <v>-0.59227630804233222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2.6793446300085989E-2</v>
      </c>
      <c r="H242" s="50">
        <f t="shared" ref="H242:K243" si="95">H178*H221</f>
        <v>2.6793446300085989E-2</v>
      </c>
      <c r="I242" s="50">
        <f t="shared" si="95"/>
        <v>2.6793446300085989E-2</v>
      </c>
      <c r="J242" s="50">
        <f t="shared" si="95"/>
        <v>2.6793446300085989E-2</v>
      </c>
      <c r="K242" s="50">
        <f t="shared" si="95"/>
        <v>2.6793446300085989E-2</v>
      </c>
      <c r="L242" s="50">
        <f t="shared" ref="L242:M242" si="96">L178*L221</f>
        <v>2.6793446300085989E-2</v>
      </c>
      <c r="M242" s="50">
        <f t="shared" si="96"/>
        <v>2.6793446300085989E-2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0.17117255131705159</v>
      </c>
      <c r="H243" s="50">
        <f t="shared" si="95"/>
        <v>0.18828980644875676</v>
      </c>
      <c r="I243" s="50">
        <f t="shared" si="95"/>
        <v>0.2054070615804619</v>
      </c>
      <c r="J243" s="50">
        <f t="shared" si="95"/>
        <v>0.22252431671216705</v>
      </c>
      <c r="K243" s="50">
        <f t="shared" si="95"/>
        <v>0.23964157184387222</v>
      </c>
      <c r="L243" s="50">
        <f t="shared" ref="L243:M243" si="97">L179*L222</f>
        <v>0.23964157184387222</v>
      </c>
      <c r="M243" s="50">
        <f t="shared" si="97"/>
        <v>0.25675882697557739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11.45557271467556</v>
      </c>
      <c r="H245" s="44">
        <f t="shared" ref="H245:K245" si="98">SUM(H226:H243)</f>
        <v>11.508912095350121</v>
      </c>
      <c r="I245" s="44">
        <f t="shared" si="98"/>
        <v>11.498970828683941</v>
      </c>
      <c r="J245" s="44">
        <f t="shared" si="98"/>
        <v>11.526018246003037</v>
      </c>
      <c r="K245" s="44">
        <f t="shared" si="98"/>
        <v>11.553084565678633</v>
      </c>
      <c r="L245" s="44">
        <f t="shared" ref="L245:M245" si="99">SUM(L226:L243)</f>
        <v>11.563141489217378</v>
      </c>
      <c r="M245" s="44">
        <f t="shared" si="99"/>
        <v>11.590413145704725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94426.092229253074</v>
      </c>
      <c r="H246" s="8">
        <f t="shared" ref="H246:K246" si="100">EXP(H245)</f>
        <v>99599.467318456635</v>
      </c>
      <c r="I246" s="8">
        <f t="shared" si="100"/>
        <v>98614.227832419638</v>
      </c>
      <c r="J246" s="8">
        <f t="shared" si="100"/>
        <v>101317.88667807399</v>
      </c>
      <c r="K246" s="8">
        <f t="shared" si="100"/>
        <v>104097.6381097616</v>
      </c>
      <c r="L246" s="8">
        <f t="shared" ref="L246:M246" si="101">EXP(L245)</f>
        <v>105149.82209544932</v>
      </c>
      <c r="M246" s="8">
        <f t="shared" si="101"/>
        <v>108056.8920561136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124.78497613550158</v>
      </c>
      <c r="H247" s="21">
        <f t="shared" ref="H247:K247" si="102">H137</f>
        <v>124.78497613550158</v>
      </c>
      <c r="I247" s="21">
        <f t="shared" si="102"/>
        <v>124.78497613550158</v>
      </c>
      <c r="J247" s="21">
        <f t="shared" si="102"/>
        <v>124.78497613550158</v>
      </c>
      <c r="K247" s="21">
        <f t="shared" si="102"/>
        <v>124.78497613550158</v>
      </c>
      <c r="L247" s="21">
        <f t="shared" ref="L247:M247" si="103">L137</f>
        <v>124.78497613550158</v>
      </c>
      <c r="M247" s="21">
        <f t="shared" si="103"/>
        <v>124.78497613550158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11782957.665396016</v>
      </c>
      <c r="H248" s="8">
        <f t="shared" ref="H248:K248" si="104">H246*H247</f>
        <v>12428517.15244228</v>
      </c>
      <c r="I248" s="8">
        <f t="shared" si="104"/>
        <v>12305574.0666894</v>
      </c>
      <c r="J248" s="8">
        <f t="shared" si="104"/>
        <v>12642950.071222916</v>
      </c>
      <c r="K248" s="8">
        <f t="shared" si="104"/>
        <v>12989821.287288681</v>
      </c>
      <c r="L248" s="8">
        <f t="shared" ref="L248:M248" si="105">L246*L247</f>
        <v>13121118.040832879</v>
      </c>
      <c r="M248" s="8">
        <f t="shared" si="105"/>
        <v>13483876.696498606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32" t="s">
        <v>151</v>
      </c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12609896.228519836</v>
      </c>
      <c r="H256" s="60">
        <f t="shared" ref="H256:K256" si="107">H121</f>
        <v>12899632.378634471</v>
      </c>
      <c r="I256" s="60">
        <f t="shared" si="107"/>
        <v>12841540.099522391</v>
      </c>
      <c r="J256" s="60">
        <f t="shared" si="107"/>
        <v>13012112.692271411</v>
      </c>
      <c r="K256" s="60">
        <f t="shared" si="107"/>
        <v>13185110.645160763</v>
      </c>
      <c r="L256" s="60">
        <f t="shared" ref="L256:M256" si="108">L121</f>
        <v>13360603.845942192</v>
      </c>
      <c r="M256" s="60">
        <f t="shared" si="108"/>
        <v>6506840.0778731378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11782957.665396016</v>
      </c>
      <c r="H257" s="60">
        <f t="shared" ref="H257:K257" si="110">H248</f>
        <v>12428517.15244228</v>
      </c>
      <c r="I257" s="60">
        <f t="shared" si="110"/>
        <v>12305574.0666894</v>
      </c>
      <c r="J257" s="60">
        <f t="shared" si="110"/>
        <v>12642950.071222916</v>
      </c>
      <c r="K257" s="60">
        <f t="shared" si="110"/>
        <v>12989821.287288681</v>
      </c>
      <c r="L257" s="60">
        <f t="shared" ref="L257:M257" si="111">L248</f>
        <v>13121118.040832879</v>
      </c>
      <c r="M257" s="60">
        <f t="shared" si="111"/>
        <v>13483876.696498606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826938.56312382035</v>
      </c>
      <c r="H258" s="25">
        <f t="shared" ref="H258:K258" si="113">H256-H257</f>
        <v>471115.22619219124</v>
      </c>
      <c r="I258" s="25">
        <f t="shared" si="113"/>
        <v>535966.03283299133</v>
      </c>
      <c r="J258" s="25">
        <f t="shared" si="113"/>
        <v>369162.62104849517</v>
      </c>
      <c r="K258" s="25">
        <f t="shared" si="113"/>
        <v>195289.35787208192</v>
      </c>
      <c r="L258" s="25">
        <f t="shared" ref="L258:M258" si="114">L256-L257</f>
        <v>239485.80510931276</v>
      </c>
      <c r="M258" s="25">
        <f t="shared" si="114"/>
        <v>-6977036.6186254686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7.0180899109258371E-2</v>
      </c>
      <c r="H259" s="61">
        <f t="shared" ref="H259:K259" si="116">H258/H257</f>
        <v>3.7905988334224906E-2</v>
      </c>
      <c r="I259" s="61">
        <f t="shared" si="116"/>
        <v>4.3554736246220783E-2</v>
      </c>
      <c r="J259" s="61">
        <f t="shared" si="116"/>
        <v>2.9199088738692387E-2</v>
      </c>
      <c r="K259" s="61">
        <f t="shared" si="116"/>
        <v>1.5034029610798747E-2</v>
      </c>
      <c r="L259" s="61">
        <f t="shared" ref="L259:M259" si="117">L258/L257</f>
        <v>1.8251935876503332E-2</v>
      </c>
      <c r="M259" s="61">
        <f t="shared" si="117"/>
        <v>-0.51743551025182644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6.7827698772099765E-2</v>
      </c>
      <c r="H261" s="64">
        <f t="shared" ref="H261:K261" si="118">LN(H256/H257)</f>
        <v>3.7205210636422681E-2</v>
      </c>
      <c r="I261" s="64">
        <f t="shared" si="118"/>
        <v>4.2632900635923732E-2</v>
      </c>
      <c r="J261" s="64">
        <f t="shared" si="118"/>
        <v>2.8780916017648855E-2</v>
      </c>
      <c r="K261" s="64">
        <f t="shared" si="118"/>
        <v>1.4922138641889566E-2</v>
      </c>
      <c r="L261" s="64">
        <f t="shared" ref="L261:M261" si="119">LN(L256/L257)</f>
        <v>1.8087368724546658E-2</v>
      </c>
      <c r="M261" s="64">
        <f t="shared" si="119"/>
        <v>-0.72864070962529748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H10" sqref="H1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8" t="s">
        <v>168</v>
      </c>
      <c r="D2" s="228"/>
      <c r="E2" s="228"/>
      <c r="F2" s="228"/>
      <c r="G2" s="228"/>
      <c r="H2" s="228"/>
      <c r="I2" s="228"/>
      <c r="J2" s="228"/>
      <c r="K2" s="228"/>
    </row>
    <row r="3" spans="3:17" s="92" customFormat="1" ht="23.25" customHeight="1" x14ac:dyDescent="0.25">
      <c r="C3" s="238" t="str">
        <f>'Model Inputs'!F5</f>
        <v>Erie Thames Powerlines Corporation</v>
      </c>
      <c r="D3" s="238"/>
      <c r="E3" s="238"/>
      <c r="F3" s="238"/>
      <c r="G3" s="238"/>
      <c r="H3" s="238"/>
      <c r="I3" s="238"/>
      <c r="J3" s="238"/>
      <c r="K3" s="238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12609896.228519836</v>
      </c>
      <c r="G10" s="86">
        <f>'Benchmarking Calculations'!H121</f>
        <v>12899632.378634471</v>
      </c>
      <c r="H10" s="86">
        <f>'Benchmarking Calculations'!I121</f>
        <v>12841540.099522391</v>
      </c>
      <c r="I10" s="91">
        <f>IF(ISNUMBER(I12),'Benchmarking Calculations'!J121,"na")</f>
        <v>13012112.692271411</v>
      </c>
      <c r="J10" s="91">
        <f>IF(ISNUMBER(J12),'Benchmarking Calculations'!K121,"na")</f>
        <v>13185110.645160763</v>
      </c>
      <c r="K10" s="91">
        <f>IF(ISNUMBER(K12),'Benchmarking Calculations'!L121,"na")</f>
        <v>13360603.845942192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11782957.665396016</v>
      </c>
      <c r="G12" s="86">
        <f>'Benchmarking Calculations'!H257</f>
        <v>12428517.15244228</v>
      </c>
      <c r="H12" s="86">
        <f>'Benchmarking Calculations'!I257</f>
        <v>12305574.0666894</v>
      </c>
      <c r="I12" s="91">
        <f>IF(ISNUMBER('Benchmarking Calculations'!J257),'Benchmarking Calculations'!J257,"na")</f>
        <v>12642950.071222916</v>
      </c>
      <c r="J12" s="91">
        <f>IF(ISNUMBER('Benchmarking Calculations'!K257),'Benchmarking Calculations'!K257,"na")</f>
        <v>12989821.287288681</v>
      </c>
      <c r="K12" s="91">
        <f>IF(ISNUMBER('Benchmarking Calculations'!L257),'Benchmarking Calculations'!L257,"na")</f>
        <v>13121118.040832879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826938.56312382035</v>
      </c>
      <c r="G14" s="86">
        <f t="shared" si="0"/>
        <v>471115.22619219124</v>
      </c>
      <c r="H14" s="86">
        <f t="shared" si="0"/>
        <v>535966.03283299133</v>
      </c>
      <c r="I14" s="91">
        <f>IF(ISNUMBER(I12),I10-I12,"na")</f>
        <v>369162.62104849517</v>
      </c>
      <c r="J14" s="91">
        <f t="shared" ref="J14:K14" si="1">IF(ISNUMBER(J12),J10-J12,"na")</f>
        <v>195289.35787208192</v>
      </c>
      <c r="K14" s="91">
        <f t="shared" si="1"/>
        <v>239485.80510931276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2">
        <f>LN(F10/F12)</f>
        <v>6.7827698772099765E-2</v>
      </c>
      <c r="G16" s="222">
        <f t="shared" ref="G16:H16" si="2">LN(G10/G12)</f>
        <v>3.7205210636422681E-2</v>
      </c>
      <c r="H16" s="222">
        <f t="shared" si="2"/>
        <v>4.2632900635923732E-2</v>
      </c>
      <c r="I16" s="147">
        <f>IF(ISNUMBER(I14),LN(I10/I12),"na")</f>
        <v>2.8780916017648855E-2</v>
      </c>
      <c r="J16" s="147">
        <f t="shared" ref="J16:K16" si="3">IF(ISNUMBER(J14),LN(J10/J12),"na")</f>
        <v>1.4922138641889566E-2</v>
      </c>
      <c r="K16" s="147">
        <f t="shared" si="3"/>
        <v>1.8087368724546658E-2</v>
      </c>
      <c r="L16" s="26"/>
      <c r="M16" s="26"/>
      <c r="N16" s="26"/>
      <c r="O16" s="26"/>
    </row>
    <row r="17" spans="4:15" ht="18.75" customHeight="1" x14ac:dyDescent="0.2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7"/>
      <c r="G18" s="167"/>
      <c r="H18" s="167">
        <f>AVERAGE(F16:H16)</f>
        <v>4.9221936681482059E-2</v>
      </c>
      <c r="I18" s="66">
        <f>IF(ISNUMBER(I16),AVERAGE(G16:I16),"na")</f>
        <v>3.6206342429998421E-2</v>
      </c>
      <c r="J18" s="66">
        <f t="shared" ref="J18:K18" si="4">IF(ISNUMBER(J16),AVERAGE(H16:J16),"na")</f>
        <v>2.8778651765154054E-2</v>
      </c>
      <c r="K18" s="66">
        <f t="shared" si="4"/>
        <v>2.0596807794695027E-2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>
        <f>IF(ISNUMBER(I16),IF(I16&lt;-0.25,1,IF(I16&lt;-0.1,2,IF(I16&lt;0.1,3,IF(I16&lt;0.25,4,5)))),"na")</f>
        <v>3</v>
      </c>
      <c r="J22" s="148">
        <f t="shared" ref="J22:K22" si="6">IF(ISNUMBER(J16),IF(J16&lt;-0.25,1,IF(J16&lt;-0.1,2,IF(J16&lt;0.1,3,IF(J16&lt;0.25,4,5)))),"na")</f>
        <v>3</v>
      </c>
      <c r="K22" s="148">
        <f t="shared" si="6"/>
        <v>3</v>
      </c>
    </row>
    <row r="24" spans="4:15" ht="15" x14ac:dyDescent="0.25">
      <c r="E24" t="s">
        <v>155</v>
      </c>
      <c r="H24" s="148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Diane Taylor</cp:lastModifiedBy>
  <cp:lastPrinted>2016-07-25T18:30:34Z</cp:lastPrinted>
  <dcterms:created xsi:type="dcterms:W3CDTF">2016-07-20T15:58:10Z</dcterms:created>
  <dcterms:modified xsi:type="dcterms:W3CDTF">2018-10-04T17:50:43Z</dcterms:modified>
</cp:coreProperties>
</file>