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 windowWidth="22980" windowHeight="8760"/>
  </bookViews>
  <sheets>
    <sheet name="Sheet1" sheetId="1" r:id="rId1"/>
    <sheet name="Sheet2" sheetId="2" r:id="rId2"/>
    <sheet name="Sheet3" sheetId="3" r:id="rId3"/>
  </sheets>
  <externalReferences>
    <externalReference r:id="rId4"/>
    <externalReference r:id="rId5"/>
    <externalReference r:id="rId6"/>
    <externalReference r:id="rId7"/>
  </externalReferences>
  <calcPr calcId="145621"/>
</workbook>
</file>

<file path=xl/calcChain.xml><?xml version="1.0" encoding="utf-8"?>
<calcChain xmlns="http://schemas.openxmlformats.org/spreadsheetml/2006/main">
  <c r="I38" i="1" l="1"/>
  <c r="I37" i="1"/>
  <c r="N51" i="1" l="1"/>
  <c r="I51" i="1"/>
  <c r="F22" i="1" l="1"/>
  <c r="K81" i="1" l="1"/>
  <c r="F81" i="1"/>
  <c r="B81" i="1"/>
  <c r="K80" i="1"/>
  <c r="F80" i="1"/>
  <c r="B80" i="1"/>
  <c r="K79" i="1"/>
  <c r="F79" i="1"/>
  <c r="B79" i="1"/>
  <c r="K78" i="1"/>
  <c r="F78" i="1"/>
  <c r="B78" i="1"/>
  <c r="K77" i="1"/>
  <c r="F77" i="1"/>
  <c r="B77" i="1"/>
  <c r="K76" i="1"/>
  <c r="F76" i="1"/>
  <c r="B76" i="1"/>
  <c r="K75" i="1"/>
  <c r="F75" i="1"/>
  <c r="B75" i="1"/>
  <c r="K74" i="1"/>
  <c r="F74" i="1"/>
  <c r="B74" i="1"/>
  <c r="K73" i="1"/>
  <c r="F73" i="1"/>
  <c r="B73" i="1"/>
  <c r="K67" i="1"/>
  <c r="F67" i="1"/>
  <c r="B66" i="1"/>
  <c r="B65" i="1"/>
  <c r="B64" i="1"/>
  <c r="B63" i="1"/>
  <c r="B62" i="1"/>
  <c r="B61" i="1"/>
  <c r="B60" i="1"/>
  <c r="B59" i="1"/>
  <c r="B58" i="1"/>
  <c r="F53" i="1"/>
  <c r="M52" i="1"/>
  <c r="O52" i="1" s="1"/>
  <c r="H52" i="1"/>
  <c r="J52" i="1" s="1"/>
  <c r="B52" i="1"/>
  <c r="M51" i="1"/>
  <c r="H51" i="1"/>
  <c r="I40" i="1"/>
  <c r="I41" i="1" s="1"/>
  <c r="J39" i="1"/>
  <c r="J38" i="1"/>
  <c r="J37" i="1"/>
  <c r="J27" i="1"/>
  <c r="I27" i="1"/>
  <c r="F27" i="1"/>
  <c r="D27" i="1"/>
  <c r="G27" i="1" s="1"/>
  <c r="G26" i="1"/>
  <c r="L26" i="1" s="1"/>
  <c r="G25" i="1"/>
  <c r="L25" i="1" s="1"/>
  <c r="K24" i="1"/>
  <c r="M24" i="1" s="1"/>
  <c r="G24" i="1"/>
  <c r="L24" i="1" s="1"/>
  <c r="N24" i="1" s="1"/>
  <c r="K23" i="1"/>
  <c r="M23" i="1" s="1"/>
  <c r="G23" i="1"/>
  <c r="L23" i="1" s="1"/>
  <c r="N23" i="1" s="1"/>
  <c r="K22" i="1"/>
  <c r="M22" i="1" s="1"/>
  <c r="G22" i="1"/>
  <c r="L22" i="1" s="1"/>
  <c r="N22" i="1" s="1"/>
  <c r="K21" i="1"/>
  <c r="M21" i="1" s="1"/>
  <c r="G21" i="1"/>
  <c r="L21" i="1" s="1"/>
  <c r="N21" i="1" s="1"/>
  <c r="K20" i="1"/>
  <c r="M20" i="1" s="1"/>
  <c r="G20" i="1"/>
  <c r="L20" i="1" s="1"/>
  <c r="N20" i="1" s="1"/>
  <c r="K19" i="1"/>
  <c r="M19" i="1" s="1"/>
  <c r="G19" i="1"/>
  <c r="L19" i="1" s="1"/>
  <c r="N19" i="1" s="1"/>
  <c r="K18" i="1"/>
  <c r="G18" i="1"/>
  <c r="L18" i="1" s="1"/>
  <c r="N1" i="1"/>
  <c r="J28" i="1" l="1"/>
  <c r="J42" i="1" s="1"/>
  <c r="K27" i="1"/>
  <c r="J40" i="1"/>
  <c r="L40" i="1" s="1"/>
  <c r="L41" i="1" s="1"/>
  <c r="K82" i="1"/>
  <c r="F82" i="1"/>
  <c r="I28" i="1"/>
  <c r="I42" i="1" s="1"/>
  <c r="I43" i="1" s="1"/>
  <c r="L27" i="1"/>
  <c r="L28" i="1" s="1"/>
  <c r="N18" i="1"/>
  <c r="D28" i="1"/>
  <c r="M18" i="1"/>
  <c r="J41" i="1" l="1"/>
  <c r="J43" i="1" s="1"/>
  <c r="M28" i="1"/>
  <c r="L42" i="1"/>
  <c r="L43" i="1" s="1"/>
  <c r="N28" i="1"/>
  <c r="O28" i="1" l="1"/>
  <c r="G43" i="1"/>
  <c r="L58" i="1" l="1"/>
  <c r="L59" i="1" s="1"/>
  <c r="L60" i="1" s="1"/>
  <c r="G58" i="1"/>
  <c r="O58" i="1" l="1"/>
  <c r="O73" i="1" s="1"/>
  <c r="L73" i="1" s="1"/>
  <c r="G64" i="1"/>
  <c r="J64" i="1" s="1"/>
  <c r="J79" i="1" s="1"/>
  <c r="G79" i="1" s="1"/>
  <c r="G62" i="1"/>
  <c r="J62" i="1" s="1"/>
  <c r="J77" i="1" s="1"/>
  <c r="G77" i="1" s="1"/>
  <c r="G60" i="1"/>
  <c r="J60" i="1" s="1"/>
  <c r="J58" i="1"/>
  <c r="G61" i="1"/>
  <c r="J61" i="1" s="1"/>
  <c r="J76" i="1" s="1"/>
  <c r="G76" i="1" s="1"/>
  <c r="G59" i="1"/>
  <c r="J59" i="1" s="1"/>
  <c r="J74" i="1" s="1"/>
  <c r="G74" i="1" s="1"/>
  <c r="G66" i="1"/>
  <c r="J66" i="1" s="1"/>
  <c r="J81" i="1" s="1"/>
  <c r="G63" i="1"/>
  <c r="J63" i="1" s="1"/>
  <c r="J78" i="1" s="1"/>
  <c r="G78" i="1" s="1"/>
  <c r="G65" i="1"/>
  <c r="J65" i="1" s="1"/>
  <c r="J80" i="1" s="1"/>
  <c r="O59" i="1"/>
  <c r="O74" i="1" s="1"/>
  <c r="L74" i="1" s="1"/>
  <c r="L61" i="1"/>
  <c r="O60" i="1"/>
  <c r="J73" i="1" l="1"/>
  <c r="G73" i="1" s="1"/>
  <c r="J67" i="1"/>
  <c r="L62" i="1"/>
  <c r="O61" i="1"/>
  <c r="O76" i="1" s="1"/>
  <c r="L76" i="1" s="1"/>
  <c r="L63" i="1" l="1"/>
  <c r="O62" i="1"/>
  <c r="O77" i="1" s="1"/>
  <c r="L77" i="1" s="1"/>
  <c r="L64" i="1" l="1"/>
  <c r="O63" i="1"/>
  <c r="O78" i="1" l="1"/>
  <c r="L65" i="1"/>
  <c r="O64" i="1"/>
  <c r="O79" i="1" l="1"/>
  <c r="L79" i="1" s="1"/>
  <c r="L66" i="1"/>
  <c r="O66" i="1" s="1"/>
  <c r="O65" i="1"/>
  <c r="O80" i="1" s="1"/>
  <c r="L78" i="1"/>
  <c r="O67" i="1" l="1"/>
  <c r="O81" i="1"/>
  <c r="G51" i="1" l="1"/>
  <c r="G53" i="1" l="1"/>
  <c r="J51" i="1"/>
  <c r="J53" i="1" l="1"/>
  <c r="J75" i="1"/>
  <c r="G75" i="1" l="1"/>
  <c r="J82" i="1"/>
  <c r="L51" i="1"/>
  <c r="O51" i="1" s="1"/>
  <c r="O53" i="1" l="1"/>
  <c r="O75" i="1"/>
  <c r="L75" i="1" l="1"/>
  <c r="O82" i="1"/>
</calcChain>
</file>

<file path=xl/comments1.xml><?xml version="1.0" encoding="utf-8"?>
<comments xmlns="http://schemas.openxmlformats.org/spreadsheetml/2006/main">
  <authors>
    <author>Sibtain Janmohamed</author>
  </authors>
  <commentList>
    <comment ref="G58" authorId="0">
      <text>
        <r>
          <rPr>
            <b/>
            <sz val="9"/>
            <color indexed="81"/>
            <rFont val="Tahoma"/>
            <family val="2"/>
          </rPr>
          <t>Input value for forecast weighted average commodity price for the bridge year must be calculated independently outside of Appendix Z. It must be calculated based on the same methodology that is used to calculate the test year forecasted weighted average commodity prices, except that actual and forecasted 2018 RPP and GA forecasts are to be used.</t>
        </r>
      </text>
    </comment>
  </commentList>
</comments>
</file>

<file path=xl/sharedStrings.xml><?xml version="1.0" encoding="utf-8"?>
<sst xmlns="http://schemas.openxmlformats.org/spreadsheetml/2006/main" count="140" uniqueCount="80">
  <si>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</si>
  <si>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</si>
  <si>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</si>
  <si>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</si>
  <si>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</si>
  <si>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</si>
  <si>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</si>
  <si>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</si>
  <si>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</si>
  <si>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</si>
  <si>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</si>
  <si>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non-RPP</t>
  </si>
  <si>
    <t>RPP</t>
  </si>
  <si>
    <t>Proportions (by Class)</t>
  </si>
  <si>
    <t> </t>
  </si>
  <si>
    <t>non GA mod</t>
  </si>
  <si>
    <t>GA mod</t>
  </si>
  <si>
    <t xml:space="preserve">Total </t>
  </si>
  <si>
    <t>Customer Class Name</t>
  </si>
  <si>
    <t>Last Actual kWh's</t>
  </si>
  <si>
    <t>Class A kWh</t>
  </si>
  <si>
    <t>Class B kWh</t>
  </si>
  <si>
    <t>%</t>
  </si>
  <si>
    <t>Residential</t>
  </si>
  <si>
    <t>TOTAL</t>
  </si>
  <si>
    <t>Step 2:</t>
  </si>
  <si>
    <t>2019 Forecasted Commodity Prices</t>
  </si>
  <si>
    <t>Step 2a:</t>
  </si>
  <si>
    <t>GA Modifier</t>
  </si>
  <si>
    <t>($/MWh)</t>
  </si>
  <si>
    <t>Source:</t>
  </si>
  <si>
    <t xml:space="preserve">   Table 1: RPP Prices and GA Modifier: May 1, 2018 to April 30, 2019*</t>
  </si>
  <si>
    <t>Step 2b:</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</si>
  <si>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</si>
  <si>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</si>
  <si>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</si>
  <si>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</si>
  <si>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</si>
  <si>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</si>
  <si>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</si>
  <si>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</si>
  <si>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</si>
  <si>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$/kWh</t>
  </si>
  <si>
    <t>Percentage shares (%)</t>
  </si>
  <si>
    <t>non-RPP (GA mod/non-GA mod), RPP</t>
  </si>
  <si>
    <t>WEIGHTED AVERAGE PRICE ($/kWh)</t>
  </si>
  <si>
    <t>(Sum of I43, J43 and L43)</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</si>
  <si>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</si>
  <si>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</si>
  <si>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</si>
  <si>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</si>
  <si>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</si>
  <si>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</si>
  <si>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</si>
  <si>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</si>
  <si>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</si>
  <si>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</si>
  <si>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</si>
  <si>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</si>
  <si>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</si>
  <si>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</si>
  <si>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</si>
  <si>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</si>
  <si>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</si>
  <si>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</si>
  <si>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</si>
  <si>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</si>
  <si>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</si>
  <si>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r>
      <t>*</t>
    </r>
    <r>
      <rPr>
        <i/>
        <sz val="10"/>
        <rFont val="Arial"/>
        <family val="2"/>
      </rPr>
      <t>Regulated Price Plan Prices and the Global Adjustment Modifier for the Period May 1, 2018 – April 30, 2019</t>
    </r>
  </si>
  <si>
    <r>
      <t>**</t>
    </r>
    <r>
      <rPr>
        <i/>
        <sz val="10"/>
        <rFont val="Arial"/>
        <family val="2"/>
      </rPr>
      <t xml:space="preserve"> Regulated Price Plan Cost Suppy Report May 1, 2018 - April 30, 2019</t>
    </r>
  </si>
  <si>
    <t>2016 Historical Actuals</t>
  </si>
  <si>
    <t>GS &lt; 50</t>
  </si>
  <si>
    <t>GS &gt; 50</t>
  </si>
  <si>
    <t>Intermediate</t>
  </si>
  <si>
    <t>Large User</t>
  </si>
  <si>
    <t>Embedded Distributor</t>
  </si>
  <si>
    <t>Street Light</t>
  </si>
  <si>
    <t>Sentinel Light</t>
  </si>
  <si>
    <t>USL</t>
  </si>
  <si>
    <t>Large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</si>
</sst>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0_-;\-* #,##0.00_-;_-* \-??_-;_-@_-"/>
    <numFmt numFmtId="165" formatCode="\$#,##0.0000_);&quot;($&quot;#,##0.0000\)"/>
    <numFmt numFmtId="166" formatCode="_-* #,##0_-;\-* #,##0_-;_-* \-??_-;_-@_-"/>
    <numFmt numFmtId="167" formatCode="_(&quot;$&quot;* #,##0.00_);_(&quot;$&quot;* \(#,##0.00\);_(&quot;$&quot;* &quot;-&quot;??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 numFmtId="174" formatCode="_(* #,##0.00_);_(* \(#,##0.00\);_(* &quot;-&quot;??_);_(@_)"/>
  </numFmts>
  <fonts count="26">
    <font>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sz val="10"/>
      <name val="Arial"/>
      <family val="2"/>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i/>
      <sz val="10"/>
      <name val="Arial"/>
      <family val="2"/>
    </font>
    <font>
      <b/>
      <sz val="9"/>
      <color indexed="81"/>
      <name val="Tahoma"/>
      <family val="2"/>
    </font>
  </fonts>
  <fills count="11">
    <fill>
      <patternFill patternType="none"/>
    </fill>
    <fill>
      <patternFill patternType="gray125"/>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s>
  <borders count="37">
    <border>
      <left/>
      <right/>
      <top/>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medium">
        <color indexed="64"/>
      </top>
      <bottom/>
      <diagonal/>
    </border>
    <border>
      <left/>
      <right style="thin">
        <color indexed="8"/>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164" fontId="12" fillId="0" borderId="0" applyFill="0" applyBorder="0" applyAlignment="0" applyProtection="0"/>
    <xf numFmtId="9" fontId="12" fillId="0" borderId="0" applyFill="0" applyBorder="0" applyAlignment="0" applyProtection="0"/>
    <xf numFmtId="0" fontId="15" fillId="0" borderId="0"/>
    <xf numFmtId="43" fontId="1" fillId="0" borderId="0" applyFont="0" applyFill="0" applyBorder="0" applyAlignment="0" applyProtection="0"/>
  </cellStyleXfs>
  <cellXfs count="193">
    <xf numFmtId="0" fontId="0" fillId="0" borderId="0" xfId="0"/>
    <xf numFmtId="0" fontId="0" fillId="0" borderId="0" xfId="0" applyProtection="1"/>
    <xf numFmtId="0" fontId="2" fillId="0" borderId="0" xfId="0" applyFont="1" applyAlignment="1" applyProtection="1">
      <alignment horizontal="left" vertical="center"/>
    </xf>
    <xf numFmtId="0" fontId="3" fillId="0" borderId="0" xfId="0" applyFont="1" applyAlignment="1" applyProtection="1">
      <alignment horizontal="left"/>
    </xf>
    <xf numFmtId="0" fontId="4" fillId="0" borderId="0" xfId="0" applyFont="1" applyAlignment="1" applyProtection="1">
      <alignment horizontal="right" vertical="top"/>
    </xf>
    <xf numFmtId="0" fontId="5" fillId="0" borderId="0" xfId="0" applyFont="1" applyFill="1" applyAlignment="1" applyProtection="1">
      <alignment horizontal="center" vertical="top"/>
    </xf>
    <xf numFmtId="0" fontId="4" fillId="2" borderId="1" xfId="0"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xf>
    <xf numFmtId="0" fontId="0" fillId="0" borderId="0" xfId="0" applyAlignment="1" applyProtection="1">
      <alignment horizontal="center"/>
    </xf>
    <xf numFmtId="0" fontId="4" fillId="2" borderId="0" xfId="0" applyFont="1" applyFill="1" applyAlignment="1" applyProtection="1">
      <alignment horizontal="right" vertical="top"/>
      <protection locked="0"/>
    </xf>
    <xf numFmtId="0" fontId="0" fillId="0" borderId="0" xfId="0" applyFill="1" applyProtection="1"/>
    <xf numFmtId="0" fontId="0" fillId="0" borderId="0" xfId="0" applyBorder="1" applyProtection="1"/>
    <xf numFmtId="0" fontId="6" fillId="0" borderId="0" xfId="0" applyFont="1" applyBorder="1" applyAlignment="1" applyProtection="1">
      <alignment vertical="top"/>
    </xf>
    <xf numFmtId="0" fontId="6" fillId="0" borderId="0" xfId="0" applyFont="1" applyBorder="1" applyAlignment="1" applyProtection="1">
      <alignment horizontal="center" vertical="top"/>
    </xf>
    <xf numFmtId="0" fontId="7" fillId="0" borderId="0" xfId="0" applyFont="1" applyProtection="1"/>
    <xf numFmtId="0" fontId="8" fillId="0" borderId="0" xfId="0" applyFont="1" applyBorder="1" applyProtection="1"/>
    <xf numFmtId="0" fontId="10" fillId="0" borderId="0" xfId="0" applyFont="1" applyBorder="1" applyProtection="1"/>
    <xf numFmtId="0" fontId="0" fillId="0" borderId="0" xfId="0" applyAlignment="1" applyProtection="1">
      <alignment vertical="center"/>
    </xf>
    <xf numFmtId="0" fontId="11" fillId="0" borderId="6" xfId="0" applyFont="1" applyFill="1" applyBorder="1" applyAlignment="1" applyProtection="1">
      <alignment vertical="center"/>
    </xf>
    <xf numFmtId="0" fontId="11" fillId="3" borderId="0" xfId="0" applyFont="1" applyFill="1" applyBorder="1" applyAlignment="1" applyProtection="1">
      <alignment vertical="center"/>
    </xf>
    <xf numFmtId="164" fontId="11" fillId="0" borderId="7" xfId="2" applyFont="1" applyFill="1" applyBorder="1" applyAlignment="1" applyProtection="1">
      <alignment horizontal="center" vertical="center" wrapText="1"/>
    </xf>
    <xf numFmtId="164" fontId="3" fillId="0" borderId="8" xfId="2" applyFont="1" applyFill="1" applyBorder="1" applyAlignment="1" applyProtection="1">
      <alignment horizontal="center" vertical="center" wrapText="1"/>
    </xf>
    <xf numFmtId="37" fontId="11" fillId="0" borderId="10" xfId="2" applyNumberFormat="1" applyFont="1" applyFill="1" applyBorder="1" applyAlignment="1" applyProtection="1">
      <alignment horizontal="center" vertical="center"/>
    </xf>
    <xf numFmtId="37" fontId="11" fillId="0" borderId="7" xfId="2" applyNumberFormat="1" applyFont="1" applyFill="1" applyBorder="1" applyAlignment="1" applyProtection="1">
      <alignment horizontal="center" vertical="center"/>
    </xf>
    <xf numFmtId="0" fontId="13" fillId="0" borderId="0" xfId="0" applyFont="1" applyProtection="1"/>
    <xf numFmtId="0" fontId="11" fillId="3" borderId="7" xfId="0" applyFont="1" applyFill="1" applyBorder="1" applyAlignment="1" applyProtection="1">
      <alignment vertical="center"/>
    </xf>
    <xf numFmtId="0" fontId="11" fillId="3" borderId="11" xfId="0" applyFont="1" applyFill="1" applyBorder="1" applyAlignment="1" applyProtection="1">
      <alignment vertical="center"/>
    </xf>
    <xf numFmtId="165" fontId="11" fillId="0" borderId="12" xfId="2" applyNumberFormat="1" applyFont="1" applyFill="1" applyBorder="1" applyAlignment="1" applyProtection="1">
      <alignment horizontal="center" vertical="center" wrapText="1"/>
    </xf>
    <xf numFmtId="165" fontId="11" fillId="0" borderId="11" xfId="2" applyNumberFormat="1" applyFont="1" applyFill="1" applyBorder="1" applyAlignment="1" applyProtection="1">
      <alignment horizontal="center" vertical="center" wrapText="1"/>
    </xf>
    <xf numFmtId="164" fontId="11" fillId="0" borderId="11" xfId="2" applyFont="1" applyFill="1" applyBorder="1" applyAlignment="1" applyProtection="1">
      <alignment horizontal="center" vertical="center" wrapText="1"/>
    </xf>
    <xf numFmtId="0" fontId="14" fillId="0" borderId="11" xfId="0" applyFont="1" applyFill="1" applyBorder="1" applyAlignment="1" applyProtection="1">
      <alignment vertical="center"/>
    </xf>
    <xf numFmtId="37" fontId="14" fillId="2" borderId="11" xfId="2" applyNumberFormat="1" applyFont="1" applyFill="1" applyBorder="1" applyAlignment="1" applyProtection="1">
      <alignment horizontal="right" vertical="center"/>
      <protection locked="0"/>
    </xf>
    <xf numFmtId="166" fontId="14" fillId="0" borderId="11" xfId="2" applyNumberFormat="1" applyFont="1" applyFill="1" applyBorder="1" applyAlignment="1" applyProtection="1">
      <alignment horizontal="right" vertical="center"/>
    </xf>
    <xf numFmtId="166" fontId="14" fillId="4" borderId="11" xfId="2" applyNumberFormat="1" applyFont="1" applyFill="1" applyBorder="1" applyAlignment="1" applyProtection="1">
      <alignment horizontal="right" vertical="center"/>
      <protection locked="0"/>
    </xf>
    <xf numFmtId="166" fontId="15" fillId="5" borderId="11" xfId="2" applyNumberFormat="1" applyFont="1" applyFill="1" applyBorder="1" applyAlignment="1" applyProtection="1">
      <alignment horizontal="right" vertical="center"/>
    </xf>
    <xf numFmtId="37" fontId="14" fillId="0" borderId="11" xfId="2" applyNumberFormat="1" applyFont="1" applyFill="1" applyBorder="1" applyAlignment="1" applyProtection="1">
      <alignment horizontal="right" vertical="center"/>
    </xf>
    <xf numFmtId="10" fontId="16" fillId="0" borderId="11" xfId="3" applyNumberFormat="1" applyFont="1" applyFill="1" applyBorder="1" applyAlignment="1" applyProtection="1">
      <alignment horizontal="right"/>
    </xf>
    <xf numFmtId="166" fontId="13" fillId="0" borderId="0" xfId="0" applyNumberFormat="1" applyFont="1" applyProtection="1"/>
    <xf numFmtId="0" fontId="11" fillId="0" borderId="11" xfId="0" applyFont="1" applyFill="1" applyBorder="1" applyAlignment="1" applyProtection="1">
      <alignment horizontal="left" vertical="center" indent="1"/>
    </xf>
    <xf numFmtId="0" fontId="11" fillId="0" borderId="11" xfId="0" applyFont="1" applyFill="1" applyBorder="1" applyAlignment="1" applyProtection="1">
      <alignment vertical="center"/>
    </xf>
    <xf numFmtId="37" fontId="11" fillId="0" borderId="11" xfId="2" applyNumberFormat="1" applyFont="1" applyFill="1" applyBorder="1" applyAlignment="1" applyProtection="1">
      <alignment horizontal="right" vertical="center"/>
    </xf>
    <xf numFmtId="37" fontId="3" fillId="6" borderId="11" xfId="2" applyNumberFormat="1" applyFont="1" applyFill="1" applyBorder="1" applyAlignment="1" applyProtection="1">
      <alignment horizontal="right" vertical="center"/>
    </xf>
    <xf numFmtId="37" fontId="11" fillId="0" borderId="11" xfId="2" applyNumberFormat="1" applyFont="1" applyFill="1" applyBorder="1" applyAlignment="1" applyProtection="1">
      <alignment horizontal="center" vertical="center"/>
    </xf>
    <xf numFmtId="10" fontId="13" fillId="0" borderId="0" xfId="0" applyNumberFormat="1" applyFont="1" applyProtection="1"/>
    <xf numFmtId="0" fontId="16" fillId="0" borderId="11" xfId="0" applyFont="1" applyFill="1" applyBorder="1" applyAlignment="1" applyProtection="1">
      <alignment horizontal="left" indent="1"/>
    </xf>
    <xf numFmtId="0" fontId="16" fillId="0" borderId="11" xfId="0" applyFont="1" applyFill="1" applyBorder="1" applyProtection="1"/>
    <xf numFmtId="10" fontId="16" fillId="0" borderId="12" xfId="3" applyNumberFormat="1" applyFont="1" applyFill="1" applyBorder="1" applyAlignment="1" applyProtection="1">
      <alignment horizontal="right"/>
    </xf>
    <xf numFmtId="10" fontId="17" fillId="0" borderId="15" xfId="0" applyNumberFormat="1" applyFont="1" applyBorder="1" applyProtection="1"/>
    <xf numFmtId="0" fontId="13" fillId="0" borderId="16" xfId="0" applyFont="1" applyBorder="1" applyProtection="1"/>
    <xf numFmtId="0" fontId="16" fillId="0" borderId="16" xfId="0" applyFont="1" applyFill="1" applyBorder="1" applyAlignment="1" applyProtection="1">
      <alignment horizontal="left" indent="1"/>
    </xf>
    <xf numFmtId="0" fontId="16" fillId="0" borderId="16" xfId="0" applyFont="1" applyFill="1" applyBorder="1" applyProtection="1"/>
    <xf numFmtId="10" fontId="16" fillId="0" borderId="16" xfId="3" applyNumberFormat="1" applyFont="1" applyFill="1" applyBorder="1" applyAlignment="1" applyProtection="1">
      <alignment horizontal="right"/>
    </xf>
    <xf numFmtId="10" fontId="17" fillId="0" borderId="16" xfId="0" applyNumberFormat="1" applyFont="1" applyBorder="1" applyProtection="1"/>
    <xf numFmtId="0" fontId="16" fillId="0" borderId="0" xfId="0" applyFont="1" applyFill="1" applyBorder="1" applyAlignment="1" applyProtection="1">
      <alignment horizontal="left" indent="1"/>
    </xf>
    <xf numFmtId="0" fontId="16" fillId="0" borderId="0" xfId="0" applyFont="1" applyFill="1" applyBorder="1" applyProtection="1"/>
    <xf numFmtId="10" fontId="16" fillId="0" borderId="0" xfId="3" applyNumberFormat="1" applyFont="1" applyFill="1" applyBorder="1" applyAlignment="1" applyProtection="1">
      <alignment horizontal="right"/>
    </xf>
    <xf numFmtId="10" fontId="17" fillId="0" borderId="0" xfId="0" applyNumberFormat="1" applyFont="1" applyBorder="1" applyProtection="1"/>
    <xf numFmtId="0" fontId="18" fillId="0" borderId="0" xfId="0" applyFont="1" applyProtection="1"/>
    <xf numFmtId="0" fontId="13" fillId="0" borderId="0" xfId="0" applyFont="1" applyFill="1" applyBorder="1" applyProtection="1"/>
    <xf numFmtId="0" fontId="13" fillId="0" borderId="0" xfId="0" applyFont="1" applyAlignment="1" applyProtection="1">
      <alignment horizontal="right"/>
    </xf>
    <xf numFmtId="0" fontId="19" fillId="0" borderId="0" xfId="0" applyFont="1" applyAlignment="1" applyProtection="1">
      <alignment horizontal="center" vertical="top"/>
    </xf>
    <xf numFmtId="0" fontId="20" fillId="0" borderId="19" xfId="0" applyFont="1" applyFill="1" applyBorder="1" applyProtection="1"/>
    <xf numFmtId="44" fontId="13" fillId="0" borderId="0" xfId="1" applyFont="1" applyFill="1" applyBorder="1" applyProtection="1"/>
    <xf numFmtId="0" fontId="10" fillId="0" borderId="0" xfId="0" applyFont="1" applyFill="1" applyBorder="1" applyProtection="1"/>
    <xf numFmtId="0" fontId="13" fillId="0" borderId="25" xfId="0" applyFont="1" applyBorder="1" applyProtection="1"/>
    <xf numFmtId="0" fontId="13" fillId="0" borderId="0" xfId="0" applyFont="1" applyBorder="1" applyProtection="1"/>
    <xf numFmtId="0" fontId="20" fillId="0" borderId="0" xfId="0" applyFont="1" applyFill="1" applyBorder="1" applyProtection="1"/>
    <xf numFmtId="0" fontId="13" fillId="6" borderId="0" xfId="0" applyFont="1" applyFill="1" applyProtection="1"/>
    <xf numFmtId="0" fontId="21" fillId="0" borderId="26" xfId="0" applyFont="1" applyFill="1" applyBorder="1" applyProtection="1"/>
    <xf numFmtId="0" fontId="14" fillId="0" borderId="12" xfId="0" applyFont="1" applyFill="1" applyBorder="1" applyProtection="1"/>
    <xf numFmtId="0" fontId="13" fillId="7" borderId="28" xfId="0" applyFont="1" applyFill="1" applyBorder="1" applyAlignment="1" applyProtection="1"/>
    <xf numFmtId="168" fontId="14" fillId="0" borderId="15" xfId="0" applyNumberFormat="1" applyFont="1" applyFill="1" applyBorder="1" applyProtection="1"/>
    <xf numFmtId="0" fontId="13" fillId="6" borderId="21" xfId="0" applyFont="1" applyFill="1" applyBorder="1" applyProtection="1"/>
    <xf numFmtId="0" fontId="14" fillId="0" borderId="0" xfId="0" applyFont="1" applyBorder="1" applyAlignment="1" applyProtection="1">
      <alignment horizontal="left" vertical="top"/>
    </xf>
    <xf numFmtId="0" fontId="13" fillId="7" borderId="22" xfId="0" applyFont="1" applyFill="1" applyBorder="1" applyAlignment="1" applyProtection="1">
      <alignment horizontal="center"/>
    </xf>
    <xf numFmtId="0" fontId="11" fillId="0" borderId="12" xfId="0" applyFont="1" applyFill="1" applyBorder="1" applyAlignment="1" applyProtection="1">
      <alignment horizontal="left" indent="1"/>
    </xf>
    <xf numFmtId="0" fontId="11" fillId="7" borderId="22" xfId="0" applyFont="1" applyFill="1" applyBorder="1" applyAlignment="1" applyProtection="1">
      <alignment horizontal="center"/>
    </xf>
    <xf numFmtId="168" fontId="11" fillId="0" borderId="15" xfId="0" applyNumberFormat="1" applyFont="1" applyFill="1" applyBorder="1" applyProtection="1"/>
    <xf numFmtId="0" fontId="13" fillId="7" borderId="0" xfId="0" applyFont="1" applyFill="1" applyProtection="1"/>
    <xf numFmtId="0" fontId="22" fillId="0" borderId="12" xfId="0" applyFont="1" applyFill="1" applyBorder="1" applyAlignment="1" applyProtection="1">
      <alignment horizontal="left" indent="1"/>
    </xf>
    <xf numFmtId="0" fontId="13" fillId="7" borderId="22" xfId="0" applyFont="1" applyFill="1" applyBorder="1" applyProtection="1"/>
    <xf numFmtId="169" fontId="22" fillId="0" borderId="15" xfId="0" applyNumberFormat="1" applyFont="1" applyFill="1" applyBorder="1" applyProtection="1"/>
    <xf numFmtId="169" fontId="22" fillId="0" borderId="7" xfId="0" applyNumberFormat="1" applyFont="1" applyFill="1" applyBorder="1" applyProtection="1"/>
    <xf numFmtId="0" fontId="13" fillId="0" borderId="12" xfId="0" applyFont="1" applyFill="1" applyBorder="1" applyProtection="1"/>
    <xf numFmtId="10" fontId="13" fillId="0" borderId="15" xfId="0" applyNumberFormat="1" applyFont="1" applyFill="1" applyBorder="1" applyProtection="1"/>
    <xf numFmtId="10" fontId="13" fillId="0" borderId="11" xfId="0" applyNumberFormat="1" applyFont="1" applyFill="1" applyBorder="1" applyProtection="1"/>
    <xf numFmtId="170" fontId="13" fillId="8" borderId="32" xfId="1" applyNumberFormat="1" applyFont="1" applyFill="1" applyBorder="1" applyProtection="1"/>
    <xf numFmtId="0" fontId="13" fillId="7" borderId="0" xfId="0" applyFont="1" applyFill="1" applyBorder="1" applyProtection="1"/>
    <xf numFmtId="165" fontId="11" fillId="0" borderId="33" xfId="0" applyNumberFormat="1" applyFont="1" applyFill="1" applyBorder="1" applyProtection="1"/>
    <xf numFmtId="165" fontId="11" fillId="0" borderId="15" xfId="0" applyNumberFormat="1" applyFont="1" applyFill="1" applyBorder="1" applyProtection="1"/>
    <xf numFmtId="165" fontId="11" fillId="0" borderId="11" xfId="0" applyNumberFormat="1" applyFont="1" applyFill="1" applyBorder="1" applyProtection="1"/>
    <xf numFmtId="0" fontId="23" fillId="0" borderId="0" xfId="0" applyFont="1" applyBorder="1" applyProtection="1"/>
    <xf numFmtId="0" fontId="9" fillId="0" borderId="0" xfId="0" applyFont="1" applyProtection="1"/>
    <xf numFmtId="0" fontId="11" fillId="0" borderId="11" xfId="0" applyFont="1" applyBorder="1" applyProtection="1"/>
    <xf numFmtId="0" fontId="0" fillId="0" borderId="11" xfId="0" applyBorder="1" applyAlignment="1" applyProtection="1">
      <alignment horizontal="center"/>
    </xf>
    <xf numFmtId="0" fontId="11" fillId="0" borderId="11" xfId="0" applyFont="1" applyBorder="1" applyAlignment="1" applyProtection="1">
      <alignment horizontal="center"/>
    </xf>
    <xf numFmtId="0" fontId="0" fillId="10" borderId="11" xfId="0" applyFill="1" applyBorder="1" applyAlignment="1" applyProtection="1">
      <alignment horizontal="center"/>
      <protection locked="0"/>
    </xf>
    <xf numFmtId="166" fontId="12" fillId="2" borderId="11" xfId="2" applyNumberFormat="1" applyFill="1" applyBorder="1" applyAlignment="1" applyProtection="1">
      <alignment horizontal="center"/>
      <protection locked="0"/>
    </xf>
    <xf numFmtId="0" fontId="0" fillId="2" borderId="11" xfId="0" applyFill="1" applyBorder="1" applyAlignment="1" applyProtection="1">
      <alignment horizontal="center"/>
      <protection locked="0"/>
    </xf>
    <xf numFmtId="171" fontId="14" fillId="0" borderId="11" xfId="2" applyNumberFormat="1" applyFont="1" applyFill="1" applyBorder="1" applyAlignment="1" applyProtection="1">
      <alignment horizontal="right" vertical="center"/>
    </xf>
    <xf numFmtId="172" fontId="0" fillId="0" borderId="11" xfId="0" applyNumberFormat="1" applyFill="1" applyBorder="1" applyAlignment="1" applyProtection="1">
      <alignment horizontal="right"/>
    </xf>
    <xf numFmtId="166" fontId="0" fillId="10" borderId="11" xfId="0" applyNumberFormat="1" applyFill="1" applyBorder="1" applyAlignment="1" applyProtection="1">
      <alignment horizontal="center"/>
      <protection locked="0"/>
    </xf>
    <xf numFmtId="0" fontId="11" fillId="0" borderId="12" xfId="0" applyFont="1" applyBorder="1" applyAlignment="1" applyProtection="1">
      <alignment horizontal="center"/>
    </xf>
    <xf numFmtId="0" fontId="11" fillId="0" borderId="15" xfId="0" applyFont="1" applyBorder="1" applyAlignment="1" applyProtection="1">
      <alignment horizontal="center"/>
    </xf>
    <xf numFmtId="0" fontId="11" fillId="0" borderId="0" xfId="0" applyFont="1" applyProtection="1"/>
    <xf numFmtId="0" fontId="0" fillId="0" borderId="11" xfId="0" applyFont="1" applyBorder="1" applyProtection="1"/>
    <xf numFmtId="0" fontId="0" fillId="0" borderId="12" xfId="0" applyBorder="1" applyAlignment="1" applyProtection="1">
      <alignment horizontal="center"/>
    </xf>
    <xf numFmtId="0" fontId="0" fillId="0" borderId="15" xfId="0" applyBorder="1" applyAlignment="1" applyProtection="1">
      <alignment horizontal="center"/>
    </xf>
    <xf numFmtId="0" fontId="14" fillId="0" borderId="15" xfId="0" applyFont="1" applyBorder="1" applyAlignment="1" applyProtection="1">
      <alignment horizontal="center"/>
    </xf>
    <xf numFmtId="0" fontId="0" fillId="10" borderId="12" xfId="0" applyFill="1" applyBorder="1" applyAlignment="1" applyProtection="1">
      <alignment horizontal="center"/>
      <protection locked="0"/>
    </xf>
    <xf numFmtId="37" fontId="0" fillId="2" borderId="15" xfId="0" quotePrefix="1" applyNumberFormat="1" applyFill="1" applyBorder="1" applyAlignment="1" applyProtection="1">
      <alignment horizontal="right"/>
      <protection locked="0"/>
    </xf>
    <xf numFmtId="172" fontId="0" fillId="0" borderId="15" xfId="0" applyNumberFormat="1" applyFill="1" applyBorder="1" applyAlignment="1" applyProtection="1">
      <alignment horizontal="right"/>
    </xf>
    <xf numFmtId="165" fontId="0" fillId="0" borderId="15" xfId="0" applyNumberFormat="1" applyFill="1" applyBorder="1" applyAlignment="1" applyProtection="1">
      <alignment horizontal="right"/>
    </xf>
    <xf numFmtId="0" fontId="0" fillId="0" borderId="15" xfId="0" applyFill="1" applyBorder="1" applyAlignment="1" applyProtection="1">
      <alignment horizontal="right"/>
    </xf>
    <xf numFmtId="0" fontId="0" fillId="0" borderId="0" xfId="0" quotePrefix="1" applyProtection="1"/>
    <xf numFmtId="49" fontId="0" fillId="10" borderId="11" xfId="0" applyNumberFormat="1" applyFill="1" applyBorder="1" applyAlignment="1" applyProtection="1">
      <alignment horizontal="center"/>
      <protection locked="0"/>
    </xf>
    <xf numFmtId="0" fontId="11" fillId="10" borderId="11" xfId="0" applyFont="1" applyFill="1" applyBorder="1" applyAlignment="1" applyProtection="1">
      <alignment horizontal="center"/>
      <protection locked="0"/>
    </xf>
    <xf numFmtId="0" fontId="11" fillId="10" borderId="12" xfId="0" applyFont="1" applyFill="1" applyBorder="1" applyAlignment="1" applyProtection="1">
      <alignment horizontal="center"/>
      <protection locked="0"/>
    </xf>
    <xf numFmtId="37" fontId="11" fillId="0" borderId="15" xfId="0" applyNumberFormat="1" applyFont="1" applyBorder="1" applyAlignment="1" applyProtection="1">
      <alignment horizontal="right"/>
    </xf>
    <xf numFmtId="0" fontId="11" fillId="0" borderId="15" xfId="0" applyFont="1" applyFill="1" applyBorder="1" applyAlignment="1" applyProtection="1">
      <alignment horizontal="right"/>
    </xf>
    <xf numFmtId="172" fontId="11" fillId="0" borderId="15" xfId="0" applyNumberFormat="1" applyFont="1" applyBorder="1" applyAlignment="1" applyProtection="1">
      <alignment horizontal="right"/>
    </xf>
    <xf numFmtId="165" fontId="11" fillId="0" borderId="15"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5" xfId="0" quotePrefix="1" applyNumberFormat="1" applyFill="1" applyBorder="1" applyAlignment="1" applyProtection="1">
      <alignment horizontal="right"/>
    </xf>
    <xf numFmtId="173" fontId="0" fillId="0" borderId="15" xfId="0" applyNumberFormat="1" applyFill="1" applyBorder="1" applyAlignment="1" applyProtection="1">
      <alignment horizontal="right"/>
    </xf>
    <xf numFmtId="166" fontId="12" fillId="0" borderId="0" xfId="2" applyNumberFormat="1" applyProtection="1"/>
    <xf numFmtId="49" fontId="0" fillId="0" borderId="11" xfId="0" applyNumberFormat="1" applyBorder="1" applyAlignment="1" applyProtection="1">
      <alignment horizontal="center"/>
    </xf>
    <xf numFmtId="172" fontId="0" fillId="0" borderId="0" xfId="0" applyNumberFormat="1" applyProtection="1"/>
    <xf numFmtId="174" fontId="0" fillId="0" borderId="0" xfId="0" applyNumberFormat="1" applyProtection="1"/>
    <xf numFmtId="166" fontId="0" fillId="0" borderId="0" xfId="0" applyNumberFormat="1" applyProtection="1"/>
    <xf numFmtId="3" fontId="0" fillId="2" borderId="11" xfId="0" applyNumberFormat="1" applyFill="1" applyBorder="1" applyAlignment="1" applyProtection="1">
      <alignment horizontal="center"/>
      <protection locked="0"/>
    </xf>
    <xf numFmtId="170" fontId="0" fillId="4" borderId="15" xfId="0" applyNumberFormat="1" applyFill="1" applyBorder="1" applyAlignment="1" applyProtection="1">
      <alignment horizontal="right"/>
      <protection locked="0"/>
    </xf>
    <xf numFmtId="43" fontId="16" fillId="0" borderId="0" xfId="5" applyFont="1" applyFill="1" applyBorder="1" applyAlignment="1" applyProtection="1">
      <alignment horizontal="right"/>
    </xf>
    <xf numFmtId="37" fontId="13" fillId="0" borderId="0" xfId="0" applyNumberFormat="1" applyFont="1" applyProtection="1"/>
    <xf numFmtId="168" fontId="14" fillId="0" borderId="11" xfId="4" applyNumberFormat="1" applyFont="1" applyFill="1" applyBorder="1" applyProtection="1"/>
    <xf numFmtId="168" fontId="13" fillId="0" borderId="11" xfId="4" applyNumberFormat="1" applyFont="1" applyFill="1" applyBorder="1" applyProtection="1"/>
    <xf numFmtId="1" fontId="11" fillId="9" borderId="15" xfId="0" applyNumberFormat="1" applyFont="1" applyFill="1" applyBorder="1" applyAlignment="1" applyProtection="1">
      <alignment horizontal="center"/>
      <protection locked="0"/>
    </xf>
    <xf numFmtId="0" fontId="11" fillId="7" borderId="27" xfId="0" applyFont="1" applyFill="1" applyBorder="1" applyAlignment="1" applyProtection="1">
      <alignment horizontal="center"/>
    </xf>
    <xf numFmtId="0" fontId="11" fillId="7" borderId="28" xfId="0" applyFont="1" applyFill="1" applyBorder="1" applyAlignment="1" applyProtection="1">
      <alignment horizontal="center"/>
    </xf>
    <xf numFmtId="0" fontId="11" fillId="7" borderId="21" xfId="0" applyFont="1" applyFill="1" applyBorder="1" applyAlignment="1" applyProtection="1">
      <alignment horizontal="center"/>
    </xf>
    <xf numFmtId="0" fontId="11" fillId="7" borderId="22" xfId="0" applyFont="1" applyFill="1" applyBorder="1" applyAlignment="1" applyProtection="1">
      <alignment horizontal="center"/>
    </xf>
    <xf numFmtId="0" fontId="11" fillId="7" borderId="31" xfId="0" applyFont="1" applyFill="1" applyBorder="1" applyAlignment="1" applyProtection="1">
      <alignment horizontal="center"/>
    </xf>
    <xf numFmtId="0" fontId="11" fillId="7" borderId="36" xfId="0" applyFont="1" applyFill="1" applyBorder="1" applyAlignment="1" applyProtection="1">
      <alignment horizontal="center"/>
    </xf>
    <xf numFmtId="165" fontId="11" fillId="0" borderId="15" xfId="0" applyNumberFormat="1" applyFont="1" applyFill="1" applyBorder="1" applyAlignment="1" applyProtection="1">
      <alignment horizontal="left" vertical="center"/>
    </xf>
    <xf numFmtId="1" fontId="11" fillId="9" borderId="34" xfId="0" applyNumberFormat="1" applyFont="1" applyFill="1" applyBorder="1" applyAlignment="1" applyProtection="1">
      <alignment horizontal="center"/>
      <protection locked="0"/>
    </xf>
    <xf numFmtId="1" fontId="11" fillId="9" borderId="35" xfId="0" applyNumberFormat="1" applyFont="1" applyFill="1" applyBorder="1" applyAlignment="1" applyProtection="1">
      <alignment horizontal="center"/>
      <protection locked="0"/>
    </xf>
    <xf numFmtId="0" fontId="14" fillId="7" borderId="27" xfId="0" applyFont="1" applyFill="1" applyBorder="1" applyAlignment="1" applyProtection="1">
      <alignment horizontal="center"/>
    </xf>
    <xf numFmtId="0" fontId="14" fillId="7" borderId="28" xfId="0" applyFont="1" applyFill="1" applyBorder="1" applyAlignment="1" applyProtection="1">
      <alignment horizontal="center"/>
    </xf>
    <xf numFmtId="0" fontId="14" fillId="7" borderId="21" xfId="0" applyFont="1" applyFill="1" applyBorder="1" applyAlignment="1" applyProtection="1">
      <alignment horizontal="center"/>
    </xf>
    <xf numFmtId="0" fontId="14" fillId="7" borderId="22" xfId="0" applyFont="1" applyFill="1" applyBorder="1" applyAlignment="1" applyProtection="1">
      <alignment horizontal="center"/>
    </xf>
    <xf numFmtId="0" fontId="14" fillId="7" borderId="31" xfId="0" applyFont="1" applyFill="1" applyBorder="1" applyAlignment="1" applyProtection="1">
      <alignment horizontal="center"/>
    </xf>
    <xf numFmtId="0" fontId="14" fillId="7" borderId="36" xfId="0" applyFont="1" applyFill="1" applyBorder="1" applyAlignment="1" applyProtection="1">
      <alignment horizontal="center"/>
    </xf>
    <xf numFmtId="0" fontId="21" fillId="6" borderId="5" xfId="0" applyFont="1" applyFill="1" applyBorder="1" applyAlignment="1" applyProtection="1">
      <alignment horizontal="center" vertical="top"/>
    </xf>
    <xf numFmtId="0" fontId="21" fillId="6" borderId="9" xfId="0" applyFont="1" applyFill="1" applyBorder="1" applyAlignment="1" applyProtection="1">
      <alignment horizontal="center" vertical="top"/>
    </xf>
    <xf numFmtId="0" fontId="14" fillId="0" borderId="15" xfId="0" applyFont="1" applyFill="1" applyBorder="1" applyAlignment="1" applyProtection="1">
      <alignment horizontal="left" vertical="center" wrapText="1"/>
    </xf>
    <xf numFmtId="0" fontId="14" fillId="7" borderId="27" xfId="0" applyFont="1" applyFill="1" applyBorder="1" applyAlignment="1" applyProtection="1">
      <alignment horizontal="center" wrapText="1"/>
    </xf>
    <xf numFmtId="0" fontId="14" fillId="7" borderId="21" xfId="0" applyFont="1" applyFill="1" applyBorder="1" applyAlignment="1" applyProtection="1">
      <alignment horizontal="center" wrapText="1"/>
    </xf>
    <xf numFmtId="0" fontId="14" fillId="7" borderId="31" xfId="0" applyFont="1" applyFill="1" applyBorder="1" applyAlignment="1" applyProtection="1">
      <alignment horizontal="center" wrapText="1"/>
    </xf>
    <xf numFmtId="168" fontId="13" fillId="6" borderId="29" xfId="0" applyNumberFormat="1" applyFont="1" applyFill="1" applyBorder="1" applyAlignment="1" applyProtection="1">
      <alignment horizontal="center"/>
    </xf>
    <xf numFmtId="168" fontId="13" fillId="6" borderId="30" xfId="0" applyNumberFormat="1" applyFont="1" applyFill="1" applyBorder="1" applyAlignment="1" applyProtection="1">
      <alignment horizontal="center"/>
    </xf>
    <xf numFmtId="0" fontId="13" fillId="0" borderId="15"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xf>
    <xf numFmtId="0" fontId="13" fillId="0" borderId="15" xfId="0" applyFont="1" applyFill="1" applyBorder="1" applyAlignment="1" applyProtection="1">
      <alignment horizontal="left" vertical="center"/>
    </xf>
    <xf numFmtId="44" fontId="3" fillId="0" borderId="2" xfId="1" applyFont="1" applyFill="1" applyBorder="1" applyAlignment="1" applyProtection="1">
      <alignment horizontal="center"/>
    </xf>
    <xf numFmtId="44" fontId="3" fillId="0" borderId="4" xfId="1" applyFont="1" applyFill="1" applyBorder="1" applyAlignment="1" applyProtection="1">
      <alignment horizontal="center"/>
    </xf>
    <xf numFmtId="10" fontId="16" fillId="0" borderId="11" xfId="3" applyNumberFormat="1" applyFont="1" applyFill="1" applyBorder="1" applyAlignment="1" applyProtection="1">
      <alignment horizontal="right"/>
    </xf>
    <xf numFmtId="167" fontId="3" fillId="0" borderId="17" xfId="0" applyNumberFormat="1" applyFont="1" applyFill="1" applyBorder="1" applyAlignment="1" applyProtection="1">
      <alignment horizontal="center"/>
    </xf>
    <xf numFmtId="167" fontId="3" fillId="0" borderId="18" xfId="0" applyNumberFormat="1" applyFont="1" applyFill="1" applyBorder="1" applyAlignment="1" applyProtection="1">
      <alignment horizontal="center"/>
    </xf>
    <xf numFmtId="0" fontId="13" fillId="0" borderId="2"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20" xfId="0" applyFont="1" applyFill="1" applyBorder="1" applyAlignment="1" applyProtection="1">
      <alignment horizontal="left" vertical="center"/>
    </xf>
    <xf numFmtId="0" fontId="13" fillId="6" borderId="21" xfId="0" applyFont="1" applyFill="1" applyBorder="1" applyAlignment="1" applyProtection="1">
      <alignment horizontal="center" vertical="center"/>
    </xf>
    <xf numFmtId="0" fontId="13" fillId="6" borderId="22" xfId="0" applyFont="1" applyFill="1" applyBorder="1" applyAlignment="1" applyProtection="1">
      <alignment horizontal="center" vertical="center"/>
    </xf>
    <xf numFmtId="167" fontId="13" fillId="2" borderId="23" xfId="1" applyNumberFormat="1" applyFont="1" applyFill="1" applyBorder="1" applyAlignment="1" applyProtection="1">
      <alignment horizontal="center" vertical="center"/>
      <protection locked="0"/>
    </xf>
    <xf numFmtId="167" fontId="13" fillId="2" borderId="24" xfId="1" applyNumberFormat="1" applyFont="1" applyFill="1" applyBorder="1" applyAlignment="1" applyProtection="1">
      <alignment horizontal="center" vertical="center"/>
      <protection locked="0"/>
    </xf>
    <xf numFmtId="166" fontId="11" fillId="0" borderId="11" xfId="2" applyNumberFormat="1" applyFont="1" applyFill="1" applyBorder="1" applyAlignment="1" applyProtection="1">
      <alignment horizontal="center" vertical="center" wrapText="1"/>
    </xf>
    <xf numFmtId="165" fontId="11" fillId="0" borderId="12" xfId="2" applyNumberFormat="1" applyFont="1" applyFill="1" applyBorder="1" applyAlignment="1" applyProtection="1">
      <alignment horizontal="center" vertical="center" wrapText="1"/>
    </xf>
    <xf numFmtId="165" fontId="11" fillId="0" borderId="13" xfId="2" applyNumberFormat="1" applyFont="1" applyFill="1" applyBorder="1" applyAlignment="1" applyProtection="1">
      <alignment horizontal="center" vertical="center" wrapText="1"/>
    </xf>
    <xf numFmtId="164" fontId="11" fillId="0" borderId="12" xfId="2" applyFont="1" applyFill="1" applyBorder="1" applyAlignment="1" applyProtection="1">
      <alignment horizontal="center" vertical="center" wrapText="1"/>
    </xf>
    <xf numFmtId="164" fontId="11" fillId="0" borderId="14" xfId="2" applyFont="1" applyFill="1" applyBorder="1" applyAlignment="1" applyProtection="1">
      <alignment horizontal="center" vertical="center" wrapText="1"/>
    </xf>
    <xf numFmtId="164" fontId="11" fillId="0" borderId="13" xfId="2" applyFont="1" applyFill="1" applyBorder="1" applyAlignment="1" applyProtection="1">
      <alignment horizontal="center" vertical="center" wrapText="1"/>
    </xf>
    <xf numFmtId="166" fontId="14" fillId="2" borderId="11" xfId="2" applyNumberFormat="1" applyFont="1" applyFill="1" applyBorder="1" applyAlignment="1" applyProtection="1">
      <alignment horizontal="center" vertical="center" wrapText="1"/>
      <protection locked="0"/>
    </xf>
    <xf numFmtId="0" fontId="0" fillId="0" borderId="0" xfId="0" applyAlignment="1" applyProtection="1">
      <alignment horizontal="left" wrapText="1"/>
    </xf>
    <xf numFmtId="0" fontId="6" fillId="0" borderId="0" xfId="0" applyFont="1" applyBorder="1" applyAlignment="1" applyProtection="1">
      <alignment horizontal="center" vertical="top"/>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5" xfId="0" applyFont="1" applyBorder="1" applyAlignment="1" applyProtection="1">
      <alignment horizontal="center" vertical="top"/>
    </xf>
    <xf numFmtId="0" fontId="3" fillId="0" borderId="9" xfId="0" applyFont="1" applyBorder="1" applyAlignment="1" applyProtection="1">
      <alignment horizontal="center" vertical="top"/>
    </xf>
    <xf numFmtId="0" fontId="3" fillId="0" borderId="4" xfId="0" applyFont="1" applyBorder="1" applyAlignment="1" applyProtection="1">
      <alignment horizontal="center"/>
    </xf>
    <xf numFmtId="0" fontId="11" fillId="0" borderId="6" xfId="2" applyNumberFormat="1" applyFont="1" applyFill="1" applyBorder="1" applyAlignment="1" applyProtection="1">
      <alignment horizontal="center" vertical="center"/>
    </xf>
  </cellXfs>
  <cellStyles count="6">
    <cellStyle name="Comma" xfId="5" builtinId="3"/>
    <cellStyle name="Comma 6" xfId="2"/>
    <cellStyle name="Currency" xfId="1" builtinId="4"/>
    <cellStyle name="Normal" xfId="0" builtinId="0"/>
    <cellStyle name="Normal 2" xfId="4"/>
    <cellStyle name="Percent 6" xfId="3"/>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412102</xdr:colOff>
      <xdr:row>35</xdr:row>
      <xdr:rowOff>55886</xdr:rowOff>
    </xdr:from>
    <xdr:to>
      <xdr:col>2</xdr:col>
      <xdr:colOff>414291</xdr:colOff>
      <xdr:row>36</xdr:row>
      <xdr:rowOff>104241</xdr:rowOff>
    </xdr:to>
    <xdr:cxnSp macro="">
      <xdr:nvCxnSpPr>
        <xdr:cNvPr id="2" name="Straight Connector 1">
          <a:extLst>
            <a:ext uri="{FF2B5EF4-FFF2-40B4-BE49-F238E27FC236}">
              <a16:creationId xmlns="" xmlns:a16="http://schemas.microsoft.com/office/drawing/2014/main" id="{AADEF408-7355-49C5-B6C9-DB73298E0F87}"/>
            </a:ext>
          </a:extLst>
        </xdr:cNvPr>
        <xdr:cNvCxnSpPr/>
      </xdr:nvCxnSpPr>
      <xdr:spPr bwMode="auto">
        <a:xfrm>
          <a:off x="3505822" y="6388106"/>
          <a:ext cx="2189" cy="2083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409888</xdr:colOff>
      <xdr:row>36</xdr:row>
      <xdr:rowOff>95250</xdr:rowOff>
    </xdr:from>
    <xdr:to>
      <xdr:col>8</xdr:col>
      <xdr:colOff>624417</xdr:colOff>
      <xdr:row>36</xdr:row>
      <xdr:rowOff>105400</xdr:rowOff>
    </xdr:to>
    <xdr:cxnSp macro="">
      <xdr:nvCxnSpPr>
        <xdr:cNvPr id="3" name="Straight Connector 2">
          <a:extLst>
            <a:ext uri="{FF2B5EF4-FFF2-40B4-BE49-F238E27FC236}">
              <a16:creationId xmlns="" xmlns:a16="http://schemas.microsoft.com/office/drawing/2014/main" id="{AA486F02-EBA1-4A03-BFF7-CE5D43F5A80D}"/>
            </a:ext>
          </a:extLst>
        </xdr:cNvPr>
        <xdr:cNvCxnSpPr/>
      </xdr:nvCxnSpPr>
      <xdr:spPr bwMode="auto">
        <a:xfrm flipV="1">
          <a:off x="3503608" y="6587490"/>
          <a:ext cx="5228489" cy="101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617075</xdr:colOff>
      <xdr:row>36</xdr:row>
      <xdr:rowOff>113981</xdr:rowOff>
    </xdr:from>
    <xdr:to>
      <xdr:col>8</xdr:col>
      <xdr:colOff>618265</xdr:colOff>
      <xdr:row>44</xdr:row>
      <xdr:rowOff>178914</xdr:rowOff>
    </xdr:to>
    <xdr:cxnSp macro="">
      <xdr:nvCxnSpPr>
        <xdr:cNvPr id="4" name="Straight Arrow Connector 3">
          <a:extLst>
            <a:ext uri="{FF2B5EF4-FFF2-40B4-BE49-F238E27FC236}">
              <a16:creationId xmlns="" xmlns:a16="http://schemas.microsoft.com/office/drawing/2014/main" id="{470C8C9E-E5F7-4ADB-8401-26DC4972C0BD}"/>
            </a:ext>
          </a:extLst>
        </xdr:cNvPr>
        <xdr:cNvCxnSpPr/>
      </xdr:nvCxnSpPr>
      <xdr:spPr bwMode="auto">
        <a:xfrm>
          <a:off x="8724755" y="6606221"/>
          <a:ext cx="1190" cy="1367953"/>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sites/default/files/2019-Filing-Requirements-Chapter2-Appendices-20180718-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PL-Regulatory/2018%20COS%20Rate%20App/Interrogatories/OEB%20Interrogatories/Cost%20of%20Power%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TPL-Regulatory/2018%20COS%20Rate%20App/Updated%20Models%20Feb%202018/ETPL_2018%20Load%20Forecast_EB-2017-0038%20Feb%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raIgp\AppData\Local\Microsoft\Windows\INetCache\Content.Outlook\E6XRYCVY\General%20Motors%202017%20GA%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_Requested_Approval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H1">
            <v>0</v>
          </cell>
        </row>
      </sheetData>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7">
          <cell r="I37">
            <v>15.523</v>
          </cell>
        </row>
        <row r="38">
          <cell r="I38">
            <v>100.55</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Data"/>
      <sheetName val="Sheet1"/>
      <sheetName val="Sheet2"/>
      <sheetName val="Historic CDM"/>
      <sheetName val="Weather"/>
      <sheetName val="Employment"/>
      <sheetName val="Res OLS model"/>
      <sheetName val="Res Predicted Monthly"/>
      <sheetName val="GS &lt; 50 OLS model"/>
      <sheetName val="GS &lt; 50 Predicted Monthly"/>
      <sheetName val="Model Annual Summary"/>
      <sheetName val="Res Normalized Monthly"/>
      <sheetName val="GS &lt; 50 Normalized Monthly"/>
      <sheetName val="Connection count "/>
      <sheetName val="Normalized Annual Summary"/>
      <sheetName val="kW Forecast"/>
      <sheetName val="CDM Adjustments"/>
      <sheetName val="Summary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1">
          <cell r="H31">
            <v>187446.01925458995</v>
          </cell>
        </row>
        <row r="41">
          <cell r="E41">
            <v>168200.55636889234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6">
          <cell r="E16">
            <v>70.761858612596896</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1"/>
  <sheetViews>
    <sheetView tabSelected="1" topLeftCell="A4" workbookViewId="0">
      <selection activeCell="O35" sqref="O35"/>
    </sheetView>
  </sheetViews>
  <sheetFormatPr defaultColWidth="8.5546875" defaultRowHeight="14.4"/>
  <cols>
    <col min="1" max="1" width="10.5546875" style="1" customWidth="1"/>
    <col min="2" max="2" width="34.5546875" style="1" customWidth="1"/>
    <col min="3" max="3" width="10.33203125" style="1" customWidth="1"/>
    <col min="4" max="5" width="9.44140625" style="1" customWidth="1"/>
    <col min="6" max="7" width="14.44140625" style="1" customWidth="1"/>
    <col min="8" max="8" width="15" style="1" customWidth="1"/>
    <col min="9" max="9" width="16" style="1" bestFit="1" customWidth="1"/>
    <col min="10" max="12" width="14.44140625" style="1" customWidth="1"/>
    <col min="13" max="13" width="15.5546875" style="1" bestFit="1" customWidth="1"/>
    <col min="14" max="14" width="16" style="1" bestFit="1" customWidth="1"/>
    <col min="15" max="15" width="16" style="1" customWidth="1"/>
    <col min="16" max="16" width="12.5546875" style="1" customWidth="1"/>
    <col min="17" max="17" width="13.5546875" style="1" bestFit="1" customWidth="1"/>
    <col min="18" max="16384" width="8.5546875" style="1"/>
  </cols>
  <sheetData>
    <row r="1" spans="1:19">
      <c r="B1" s="2"/>
      <c r="M1" s="3" t="s">
        <v>0</v>
      </c>
      <c r="N1" s="4">
        <f>'[1]App.2-S_Stranded Meters'!H1</f>
        <v>0</v>
      </c>
      <c r="O1" s="5"/>
    </row>
    <row r="2" spans="1:19" ht="12.9" customHeight="1">
      <c r="A2" s="182" t="s">
        <v>1</v>
      </c>
      <c r="B2" s="182"/>
      <c r="C2" s="182"/>
      <c r="D2" s="182"/>
      <c r="E2" s="182"/>
      <c r="F2" s="182"/>
      <c r="M2" s="3" t="s">
        <v>2</v>
      </c>
      <c r="N2" s="6"/>
      <c r="O2" s="7"/>
    </row>
    <row r="3" spans="1:19" ht="25.5" customHeight="1">
      <c r="A3" s="182"/>
      <c r="B3" s="182"/>
      <c r="C3" s="182"/>
      <c r="D3" s="182"/>
      <c r="E3" s="182"/>
      <c r="F3" s="182"/>
      <c r="M3" s="3" t="s">
        <v>3</v>
      </c>
      <c r="N3" s="6"/>
      <c r="O3" s="7"/>
    </row>
    <row r="4" spans="1:19">
      <c r="B4" s="8"/>
      <c r="M4" s="3" t="s">
        <v>4</v>
      </c>
      <c r="N4" s="6"/>
      <c r="O4" s="7"/>
    </row>
    <row r="5" spans="1:19">
      <c r="B5" s="8"/>
      <c r="M5" s="3" t="s">
        <v>5</v>
      </c>
      <c r="N5" s="9"/>
      <c r="O5" s="5"/>
    </row>
    <row r="6" spans="1:19">
      <c r="B6" s="8"/>
      <c r="M6" s="3"/>
      <c r="N6" s="4"/>
      <c r="O6" s="10"/>
    </row>
    <row r="7" spans="1:19">
      <c r="B7" s="8"/>
      <c r="M7" s="3" t="s">
        <v>6</v>
      </c>
      <c r="N7" s="9"/>
      <c r="O7" s="5"/>
    </row>
    <row r="8" spans="1:19">
      <c r="B8" s="8"/>
      <c r="M8" s="11"/>
      <c r="O8" s="11"/>
    </row>
    <row r="9" spans="1:19" ht="17.399999999999999">
      <c r="B9" s="183" t="s">
        <v>7</v>
      </c>
      <c r="C9" s="183"/>
      <c r="D9" s="183"/>
      <c r="E9" s="183"/>
      <c r="F9" s="183"/>
      <c r="G9" s="183"/>
      <c r="H9" s="183"/>
      <c r="I9" s="183"/>
      <c r="J9" s="183"/>
      <c r="K9" s="183"/>
      <c r="L9" s="183"/>
      <c r="M9" s="183"/>
      <c r="N9" s="183"/>
      <c r="O9" s="183"/>
      <c r="P9" s="183"/>
      <c r="Q9" s="183"/>
      <c r="R9" s="183"/>
      <c r="S9" s="183"/>
    </row>
    <row r="10" spans="1:19" ht="17.399999999999999">
      <c r="A10" s="183" t="s">
        <v>8</v>
      </c>
      <c r="B10" s="183"/>
      <c r="C10" s="183"/>
      <c r="D10" s="183"/>
      <c r="E10" s="183"/>
      <c r="F10" s="183"/>
      <c r="G10" s="183"/>
      <c r="H10" s="183"/>
      <c r="I10" s="183"/>
      <c r="J10" s="183"/>
      <c r="K10" s="183"/>
      <c r="L10" s="183"/>
      <c r="M10" s="183"/>
      <c r="N10" s="183"/>
      <c r="O10" s="183"/>
      <c r="P10" s="12"/>
      <c r="Q10" s="12"/>
      <c r="R10" s="12"/>
      <c r="S10" s="12"/>
    </row>
    <row r="11" spans="1:19" ht="17.399999999999999">
      <c r="B11" s="13"/>
      <c r="C11" s="13"/>
      <c r="D11" s="13"/>
      <c r="E11" s="13"/>
      <c r="F11" s="13"/>
      <c r="G11" s="13"/>
      <c r="H11" s="13"/>
      <c r="I11" s="13"/>
      <c r="J11" s="13"/>
      <c r="K11" s="13"/>
      <c r="L11" s="13"/>
      <c r="M11" s="13"/>
      <c r="N11" s="13"/>
      <c r="O11" s="13"/>
      <c r="P11" s="13"/>
      <c r="Q11" s="13"/>
      <c r="R11" s="13"/>
      <c r="S11" s="13"/>
    </row>
    <row r="12" spans="1:19" ht="18" thickBot="1">
      <c r="B12" s="13"/>
      <c r="C12" s="13"/>
      <c r="D12" s="13"/>
      <c r="E12" s="13"/>
      <c r="F12" s="13"/>
      <c r="G12" s="13"/>
      <c r="H12" s="13"/>
      <c r="I12" s="13"/>
      <c r="J12" s="13"/>
      <c r="K12" s="13"/>
      <c r="L12" s="13"/>
      <c r="M12" s="13"/>
      <c r="N12" s="13"/>
      <c r="O12" s="13"/>
      <c r="P12" s="13"/>
      <c r="Q12" s="13"/>
      <c r="R12" s="13"/>
      <c r="S12" s="13"/>
    </row>
    <row r="13" spans="1:19" ht="16.2" thickBot="1">
      <c r="A13" s="14" t="s">
        <v>9</v>
      </c>
      <c r="B13" s="15" t="s">
        <v>10</v>
      </c>
      <c r="D13" s="184" t="s">
        <v>70</v>
      </c>
      <c r="E13" s="185"/>
      <c r="F13" s="185"/>
      <c r="G13" s="185"/>
      <c r="H13" s="185"/>
      <c r="I13" s="185"/>
      <c r="J13" s="185"/>
      <c r="K13" s="185"/>
      <c r="L13" s="185"/>
      <c r="M13" s="185"/>
      <c r="N13" s="185"/>
      <c r="O13" s="186"/>
    </row>
    <row r="14" spans="1:19" ht="15" thickBot="1">
      <c r="B14" s="16"/>
    </row>
    <row r="15" spans="1:19" ht="15" thickBot="1">
      <c r="B15" s="16"/>
      <c r="I15" s="187" t="s">
        <v>11</v>
      </c>
      <c r="J15" s="188"/>
      <c r="K15" s="188"/>
      <c r="L15" s="189" t="s">
        <v>12</v>
      </c>
      <c r="M15" s="187" t="s">
        <v>13</v>
      </c>
      <c r="N15" s="191"/>
    </row>
    <row r="16" spans="1:19" s="17" customFormat="1" ht="15" thickBot="1">
      <c r="B16" s="18" t="s">
        <v>7</v>
      </c>
      <c r="C16" s="19" t="s">
        <v>14</v>
      </c>
      <c r="D16" s="192"/>
      <c r="E16" s="192"/>
      <c r="I16" s="20" t="s">
        <v>15</v>
      </c>
      <c r="J16" s="20" t="s">
        <v>16</v>
      </c>
      <c r="K16" s="21" t="s">
        <v>17</v>
      </c>
      <c r="L16" s="190"/>
      <c r="M16" s="22" t="s">
        <v>11</v>
      </c>
      <c r="N16" s="23" t="s">
        <v>12</v>
      </c>
    </row>
    <row r="17" spans="1:18" s="24" customFormat="1" ht="15" customHeight="1">
      <c r="B17" s="25" t="s">
        <v>18</v>
      </c>
      <c r="C17" s="26"/>
      <c r="D17" s="176" t="s">
        <v>19</v>
      </c>
      <c r="E17" s="177"/>
      <c r="F17" s="27" t="s">
        <v>20</v>
      </c>
      <c r="G17" s="28" t="s">
        <v>21</v>
      </c>
      <c r="I17" s="178"/>
      <c r="J17" s="179"/>
      <c r="K17" s="180"/>
      <c r="L17" s="20"/>
      <c r="M17" s="29" t="s">
        <v>22</v>
      </c>
      <c r="N17" s="29" t="s">
        <v>22</v>
      </c>
    </row>
    <row r="18" spans="1:18" s="24" customFormat="1" ht="15" customHeight="1">
      <c r="B18" s="30" t="s">
        <v>23</v>
      </c>
      <c r="C18" s="30"/>
      <c r="D18" s="181">
        <v>136671067.22</v>
      </c>
      <c r="E18" s="181"/>
      <c r="F18" s="31"/>
      <c r="G18" s="32">
        <f>+D18-F18</f>
        <v>136671067.22</v>
      </c>
      <c r="I18" s="33"/>
      <c r="J18" s="33">
        <v>10792103</v>
      </c>
      <c r="K18" s="34">
        <f>SUM(I18:J18)</f>
        <v>10792103</v>
      </c>
      <c r="L18" s="35">
        <f t="shared" ref="L18:L19" si="0">G18-(I18+J18)</f>
        <v>125878964.22</v>
      </c>
      <c r="M18" s="36">
        <f t="shared" ref="M18:M24" si="1">+K18/D18</f>
        <v>7.896406473967095E-2</v>
      </c>
      <c r="N18" s="36">
        <f t="shared" ref="N18:N24" si="2">+L18/D18</f>
        <v>0.92103593526032901</v>
      </c>
      <c r="O18" s="37"/>
    </row>
    <row r="19" spans="1:18" s="24" customFormat="1" ht="13.8">
      <c r="B19" s="30" t="s">
        <v>71</v>
      </c>
      <c r="C19" s="30"/>
      <c r="D19" s="181">
        <v>48503240.200000003</v>
      </c>
      <c r="E19" s="181"/>
      <c r="F19" s="31"/>
      <c r="G19" s="32">
        <f t="shared" ref="G19:G27" si="3">+D19-F19</f>
        <v>48503240.200000003</v>
      </c>
      <c r="I19" s="33"/>
      <c r="J19" s="33">
        <v>11810043</v>
      </c>
      <c r="K19" s="34">
        <f t="shared" ref="K19" si="4">SUM(I19:J19)</f>
        <v>11810043</v>
      </c>
      <c r="L19" s="35">
        <f t="shared" si="0"/>
        <v>36693197.200000003</v>
      </c>
      <c r="M19" s="36">
        <f t="shared" si="1"/>
        <v>0.24348977411203962</v>
      </c>
      <c r="N19" s="36">
        <f t="shared" si="2"/>
        <v>0.75651022588796035</v>
      </c>
    </row>
    <row r="20" spans="1:18" s="24" customFormat="1" ht="12.75" customHeight="1">
      <c r="B20" s="30" t="s">
        <v>72</v>
      </c>
      <c r="C20" s="30"/>
      <c r="D20" s="181">
        <v>101805844.79446088</v>
      </c>
      <c r="E20" s="181"/>
      <c r="F20" s="31"/>
      <c r="G20" s="32">
        <f t="shared" si="3"/>
        <v>101805844.79446088</v>
      </c>
      <c r="I20" s="33"/>
      <c r="J20" s="33">
        <v>113781810</v>
      </c>
      <c r="K20" s="34">
        <f>SUM(I20:J20)</f>
        <v>113781810</v>
      </c>
      <c r="L20" s="35">
        <f t="shared" ref="L20:L26" si="5">G20-(I20+J20)</f>
        <v>-11975965.205539122</v>
      </c>
      <c r="M20" s="36">
        <f t="shared" si="1"/>
        <v>1.1176353403846093</v>
      </c>
      <c r="N20" s="36">
        <f t="shared" si="2"/>
        <v>-0.11763534038460942</v>
      </c>
      <c r="O20" s="37"/>
    </row>
    <row r="21" spans="1:18" s="24" customFormat="1" ht="12.75" customHeight="1">
      <c r="B21" s="30" t="s">
        <v>73</v>
      </c>
      <c r="C21" s="30"/>
      <c r="D21" s="181">
        <v>81639097.375829861</v>
      </c>
      <c r="E21" s="181"/>
      <c r="F21" s="31"/>
      <c r="G21" s="32">
        <f t="shared" si="3"/>
        <v>81639097.375829861</v>
      </c>
      <c r="I21" s="33"/>
      <c r="J21" s="33">
        <v>53672433</v>
      </c>
      <c r="K21" s="34">
        <f>SUM(I21:J21)</f>
        <v>53672433</v>
      </c>
      <c r="L21" s="35">
        <f t="shared" si="5"/>
        <v>27966664.375829861</v>
      </c>
      <c r="M21" s="36">
        <f t="shared" si="1"/>
        <v>0.6574354044229096</v>
      </c>
      <c r="N21" s="36">
        <f t="shared" si="2"/>
        <v>0.3425645955770904</v>
      </c>
      <c r="O21" s="37"/>
    </row>
    <row r="22" spans="1:18" s="24" customFormat="1" ht="12.75" customHeight="1">
      <c r="B22" s="30" t="s">
        <v>74</v>
      </c>
      <c r="C22" s="30"/>
      <c r="D22" s="181">
        <v>115608235.51674275</v>
      </c>
      <c r="E22" s="181"/>
      <c r="F22" s="31">
        <f>D22</f>
        <v>115608235.51674275</v>
      </c>
      <c r="G22" s="32">
        <f t="shared" si="3"/>
        <v>0</v>
      </c>
      <c r="I22" s="33"/>
      <c r="J22" s="33">
        <v>108673765</v>
      </c>
      <c r="K22" s="34">
        <f>SUM(I22:J22)</f>
        <v>108673765</v>
      </c>
      <c r="L22" s="35">
        <f t="shared" si="5"/>
        <v>-108673765</v>
      </c>
      <c r="M22" s="36">
        <f t="shared" si="1"/>
        <v>0.94001750406666762</v>
      </c>
      <c r="N22" s="36">
        <f t="shared" si="2"/>
        <v>-0.94001750406666762</v>
      </c>
      <c r="O22" s="37"/>
    </row>
    <row r="23" spans="1:18" s="24" customFormat="1" ht="12.75" customHeight="1">
      <c r="B23" s="30" t="s">
        <v>75</v>
      </c>
      <c r="C23" s="30"/>
      <c r="D23" s="181">
        <v>16248812.099999998</v>
      </c>
      <c r="E23" s="181"/>
      <c r="F23" s="31"/>
      <c r="G23" s="32">
        <f t="shared" si="3"/>
        <v>16248812.099999998</v>
      </c>
      <c r="I23" s="33"/>
      <c r="J23" s="33">
        <v>54364</v>
      </c>
      <c r="K23" s="34">
        <f>SUM(I23:J23)</f>
        <v>54364</v>
      </c>
      <c r="L23" s="35">
        <f t="shared" si="5"/>
        <v>16194448.099999998</v>
      </c>
      <c r="M23" s="36">
        <f t="shared" si="1"/>
        <v>3.3457215004658713E-3</v>
      </c>
      <c r="N23" s="36">
        <f t="shared" si="2"/>
        <v>0.99665427849953414</v>
      </c>
      <c r="O23" s="37"/>
    </row>
    <row r="24" spans="1:18" s="24" customFormat="1" ht="12.75" customHeight="1">
      <c r="B24" s="30" t="s">
        <v>76</v>
      </c>
      <c r="C24" s="30"/>
      <c r="D24" s="181">
        <v>1938874.6199999999</v>
      </c>
      <c r="E24" s="181"/>
      <c r="F24" s="31"/>
      <c r="G24" s="32">
        <f t="shared" si="3"/>
        <v>1938874.6199999999</v>
      </c>
      <c r="I24" s="33"/>
      <c r="J24" s="33">
        <v>0</v>
      </c>
      <c r="K24" s="34">
        <f>SUM(I24:J24)</f>
        <v>0</v>
      </c>
      <c r="L24" s="35">
        <f t="shared" si="5"/>
        <v>1938874.6199999999</v>
      </c>
      <c r="M24" s="36">
        <f t="shared" si="1"/>
        <v>0</v>
      </c>
      <c r="N24" s="36">
        <f t="shared" si="2"/>
        <v>1</v>
      </c>
      <c r="O24" s="37"/>
    </row>
    <row r="25" spans="1:18" s="24" customFormat="1" ht="12.75" customHeight="1">
      <c r="B25" s="30" t="s">
        <v>77</v>
      </c>
      <c r="C25" s="30"/>
      <c r="D25" s="181">
        <v>231256.11</v>
      </c>
      <c r="E25" s="181"/>
      <c r="F25" s="31"/>
      <c r="G25" s="32">
        <f t="shared" si="3"/>
        <v>231256.11</v>
      </c>
      <c r="I25" s="33"/>
      <c r="J25" s="33">
        <v>1357181</v>
      </c>
      <c r="K25" s="34"/>
      <c r="L25" s="35">
        <f t="shared" si="5"/>
        <v>-1125924.8900000001</v>
      </c>
      <c r="M25" s="36"/>
      <c r="N25" s="36"/>
      <c r="O25" s="37"/>
    </row>
    <row r="26" spans="1:18" s="24" customFormat="1" ht="12.75" customHeight="1">
      <c r="B26" s="30" t="s">
        <v>78</v>
      </c>
      <c r="C26" s="30"/>
      <c r="D26" s="181">
        <v>504437</v>
      </c>
      <c r="E26" s="181"/>
      <c r="F26" s="31"/>
      <c r="G26" s="32">
        <f t="shared" si="3"/>
        <v>504437</v>
      </c>
      <c r="I26" s="33"/>
      <c r="J26" s="33">
        <v>16919807</v>
      </c>
      <c r="K26" s="34"/>
      <c r="L26" s="35">
        <f t="shared" si="5"/>
        <v>-16415370</v>
      </c>
      <c r="M26" s="36"/>
      <c r="N26" s="36"/>
      <c r="O26" s="37"/>
    </row>
    <row r="27" spans="1:18" s="24" customFormat="1" ht="12.75" customHeight="1">
      <c r="B27" s="38" t="s">
        <v>24</v>
      </c>
      <c r="C27" s="39" t="s">
        <v>14</v>
      </c>
      <c r="D27" s="175">
        <f>SUM(D18:E26)</f>
        <v>503150864.93703359</v>
      </c>
      <c r="E27" s="175"/>
      <c r="F27" s="40">
        <f>SUM(F18:F26)</f>
        <v>115608235.51674275</v>
      </c>
      <c r="G27" s="40">
        <f t="shared" si="3"/>
        <v>387542629.42029083</v>
      </c>
      <c r="I27" s="40">
        <f>SUM(I18:I26)</f>
        <v>0</v>
      </c>
      <c r="J27" s="40">
        <f>SUM(J18:J26)</f>
        <v>317061506</v>
      </c>
      <c r="K27" s="41">
        <f>SUM(K18:K26)</f>
        <v>298784518</v>
      </c>
      <c r="L27" s="40">
        <f>SUM(L18:L26)</f>
        <v>70481123.420290783</v>
      </c>
      <c r="M27" s="42"/>
      <c r="N27" s="42"/>
      <c r="O27" s="43"/>
    </row>
    <row r="28" spans="1:18" s="24" customFormat="1" ht="12.75" customHeight="1">
      <c r="B28" s="44" t="s">
        <v>22</v>
      </c>
      <c r="C28" s="45" t="s">
        <v>14</v>
      </c>
      <c r="D28" s="165">
        <f>$D$27/$D$27</f>
        <v>1</v>
      </c>
      <c r="E28" s="165"/>
      <c r="F28" s="36"/>
      <c r="G28" s="36">
        <v>1</v>
      </c>
      <c r="I28" s="36">
        <f>$I$27/$G$27</f>
        <v>0</v>
      </c>
      <c r="J28" s="36">
        <f>$J$27/$G$27</f>
        <v>0.81813323730160814</v>
      </c>
      <c r="L28" s="36">
        <f>$L$27/$G$27</f>
        <v>0.18186676269839169</v>
      </c>
      <c r="M28" s="36">
        <f>I28+J28</f>
        <v>0.81813323730160814</v>
      </c>
      <c r="N28" s="46">
        <f>L28</f>
        <v>0.18186676269839169</v>
      </c>
      <c r="O28" s="47">
        <f>M28+N28</f>
        <v>0.99999999999999978</v>
      </c>
    </row>
    <row r="29" spans="1:18" s="24" customFormat="1" ht="12.75" customHeight="1" thickBot="1">
      <c r="A29" s="48"/>
      <c r="B29" s="49"/>
      <c r="C29" s="50"/>
      <c r="D29" s="51"/>
      <c r="E29" s="51"/>
      <c r="F29" s="51"/>
      <c r="G29" s="51"/>
      <c r="H29" s="48"/>
      <c r="I29" s="51"/>
      <c r="J29" s="51"/>
      <c r="K29" s="48"/>
      <c r="L29" s="51"/>
      <c r="M29" s="51"/>
      <c r="N29" s="51"/>
      <c r="O29" s="52"/>
    </row>
    <row r="30" spans="1:18" s="24" customFormat="1" ht="12.9" customHeight="1">
      <c r="B30" s="53"/>
      <c r="C30" s="54"/>
      <c r="D30" s="55"/>
      <c r="E30" s="55"/>
      <c r="F30" s="55"/>
      <c r="G30" s="55"/>
      <c r="I30" s="55"/>
      <c r="J30" s="55"/>
      <c r="L30" s="55"/>
      <c r="M30" s="55"/>
      <c r="N30" s="55"/>
      <c r="O30" s="56"/>
    </row>
    <row r="31" spans="1:18" s="24" customFormat="1" ht="21" customHeight="1" thickBot="1">
      <c r="A31" s="57" t="s">
        <v>25</v>
      </c>
      <c r="B31" s="15" t="s">
        <v>26</v>
      </c>
      <c r="C31" s="54"/>
      <c r="D31" s="55"/>
      <c r="E31" s="55"/>
      <c r="F31" s="55"/>
      <c r="G31" s="55"/>
      <c r="I31" s="55"/>
      <c r="J31" s="55"/>
      <c r="K31" s="133"/>
      <c r="L31" s="132"/>
      <c r="M31" s="55"/>
      <c r="N31" s="55"/>
      <c r="O31" s="56"/>
    </row>
    <row r="32" spans="1:18" s="24" customFormat="1" ht="12.75" customHeight="1" thickBot="1">
      <c r="B32" s="58" t="s">
        <v>14</v>
      </c>
      <c r="C32" s="58"/>
      <c r="D32" s="58"/>
      <c r="E32" s="58"/>
      <c r="F32" s="59"/>
      <c r="I32" s="166" t="s">
        <v>11</v>
      </c>
      <c r="J32" s="167"/>
      <c r="M32" s="58"/>
      <c r="N32" s="58"/>
      <c r="O32" s="58"/>
      <c r="P32" s="60"/>
      <c r="Q32" s="60"/>
      <c r="R32" s="60"/>
    </row>
    <row r="33" spans="1:22" s="24" customFormat="1" ht="12.75" customHeight="1" thickBot="1">
      <c r="A33" s="57" t="s">
        <v>27</v>
      </c>
      <c r="B33" s="61" t="s">
        <v>28</v>
      </c>
      <c r="C33" s="168" t="s">
        <v>29</v>
      </c>
      <c r="D33" s="169"/>
      <c r="E33" s="169"/>
      <c r="F33" s="170"/>
      <c r="G33" s="171"/>
      <c r="H33" s="172"/>
      <c r="I33" s="173">
        <v>-44.38</v>
      </c>
      <c r="J33" s="174"/>
      <c r="K33" s="62" t="s">
        <v>30</v>
      </c>
      <c r="L33" s="58" t="s">
        <v>31</v>
      </c>
      <c r="O33" s="58"/>
      <c r="P33" s="58"/>
      <c r="Q33" s="58"/>
      <c r="R33" s="60"/>
      <c r="S33" s="60"/>
      <c r="T33" s="60"/>
    </row>
    <row r="34" spans="1:22" s="24" customFormat="1" ht="12.75" customHeight="1" thickBot="1">
      <c r="B34" s="63"/>
      <c r="C34" s="58"/>
      <c r="D34" s="58"/>
      <c r="E34" s="58"/>
      <c r="F34" s="64"/>
      <c r="G34" s="65"/>
      <c r="H34" s="65"/>
      <c r="I34" s="62"/>
      <c r="J34" s="58"/>
      <c r="M34" s="58"/>
      <c r="N34" s="58"/>
      <c r="O34" s="58"/>
      <c r="P34" s="60"/>
      <c r="Q34" s="60"/>
      <c r="R34" s="60"/>
    </row>
    <row r="35" spans="1:22" s="24" customFormat="1" ht="12.75" customHeight="1" thickBot="1">
      <c r="A35" s="57" t="s">
        <v>32</v>
      </c>
      <c r="B35" s="66" t="s">
        <v>33</v>
      </c>
      <c r="C35" s="58" t="s">
        <v>34</v>
      </c>
      <c r="D35" s="58"/>
      <c r="E35" s="58"/>
      <c r="G35" s="65"/>
      <c r="I35" s="163" t="s">
        <v>11</v>
      </c>
      <c r="J35" s="164"/>
      <c r="K35" s="67"/>
      <c r="L35" s="152" t="s">
        <v>12</v>
      </c>
      <c r="M35" s="58"/>
      <c r="N35" s="58"/>
      <c r="O35" s="58"/>
      <c r="P35" s="60"/>
      <c r="Q35" s="60"/>
      <c r="R35" s="60"/>
    </row>
    <row r="36" spans="1:22" s="24" customFormat="1" ht="12.75" customHeight="1" thickBot="1">
      <c r="B36" s="63"/>
      <c r="D36" s="58"/>
      <c r="E36" s="58"/>
      <c r="I36" s="68" t="s">
        <v>15</v>
      </c>
      <c r="J36" s="68" t="s">
        <v>16</v>
      </c>
      <c r="K36" s="67"/>
      <c r="L36" s="153"/>
      <c r="M36" s="58"/>
      <c r="N36" s="58"/>
      <c r="O36" s="58"/>
      <c r="P36" s="60"/>
      <c r="Q36" s="60"/>
      <c r="R36" s="60"/>
    </row>
    <row r="37" spans="1:22" s="24" customFormat="1" ht="12.75" customHeight="1">
      <c r="B37" s="69" t="s">
        <v>35</v>
      </c>
      <c r="C37" s="154" t="s">
        <v>36</v>
      </c>
      <c r="D37" s="154"/>
      <c r="E37" s="154"/>
      <c r="F37" s="154"/>
      <c r="G37" s="155"/>
      <c r="H37" s="70"/>
      <c r="I37" s="134">
        <f>[2]Sheet1!$I$37</f>
        <v>15.523</v>
      </c>
      <c r="J37" s="71">
        <f>+I37</f>
        <v>15.523</v>
      </c>
      <c r="K37" s="72"/>
      <c r="L37" s="158"/>
      <c r="M37" s="73"/>
      <c r="N37" s="73"/>
    </row>
    <row r="38" spans="1:22" s="24" customFormat="1" ht="12.75" customHeight="1">
      <c r="B38" s="69" t="s">
        <v>37</v>
      </c>
      <c r="C38" s="154" t="s">
        <v>38</v>
      </c>
      <c r="D38" s="154"/>
      <c r="E38" s="154"/>
      <c r="F38" s="154"/>
      <c r="G38" s="156"/>
      <c r="H38" s="74"/>
      <c r="I38" s="134">
        <f>[2]Sheet1!$I$38</f>
        <v>100.55</v>
      </c>
      <c r="J38" s="71">
        <f>+I38+I33</f>
        <v>56.169999999999995</v>
      </c>
      <c r="K38" s="72"/>
      <c r="L38" s="159"/>
      <c r="M38" s="73"/>
      <c r="N38" s="73"/>
    </row>
    <row r="39" spans="1:22" s="24" customFormat="1" ht="12.75" customHeight="1">
      <c r="B39" s="69" t="s">
        <v>39</v>
      </c>
      <c r="C39" s="160"/>
      <c r="D39" s="160"/>
      <c r="E39" s="160"/>
      <c r="F39" s="160"/>
      <c r="G39" s="156"/>
      <c r="H39" s="74"/>
      <c r="I39" s="135"/>
      <c r="J39" s="71">
        <f>+I39</f>
        <v>0</v>
      </c>
      <c r="K39" s="72"/>
      <c r="L39" s="159"/>
    </row>
    <row r="40" spans="1:22" s="24" customFormat="1" ht="12.75" customHeight="1">
      <c r="B40" s="75" t="s">
        <v>40</v>
      </c>
      <c r="C40" s="160" t="s">
        <v>41</v>
      </c>
      <c r="D40" s="160"/>
      <c r="E40" s="160"/>
      <c r="F40" s="160"/>
      <c r="G40" s="156"/>
      <c r="H40" s="76"/>
      <c r="I40" s="77">
        <f>SUM(I37:I39)</f>
        <v>116.07299999999999</v>
      </c>
      <c r="J40" s="77">
        <f>SUM(J37:J39)</f>
        <v>71.692999999999998</v>
      </c>
      <c r="K40" s="78"/>
      <c r="L40" s="77">
        <f>J40</f>
        <v>71.692999999999998</v>
      </c>
      <c r="M40" s="73"/>
      <c r="N40" s="73"/>
      <c r="V40" s="24" t="s">
        <v>7</v>
      </c>
    </row>
    <row r="41" spans="1:22" s="24" customFormat="1" ht="12.75" customHeight="1">
      <c r="B41" s="79" t="s">
        <v>42</v>
      </c>
      <c r="C41" s="161"/>
      <c r="D41" s="161"/>
      <c r="E41" s="161"/>
      <c r="F41" s="161"/>
      <c r="G41" s="156"/>
      <c r="H41" s="80"/>
      <c r="I41" s="81">
        <f>I40/1000</f>
        <v>0.116073</v>
      </c>
      <c r="J41" s="81">
        <f>J40/1000</f>
        <v>7.1692999999999993E-2</v>
      </c>
      <c r="K41" s="78"/>
      <c r="L41" s="82">
        <f>L40/1000</f>
        <v>7.1692999999999993E-2</v>
      </c>
      <c r="M41" s="60"/>
      <c r="N41" s="60"/>
    </row>
    <row r="42" spans="1:22" s="24" customFormat="1" ht="12.75" customHeight="1">
      <c r="B42" s="83" t="s">
        <v>43</v>
      </c>
      <c r="C42" s="162" t="s">
        <v>44</v>
      </c>
      <c r="D42" s="162"/>
      <c r="E42" s="162"/>
      <c r="F42" s="162"/>
      <c r="G42" s="157"/>
      <c r="H42" s="80"/>
      <c r="I42" s="84">
        <f>I28</f>
        <v>0</v>
      </c>
      <c r="J42" s="84">
        <f>J28</f>
        <v>0.81813323730160814</v>
      </c>
      <c r="K42" s="78"/>
      <c r="L42" s="85">
        <f>L28</f>
        <v>0.18186676269839169</v>
      </c>
      <c r="M42" s="60"/>
      <c r="N42" s="60"/>
    </row>
    <row r="43" spans="1:22" s="24" customFormat="1" ht="12.75" customHeight="1">
      <c r="B43" s="75" t="s">
        <v>45</v>
      </c>
      <c r="C43" s="143" t="s">
        <v>46</v>
      </c>
      <c r="D43" s="143"/>
      <c r="E43" s="143"/>
      <c r="F43" s="143"/>
      <c r="G43" s="86">
        <f>I43+J43+L43</f>
        <v>7.1692999999999979E-2</v>
      </c>
      <c r="H43" s="87"/>
      <c r="I43" s="88">
        <f>I41*I42</f>
        <v>0</v>
      </c>
      <c r="J43" s="89">
        <f>J41*J42</f>
        <v>5.8654426181864186E-2</v>
      </c>
      <c r="K43" s="78"/>
      <c r="L43" s="90">
        <f>L41*L42</f>
        <v>1.3038573818135795E-2</v>
      </c>
      <c r="M43" s="60"/>
      <c r="N43" s="60"/>
    </row>
    <row r="44" spans="1:22" s="24" customFormat="1" thickBot="1">
      <c r="A44" s="48"/>
      <c r="B44" s="48"/>
      <c r="C44" s="48"/>
      <c r="D44" s="48"/>
      <c r="E44" s="48"/>
      <c r="F44" s="48"/>
      <c r="G44" s="48"/>
      <c r="H44" s="48"/>
      <c r="I44" s="48"/>
      <c r="J44" s="48"/>
      <c r="K44" s="48"/>
      <c r="L44" s="48"/>
      <c r="M44" s="48"/>
      <c r="N44" s="48"/>
      <c r="O44" s="48"/>
    </row>
    <row r="45" spans="1:22" s="24" customFormat="1" ht="13.8"/>
    <row r="46" spans="1:22" s="24" customFormat="1" ht="15.6">
      <c r="A46" s="57" t="s">
        <v>47</v>
      </c>
      <c r="B46" s="15" t="s">
        <v>48</v>
      </c>
    </row>
    <row r="47" spans="1:22" s="24" customFormat="1" ht="13.8">
      <c r="B47" s="91" t="s">
        <v>49</v>
      </c>
    </row>
    <row r="48" spans="1:22" s="24" customFormat="1" ht="13.8">
      <c r="B48" s="16"/>
    </row>
    <row r="49" spans="2:15" s="24" customFormat="1" ht="15.6">
      <c r="B49" s="92" t="s">
        <v>50</v>
      </c>
      <c r="C49" s="1"/>
      <c r="D49" s="1"/>
      <c r="E49" s="1"/>
      <c r="F49" s="144">
        <v>2017</v>
      </c>
      <c r="G49" s="145"/>
      <c r="H49" s="145"/>
      <c r="I49" s="145"/>
      <c r="J49" s="145"/>
      <c r="K49" s="144">
        <v>2018</v>
      </c>
      <c r="L49" s="145"/>
      <c r="M49" s="145"/>
      <c r="N49" s="145"/>
      <c r="O49" s="145"/>
    </row>
    <row r="50" spans="2:15" s="24" customFormat="1">
      <c r="B50" s="93" t="s">
        <v>51</v>
      </c>
      <c r="C50" s="94"/>
      <c r="D50" s="95" t="s">
        <v>52</v>
      </c>
      <c r="E50" s="95" t="s">
        <v>53</v>
      </c>
      <c r="F50" s="95" t="s">
        <v>54</v>
      </c>
      <c r="G50" s="95" t="s">
        <v>55</v>
      </c>
      <c r="H50" s="95" t="s">
        <v>56</v>
      </c>
      <c r="I50" s="95" t="s">
        <v>57</v>
      </c>
      <c r="J50" s="95" t="s">
        <v>58</v>
      </c>
      <c r="K50" s="95" t="s">
        <v>54</v>
      </c>
      <c r="L50" s="95" t="s">
        <v>55</v>
      </c>
      <c r="M50" s="95" t="s">
        <v>56</v>
      </c>
      <c r="N50" s="95" t="s">
        <v>57</v>
      </c>
      <c r="O50" s="95" t="s">
        <v>58</v>
      </c>
    </row>
    <row r="51" spans="2:15" s="24" customFormat="1">
      <c r="B51" s="30" t="s">
        <v>79</v>
      </c>
      <c r="C51" s="96"/>
      <c r="D51" s="96">
        <v>4035</v>
      </c>
      <c r="E51" s="96">
        <v>4705</v>
      </c>
      <c r="F51" s="97">
        <v>97579274</v>
      </c>
      <c r="G51" s="130">
        <f>'[3]Summary Tables'!$H$31</f>
        <v>187446.01925458995</v>
      </c>
      <c r="H51" s="99">
        <f>+I37/1000</f>
        <v>1.5523E-2</v>
      </c>
      <c r="I51" s="98">
        <f>[4]Sheet1!$E$16/1000</f>
        <v>7.0761858612596901E-2</v>
      </c>
      <c r="J51" s="100">
        <f>(+F51*H51)+(G51*I51)</f>
        <v>1527987.0990139875</v>
      </c>
      <c r="K51" s="97">
        <v>96934402.822442621</v>
      </c>
      <c r="L51" s="130">
        <f>'[3]Summary Tables'!$E$41</f>
        <v>168200.55636889234</v>
      </c>
      <c r="M51" s="99">
        <f>+I37/1000</f>
        <v>1.5523E-2</v>
      </c>
      <c r="N51" s="98">
        <f>[4]Sheet1!$E$16/1000</f>
        <v>7.0761858612596901E-2</v>
      </c>
      <c r="O51" s="100">
        <f>(+K51*M51)+(L51*N51)</f>
        <v>1516614.9190011127</v>
      </c>
    </row>
    <row r="52" spans="2:15" s="24" customFormat="1">
      <c r="B52" s="30" t="str">
        <f>+B21</f>
        <v>Intermediate</v>
      </c>
      <c r="C52" s="96"/>
      <c r="D52" s="96">
        <v>4010</v>
      </c>
      <c r="E52" s="96">
        <v>4705</v>
      </c>
      <c r="F52" s="97"/>
      <c r="G52" s="98"/>
      <c r="H52" s="99">
        <f>+I37/1000</f>
        <v>1.5523E-2</v>
      </c>
      <c r="I52" s="98"/>
      <c r="J52" s="100">
        <f>(+F52*H52)+(G52*I52)</f>
        <v>0</v>
      </c>
      <c r="K52" s="97"/>
      <c r="L52" s="98"/>
      <c r="M52" s="99">
        <f>+I37/1000</f>
        <v>1.5523E-2</v>
      </c>
      <c r="N52" s="98"/>
      <c r="O52" s="100">
        <f>(+K52*M52)+(L52*N52)</f>
        <v>0</v>
      </c>
    </row>
    <row r="53" spans="2:15" s="24" customFormat="1">
      <c r="B53" s="1"/>
      <c r="C53" s="1"/>
      <c r="D53" s="1"/>
      <c r="E53" s="1"/>
      <c r="F53" s="101">
        <f>+F51+F52</f>
        <v>97579274</v>
      </c>
      <c r="G53" s="96">
        <f>+G51+G52</f>
        <v>187446.01925458995</v>
      </c>
      <c r="H53" s="96"/>
      <c r="I53" s="96"/>
      <c r="J53" s="100">
        <f>+J51+J52</f>
        <v>1527987.0990139875</v>
      </c>
      <c r="K53" s="101"/>
      <c r="L53" s="96"/>
      <c r="M53" s="96"/>
      <c r="N53" s="96"/>
      <c r="O53" s="100">
        <f>+O51+O52</f>
        <v>1516614.9190011127</v>
      </c>
    </row>
    <row r="54" spans="2:15" s="24" customFormat="1" ht="13.8"/>
    <row r="55" spans="2:15" ht="15.6">
      <c r="B55" s="92" t="s">
        <v>59</v>
      </c>
      <c r="F55" s="136">
        <v>2017</v>
      </c>
      <c r="G55" s="136"/>
      <c r="H55" s="136"/>
      <c r="I55" s="136"/>
      <c r="J55" s="136"/>
      <c r="K55" s="136">
        <v>2018</v>
      </c>
      <c r="L55" s="136"/>
      <c r="M55" s="136"/>
      <c r="N55" s="136"/>
      <c r="O55" s="136"/>
    </row>
    <row r="56" spans="2:15" s="104" customFormat="1" ht="13.2">
      <c r="B56" s="93" t="s">
        <v>51</v>
      </c>
      <c r="C56" s="95"/>
      <c r="D56" s="95" t="s">
        <v>52</v>
      </c>
      <c r="E56" s="102" t="s">
        <v>53</v>
      </c>
      <c r="F56" s="103" t="s">
        <v>7</v>
      </c>
      <c r="G56" s="103"/>
      <c r="H56" s="103"/>
      <c r="I56" s="103"/>
      <c r="J56" s="103"/>
      <c r="K56" s="103"/>
      <c r="L56" s="103"/>
      <c r="M56" s="103"/>
      <c r="N56" s="103"/>
      <c r="O56" s="103"/>
    </row>
    <row r="57" spans="2:15">
      <c r="B57" s="105" t="s">
        <v>60</v>
      </c>
      <c r="C57" s="94" t="s">
        <v>61</v>
      </c>
      <c r="D57" s="94" t="s">
        <v>62</v>
      </c>
      <c r="E57" s="106" t="s">
        <v>62</v>
      </c>
      <c r="F57" s="107" t="s">
        <v>63</v>
      </c>
      <c r="G57" s="108" t="s">
        <v>64</v>
      </c>
      <c r="H57" s="146"/>
      <c r="I57" s="147"/>
      <c r="J57" s="108" t="s">
        <v>58</v>
      </c>
      <c r="K57" s="108" t="s">
        <v>63</v>
      </c>
      <c r="L57" s="108" t="s">
        <v>64</v>
      </c>
      <c r="M57" s="146"/>
      <c r="N57" s="147"/>
      <c r="O57" s="107" t="s">
        <v>58</v>
      </c>
    </row>
    <row r="58" spans="2:15">
      <c r="B58" s="30" t="str">
        <f t="shared" ref="B58:B66" si="6">B18</f>
        <v>Residential</v>
      </c>
      <c r="C58" s="96" t="s">
        <v>65</v>
      </c>
      <c r="D58" s="96">
        <v>4006</v>
      </c>
      <c r="E58" s="109">
        <v>4705</v>
      </c>
      <c r="F58" s="110">
        <v>133493324</v>
      </c>
      <c r="G58" s="131">
        <f>G43</f>
        <v>7.1692999999999979E-2</v>
      </c>
      <c r="H58" s="148"/>
      <c r="I58" s="149"/>
      <c r="J58" s="111">
        <f t="shared" ref="J58:J66" si="7">F58*G58</f>
        <v>9570536.8775319979</v>
      </c>
      <c r="K58" s="110">
        <v>132507177.59212019</v>
      </c>
      <c r="L58" s="112">
        <f>IFERROR(G43,0)</f>
        <v>7.1692999999999979E-2</v>
      </c>
      <c r="M58" s="148"/>
      <c r="N58" s="149"/>
      <c r="O58" s="111">
        <f t="shared" ref="O58:O66" si="8">ROUND(K58*L58,0)</f>
        <v>9499837</v>
      </c>
    </row>
    <row r="59" spans="2:15">
      <c r="B59" s="30" t="str">
        <f t="shared" si="6"/>
        <v>GS &lt; 50</v>
      </c>
      <c r="C59" s="96" t="s">
        <v>65</v>
      </c>
      <c r="D59" s="96">
        <v>4010</v>
      </c>
      <c r="E59" s="109">
        <v>4705</v>
      </c>
      <c r="F59" s="110">
        <v>49122764</v>
      </c>
      <c r="G59" s="113">
        <f>+$G$58</f>
        <v>7.1692999999999979E-2</v>
      </c>
      <c r="H59" s="148"/>
      <c r="I59" s="149"/>
      <c r="J59" s="111">
        <f t="shared" si="7"/>
        <v>3521758.3194519989</v>
      </c>
      <c r="K59" s="110">
        <v>48252843.353863753</v>
      </c>
      <c r="L59" s="112">
        <f>L58</f>
        <v>7.1692999999999979E-2</v>
      </c>
      <c r="M59" s="148"/>
      <c r="N59" s="149"/>
      <c r="O59" s="111">
        <f t="shared" si="8"/>
        <v>3459391</v>
      </c>
    </row>
    <row r="60" spans="2:15">
      <c r="B60" s="30" t="str">
        <f t="shared" si="6"/>
        <v>GS &gt; 50</v>
      </c>
      <c r="C60" s="96" t="s">
        <v>65</v>
      </c>
      <c r="D60" s="96">
        <v>4035</v>
      </c>
      <c r="E60" s="109">
        <v>4705</v>
      </c>
      <c r="F60" s="110">
        <v>98161157.680000007</v>
      </c>
      <c r="G60" s="113">
        <f t="shared" ref="G60:G66" si="9">+$G$58</f>
        <v>7.1692999999999979E-2</v>
      </c>
      <c r="H60" s="148"/>
      <c r="I60" s="149"/>
      <c r="J60" s="111">
        <f t="shared" si="7"/>
        <v>7037467.8775522383</v>
      </c>
      <c r="K60" s="110">
        <v>86975191.463764265</v>
      </c>
      <c r="L60" s="112">
        <f t="shared" ref="L60:L66" si="10">L59</f>
        <v>7.1692999999999979E-2</v>
      </c>
      <c r="M60" s="148"/>
      <c r="N60" s="149"/>
      <c r="O60" s="111">
        <f t="shared" si="8"/>
        <v>6235512</v>
      </c>
    </row>
    <row r="61" spans="2:15">
      <c r="B61" s="30" t="str">
        <f t="shared" si="6"/>
        <v>Intermediate</v>
      </c>
      <c r="C61" s="96" t="s">
        <v>65</v>
      </c>
      <c r="D61" s="96">
        <v>4010</v>
      </c>
      <c r="E61" s="109">
        <v>4705</v>
      </c>
      <c r="F61" s="110">
        <v>80816478</v>
      </c>
      <c r="G61" s="113">
        <f t="shared" si="9"/>
        <v>7.1692999999999979E-2</v>
      </c>
      <c r="H61" s="148"/>
      <c r="I61" s="149"/>
      <c r="J61" s="111">
        <f t="shared" si="7"/>
        <v>5793975.757253998</v>
      </c>
      <c r="K61" s="110">
        <v>74898208.980913669</v>
      </c>
      <c r="L61" s="112">
        <f t="shared" si="10"/>
        <v>7.1692999999999979E-2</v>
      </c>
      <c r="M61" s="148"/>
      <c r="N61" s="149"/>
      <c r="O61" s="111">
        <f t="shared" si="8"/>
        <v>5369677</v>
      </c>
    </row>
    <row r="62" spans="2:15">
      <c r="B62" s="30" t="str">
        <f t="shared" si="6"/>
        <v>Large User</v>
      </c>
      <c r="C62" s="96" t="s">
        <v>65</v>
      </c>
      <c r="D62" s="96">
        <v>4025</v>
      </c>
      <c r="E62" s="109">
        <v>4705</v>
      </c>
      <c r="F62" s="110"/>
      <c r="G62" s="113">
        <f t="shared" si="9"/>
        <v>7.1692999999999979E-2</v>
      </c>
      <c r="H62" s="148"/>
      <c r="I62" s="149"/>
      <c r="J62" s="111">
        <f t="shared" si="7"/>
        <v>0</v>
      </c>
      <c r="K62" s="110"/>
      <c r="L62" s="112">
        <f t="shared" si="10"/>
        <v>7.1692999999999979E-2</v>
      </c>
      <c r="M62" s="148"/>
      <c r="N62" s="149"/>
      <c r="O62" s="111">
        <f t="shared" si="8"/>
        <v>0</v>
      </c>
    </row>
    <row r="63" spans="2:15">
      <c r="B63" s="30" t="str">
        <f t="shared" si="6"/>
        <v>Embedded Distributor</v>
      </c>
      <c r="C63" s="96" t="s">
        <v>65</v>
      </c>
      <c r="D63" s="96">
        <v>4025</v>
      </c>
      <c r="E63" s="109">
        <v>4705</v>
      </c>
      <c r="F63" s="110">
        <v>15763998</v>
      </c>
      <c r="G63" s="113">
        <f t="shared" si="9"/>
        <v>7.1692999999999979E-2</v>
      </c>
      <c r="H63" s="148"/>
      <c r="I63" s="149"/>
      <c r="J63" s="111">
        <f t="shared" si="7"/>
        <v>1130168.3086139997</v>
      </c>
      <c r="K63" s="110">
        <v>16296711.4375</v>
      </c>
      <c r="L63" s="112">
        <f t="shared" si="10"/>
        <v>7.1692999999999979E-2</v>
      </c>
      <c r="M63" s="148"/>
      <c r="N63" s="149"/>
      <c r="O63" s="111">
        <f t="shared" si="8"/>
        <v>1168360</v>
      </c>
    </row>
    <row r="64" spans="2:15">
      <c r="B64" s="30" t="str">
        <f t="shared" si="6"/>
        <v>Street Light</v>
      </c>
      <c r="C64" s="96" t="s">
        <v>65</v>
      </c>
      <c r="D64" s="96">
        <v>4025</v>
      </c>
      <c r="E64" s="109">
        <v>4705</v>
      </c>
      <c r="F64" s="110">
        <v>1925136</v>
      </c>
      <c r="G64" s="113">
        <f t="shared" si="9"/>
        <v>7.1692999999999979E-2</v>
      </c>
      <c r="H64" s="148"/>
      <c r="I64" s="149"/>
      <c r="J64" s="111">
        <f t="shared" si="7"/>
        <v>138018.77524799996</v>
      </c>
      <c r="K64" s="110">
        <v>1985669.2560900459</v>
      </c>
      <c r="L64" s="112">
        <f t="shared" si="10"/>
        <v>7.1692999999999979E-2</v>
      </c>
      <c r="M64" s="148"/>
      <c r="N64" s="149"/>
      <c r="O64" s="111">
        <f t="shared" si="8"/>
        <v>142359</v>
      </c>
    </row>
    <row r="65" spans="2:19">
      <c r="B65" s="30" t="str">
        <f t="shared" si="6"/>
        <v>Sentinel Light</v>
      </c>
      <c r="C65" s="96" t="s">
        <v>65</v>
      </c>
      <c r="D65" s="96">
        <v>4025</v>
      </c>
      <c r="E65" s="109">
        <v>4705</v>
      </c>
      <c r="F65" s="110">
        <v>227677.89999999982</v>
      </c>
      <c r="G65" s="113">
        <f t="shared" si="9"/>
        <v>7.1692999999999979E-2</v>
      </c>
      <c r="H65" s="148"/>
      <c r="I65" s="149"/>
      <c r="J65" s="111">
        <f t="shared" si="7"/>
        <v>16322.911684699982</v>
      </c>
      <c r="K65" s="110">
        <v>221513.9263015523</v>
      </c>
      <c r="L65" s="112">
        <f t="shared" si="10"/>
        <v>7.1692999999999979E-2</v>
      </c>
      <c r="M65" s="148"/>
      <c r="N65" s="149"/>
      <c r="O65" s="111">
        <f t="shared" si="8"/>
        <v>15881</v>
      </c>
    </row>
    <row r="66" spans="2:19">
      <c r="B66" s="30" t="str">
        <f t="shared" si="6"/>
        <v>USL</v>
      </c>
      <c r="C66" s="96" t="s">
        <v>65</v>
      </c>
      <c r="D66" s="96">
        <v>4025</v>
      </c>
      <c r="E66" s="109">
        <v>4705</v>
      </c>
      <c r="F66" s="110">
        <v>506808</v>
      </c>
      <c r="G66" s="113">
        <f t="shared" si="9"/>
        <v>7.1692999999999979E-2</v>
      </c>
      <c r="H66" s="148"/>
      <c r="I66" s="149"/>
      <c r="J66" s="111">
        <f t="shared" si="7"/>
        <v>36334.585943999991</v>
      </c>
      <c r="K66" s="110">
        <v>517596.61818665901</v>
      </c>
      <c r="L66" s="112">
        <f t="shared" si="10"/>
        <v>7.1692999999999979E-2</v>
      </c>
      <c r="M66" s="148"/>
      <c r="N66" s="149"/>
      <c r="O66" s="111">
        <f t="shared" si="8"/>
        <v>37108</v>
      </c>
      <c r="S66" s="114"/>
    </row>
    <row r="67" spans="2:19">
      <c r="B67" s="93" t="s">
        <v>24</v>
      </c>
      <c r="C67" s="115"/>
      <c r="D67" s="116"/>
      <c r="E67" s="117"/>
      <c r="F67" s="118">
        <f>SUM(F58:F66)</f>
        <v>380017343.57999998</v>
      </c>
      <c r="G67" s="119"/>
      <c r="H67" s="150"/>
      <c r="I67" s="151"/>
      <c r="J67" s="120">
        <f>SUM(J58:J66)</f>
        <v>27244583.41328093</v>
      </c>
      <c r="K67" s="118">
        <f>SUM(K58:K66)</f>
        <v>361654912.62874007</v>
      </c>
      <c r="L67" s="121"/>
      <c r="M67" s="150"/>
      <c r="N67" s="151"/>
      <c r="O67" s="120">
        <f>SUM(O58:O66)</f>
        <v>25928125</v>
      </c>
    </row>
    <row r="68" spans="2:19">
      <c r="B68" s="11"/>
      <c r="C68" s="122"/>
      <c r="D68" s="122"/>
      <c r="E68" s="122"/>
      <c r="F68" s="122"/>
      <c r="G68" s="122"/>
      <c r="H68" s="122"/>
      <c r="I68" s="122"/>
      <c r="J68" s="122"/>
      <c r="K68" s="122"/>
      <c r="L68" s="122"/>
      <c r="M68" s="122"/>
      <c r="N68" s="122"/>
      <c r="O68" s="122"/>
    </row>
    <row r="69" spans="2:19">
      <c r="I69" s="11"/>
      <c r="J69" s="11"/>
    </row>
    <row r="70" spans="2:19" ht="15.6">
      <c r="B70" s="92" t="s">
        <v>66</v>
      </c>
      <c r="F70" s="136">
        <v>2018</v>
      </c>
      <c r="G70" s="136"/>
      <c r="H70" s="136"/>
      <c r="I70" s="136"/>
      <c r="J70" s="136"/>
      <c r="K70" s="136">
        <v>2019</v>
      </c>
      <c r="L70" s="136"/>
      <c r="M70" s="136"/>
      <c r="N70" s="136"/>
      <c r="O70" s="136"/>
    </row>
    <row r="71" spans="2:19">
      <c r="B71" s="93" t="s">
        <v>51</v>
      </c>
      <c r="C71" s="95"/>
      <c r="D71" s="95" t="s">
        <v>52</v>
      </c>
      <c r="E71" s="102" t="s">
        <v>53</v>
      </c>
      <c r="F71" s="103" t="s">
        <v>7</v>
      </c>
      <c r="G71" s="103"/>
      <c r="H71" s="137"/>
      <c r="I71" s="138"/>
      <c r="J71" s="103"/>
      <c r="K71" s="103"/>
      <c r="L71" s="103"/>
      <c r="M71" s="137"/>
      <c r="N71" s="138"/>
      <c r="O71" s="103"/>
    </row>
    <row r="72" spans="2:19">
      <c r="B72" s="105" t="s">
        <v>60</v>
      </c>
      <c r="C72" s="94" t="s">
        <v>61</v>
      </c>
      <c r="D72" s="94" t="s">
        <v>62</v>
      </c>
      <c r="E72" s="106" t="s">
        <v>62</v>
      </c>
      <c r="F72" s="107" t="s">
        <v>63</v>
      </c>
      <c r="G72" s="108" t="s">
        <v>67</v>
      </c>
      <c r="H72" s="139"/>
      <c r="I72" s="140"/>
      <c r="J72" s="108" t="s">
        <v>58</v>
      </c>
      <c r="K72" s="108" t="s">
        <v>63</v>
      </c>
      <c r="L72" s="108" t="s">
        <v>67</v>
      </c>
      <c r="M72" s="139"/>
      <c r="N72" s="140"/>
      <c r="O72" s="107" t="s">
        <v>58</v>
      </c>
    </row>
    <row r="73" spans="2:19">
      <c r="B73" s="30" t="str">
        <f t="shared" ref="B73:B81" si="11">+B18</f>
        <v>Residential</v>
      </c>
      <c r="C73" s="96" t="s">
        <v>65</v>
      </c>
      <c r="D73" s="96">
        <v>4006</v>
      </c>
      <c r="E73" s="109">
        <v>4705</v>
      </c>
      <c r="F73" s="123">
        <f>+F58</f>
        <v>133493324</v>
      </c>
      <c r="G73" s="113">
        <f t="shared" ref="G73:G79" si="12">+J73/F73</f>
        <v>7.1692999999999979E-2</v>
      </c>
      <c r="H73" s="139"/>
      <c r="I73" s="140"/>
      <c r="J73" s="111">
        <f>+J58</f>
        <v>9570536.8775319979</v>
      </c>
      <c r="K73" s="123">
        <f>+K58</f>
        <v>132507177.59212019</v>
      </c>
      <c r="L73" s="124">
        <f t="shared" ref="L73:L79" si="13">+O73/K73</f>
        <v>7.1692999372774568E-2</v>
      </c>
      <c r="M73" s="139"/>
      <c r="N73" s="140"/>
      <c r="O73" s="111">
        <f>+O58</f>
        <v>9499837</v>
      </c>
      <c r="Q73" s="125"/>
      <c r="R73" s="125"/>
    </row>
    <row r="74" spans="2:19">
      <c r="B74" s="30" t="str">
        <f t="shared" si="11"/>
        <v>GS &lt; 50</v>
      </c>
      <c r="C74" s="96" t="s">
        <v>65</v>
      </c>
      <c r="D74" s="96">
        <v>4010</v>
      </c>
      <c r="E74" s="109">
        <v>4705</v>
      </c>
      <c r="F74" s="123">
        <f t="shared" ref="F74:F81" si="14">+F59</f>
        <v>49122764</v>
      </c>
      <c r="G74" s="113">
        <f t="shared" si="12"/>
        <v>7.1692999999999979E-2</v>
      </c>
      <c r="H74" s="139"/>
      <c r="I74" s="140"/>
      <c r="J74" s="111">
        <f>+J59</f>
        <v>3521758.3194519989</v>
      </c>
      <c r="K74" s="123">
        <f>+K59</f>
        <v>48252843.353863753</v>
      </c>
      <c r="L74" s="124">
        <f t="shared" si="13"/>
        <v>7.1692997957248789E-2</v>
      </c>
      <c r="M74" s="139"/>
      <c r="N74" s="140"/>
      <c r="O74" s="111">
        <f t="shared" ref="O74:O81" si="15">+O59</f>
        <v>3459391</v>
      </c>
      <c r="Q74" s="125"/>
      <c r="R74" s="125"/>
    </row>
    <row r="75" spans="2:19">
      <c r="B75" s="30" t="str">
        <f t="shared" si="11"/>
        <v>GS &gt; 50</v>
      </c>
      <c r="C75" s="96" t="s">
        <v>65</v>
      </c>
      <c r="D75" s="96">
        <v>4035</v>
      </c>
      <c r="E75" s="109">
        <v>4705</v>
      </c>
      <c r="F75" s="123">
        <f>+F60+F51</f>
        <v>195740431.68000001</v>
      </c>
      <c r="G75" s="124">
        <f t="shared" si="12"/>
        <v>4.3759252511352306E-2</v>
      </c>
      <c r="H75" s="139"/>
      <c r="I75" s="140"/>
      <c r="J75" s="111">
        <f>+J60+J51</f>
        <v>8565454.9765662253</v>
      </c>
      <c r="K75" s="123">
        <f>+K60+K51</f>
        <v>183909594.2862069</v>
      </c>
      <c r="L75" s="124">
        <f t="shared" si="13"/>
        <v>4.2151835248665531E-2</v>
      </c>
      <c r="M75" s="139"/>
      <c r="N75" s="140"/>
      <c r="O75" s="111">
        <f>+O60+O51</f>
        <v>7752126.9190011127</v>
      </c>
      <c r="Q75" s="125"/>
      <c r="R75" s="125"/>
    </row>
    <row r="76" spans="2:19">
      <c r="B76" s="30" t="str">
        <f t="shared" si="11"/>
        <v>Intermediate</v>
      </c>
      <c r="C76" s="96" t="s">
        <v>65</v>
      </c>
      <c r="D76" s="96">
        <v>4010</v>
      </c>
      <c r="E76" s="109">
        <v>4705</v>
      </c>
      <c r="F76" s="123">
        <f>+F61+F52</f>
        <v>80816478</v>
      </c>
      <c r="G76" s="124">
        <f t="shared" si="12"/>
        <v>7.1692999999999979E-2</v>
      </c>
      <c r="H76" s="139"/>
      <c r="I76" s="140"/>
      <c r="J76" s="111">
        <f>+J61+J52</f>
        <v>5793975.757253998</v>
      </c>
      <c r="K76" s="123">
        <f>+K61+K52</f>
        <v>74898208.980913669</v>
      </c>
      <c r="L76" s="124">
        <f t="shared" si="13"/>
        <v>7.1692996041712503E-2</v>
      </c>
      <c r="M76" s="139"/>
      <c r="N76" s="140"/>
      <c r="O76" s="111">
        <f>+O61+O52</f>
        <v>5369677</v>
      </c>
      <c r="Q76" s="125"/>
      <c r="R76" s="125"/>
    </row>
    <row r="77" spans="2:19">
      <c r="B77" s="30" t="str">
        <f t="shared" si="11"/>
        <v>Large User</v>
      </c>
      <c r="C77" s="96" t="s">
        <v>65</v>
      </c>
      <c r="D77" s="96">
        <v>4025</v>
      </c>
      <c r="E77" s="109">
        <v>4705</v>
      </c>
      <c r="F77" s="123">
        <f t="shared" si="14"/>
        <v>0</v>
      </c>
      <c r="G77" s="113" t="e">
        <f t="shared" si="12"/>
        <v>#DIV/0!</v>
      </c>
      <c r="H77" s="139"/>
      <c r="I77" s="140"/>
      <c r="J77" s="111">
        <f>+J62</f>
        <v>0</v>
      </c>
      <c r="K77" s="123">
        <f t="shared" ref="K77:K81" si="16">+K62</f>
        <v>0</v>
      </c>
      <c r="L77" s="124" t="e">
        <f t="shared" si="13"/>
        <v>#DIV/0!</v>
      </c>
      <c r="M77" s="139"/>
      <c r="N77" s="140"/>
      <c r="O77" s="111">
        <f t="shared" si="15"/>
        <v>0</v>
      </c>
      <c r="Q77" s="125"/>
      <c r="R77" s="125"/>
    </row>
    <row r="78" spans="2:19">
      <c r="B78" s="30" t="str">
        <f t="shared" si="11"/>
        <v>Embedded Distributor</v>
      </c>
      <c r="C78" s="96" t="s">
        <v>65</v>
      </c>
      <c r="D78" s="96">
        <v>4025</v>
      </c>
      <c r="E78" s="109">
        <v>4705</v>
      </c>
      <c r="F78" s="123">
        <f t="shared" si="14"/>
        <v>15763998</v>
      </c>
      <c r="G78" s="113">
        <f t="shared" si="12"/>
        <v>7.1692999999999979E-2</v>
      </c>
      <c r="H78" s="139"/>
      <c r="I78" s="140"/>
      <c r="J78" s="111">
        <f>+J63</f>
        <v>1130168.3086139997</v>
      </c>
      <c r="K78" s="123">
        <f t="shared" si="16"/>
        <v>16296711.4375</v>
      </c>
      <c r="L78" s="124">
        <f t="shared" si="13"/>
        <v>7.169299183340222E-2</v>
      </c>
      <c r="M78" s="139"/>
      <c r="N78" s="140"/>
      <c r="O78" s="111">
        <f t="shared" si="15"/>
        <v>1168360</v>
      </c>
      <c r="Q78" s="125"/>
      <c r="R78" s="125"/>
    </row>
    <row r="79" spans="2:19">
      <c r="B79" s="30" t="str">
        <f t="shared" si="11"/>
        <v>Street Light</v>
      </c>
      <c r="C79" s="96" t="s">
        <v>65</v>
      </c>
      <c r="D79" s="96">
        <v>4025</v>
      </c>
      <c r="E79" s="109">
        <v>4705</v>
      </c>
      <c r="F79" s="123">
        <f t="shared" si="14"/>
        <v>1925136</v>
      </c>
      <c r="G79" s="113">
        <f t="shared" si="12"/>
        <v>7.1692999999999979E-2</v>
      </c>
      <c r="H79" s="139"/>
      <c r="I79" s="140"/>
      <c r="J79" s="111">
        <f>+J64</f>
        <v>138018.77524799996</v>
      </c>
      <c r="K79" s="123">
        <f t="shared" si="16"/>
        <v>1985669.2560900459</v>
      </c>
      <c r="L79" s="124">
        <f t="shared" si="13"/>
        <v>7.169320850558826E-2</v>
      </c>
      <c r="M79" s="139"/>
      <c r="N79" s="140"/>
      <c r="O79" s="111">
        <f t="shared" si="15"/>
        <v>142359</v>
      </c>
      <c r="Q79" s="125"/>
      <c r="R79" s="125"/>
    </row>
    <row r="80" spans="2:19">
      <c r="B80" s="30" t="str">
        <f t="shared" si="11"/>
        <v>Sentinel Light</v>
      </c>
      <c r="C80" s="96" t="s">
        <v>65</v>
      </c>
      <c r="D80" s="96">
        <v>4025</v>
      </c>
      <c r="E80" s="109">
        <v>4705</v>
      </c>
      <c r="F80" s="123">
        <f t="shared" si="14"/>
        <v>227677.89999999982</v>
      </c>
      <c r="G80" s="113">
        <v>0</v>
      </c>
      <c r="H80" s="139"/>
      <c r="I80" s="140"/>
      <c r="J80" s="111">
        <f>+J65</f>
        <v>16322.911684699982</v>
      </c>
      <c r="K80" s="123">
        <f t="shared" si="16"/>
        <v>221513.9263015523</v>
      </c>
      <c r="L80" s="124">
        <v>0</v>
      </c>
      <c r="M80" s="139"/>
      <c r="N80" s="140"/>
      <c r="O80" s="111">
        <f t="shared" si="15"/>
        <v>15881</v>
      </c>
      <c r="Q80" s="125"/>
      <c r="R80" s="125"/>
    </row>
    <row r="81" spans="1:18">
      <c r="B81" s="30" t="str">
        <f t="shared" si="11"/>
        <v>USL</v>
      </c>
      <c r="C81" s="96" t="s">
        <v>65</v>
      </c>
      <c r="D81" s="96">
        <v>4025</v>
      </c>
      <c r="E81" s="109">
        <v>4705</v>
      </c>
      <c r="F81" s="123">
        <f t="shared" si="14"/>
        <v>506808</v>
      </c>
      <c r="G81" s="113">
        <v>0</v>
      </c>
      <c r="H81" s="139"/>
      <c r="I81" s="140"/>
      <c r="J81" s="111">
        <f>+J66</f>
        <v>36334.585943999991</v>
      </c>
      <c r="K81" s="123">
        <f t="shared" si="16"/>
        <v>517596.61818665901</v>
      </c>
      <c r="L81" s="124">
        <v>0</v>
      </c>
      <c r="M81" s="139"/>
      <c r="N81" s="140"/>
      <c r="O81" s="111">
        <f t="shared" si="15"/>
        <v>37108</v>
      </c>
      <c r="Q81" s="125"/>
      <c r="R81" s="125"/>
    </row>
    <row r="82" spans="1:18">
      <c r="B82" s="93" t="s">
        <v>24</v>
      </c>
      <c r="C82" s="126"/>
      <c r="D82" s="95"/>
      <c r="E82" s="102"/>
      <c r="F82" s="118">
        <f>SUM(F73:F81)</f>
        <v>477596617.57999998</v>
      </c>
      <c r="G82" s="119"/>
      <c r="H82" s="141"/>
      <c r="I82" s="142"/>
      <c r="J82" s="120">
        <f>SUM(J73:J81)</f>
        <v>28772570.512294918</v>
      </c>
      <c r="K82" s="118">
        <f>SUM(K73:K81)</f>
        <v>458589315.45118272</v>
      </c>
      <c r="L82" s="121"/>
      <c r="M82" s="141"/>
      <c r="N82" s="142"/>
      <c r="O82" s="120">
        <f>SUM(O73:O81)</f>
        <v>27444739.919001114</v>
      </c>
      <c r="Q82" s="125"/>
      <c r="R82" s="125"/>
    </row>
    <row r="83" spans="1:18">
      <c r="H83" s="127"/>
    </row>
    <row r="84" spans="1:18">
      <c r="A84" s="1" t="s">
        <v>68</v>
      </c>
      <c r="G84" s="125"/>
      <c r="H84" s="125"/>
      <c r="I84" s="125"/>
      <c r="J84" s="125"/>
      <c r="K84" s="125"/>
    </row>
    <row r="85" spans="1:18">
      <c r="A85" s="1" t="s">
        <v>69</v>
      </c>
      <c r="G85" s="128"/>
      <c r="H85" s="128"/>
      <c r="K85" s="128"/>
    </row>
    <row r="87" spans="1:18">
      <c r="K87" s="125"/>
    </row>
    <row r="88" spans="1:18">
      <c r="K88" s="125"/>
    </row>
    <row r="89" spans="1:18">
      <c r="K89" s="129"/>
    </row>
    <row r="91" spans="1:18">
      <c r="K91" s="127"/>
    </row>
  </sheetData>
  <mergeCells count="46">
    <mergeCell ref="A2:F3"/>
    <mergeCell ref="B9:S9"/>
    <mergeCell ref="A10:O10"/>
    <mergeCell ref="D13:O13"/>
    <mergeCell ref="I15:K15"/>
    <mergeCell ref="L15:L16"/>
    <mergeCell ref="M15:N15"/>
    <mergeCell ref="D16:E16"/>
    <mergeCell ref="D27:E27"/>
    <mergeCell ref="D17:E17"/>
    <mergeCell ref="I17:K17"/>
    <mergeCell ref="D18:E18"/>
    <mergeCell ref="D19:E19"/>
    <mergeCell ref="D20:E20"/>
    <mergeCell ref="D21:E21"/>
    <mergeCell ref="D22:E22"/>
    <mergeCell ref="D23:E23"/>
    <mergeCell ref="D24:E24"/>
    <mergeCell ref="D25:E25"/>
    <mergeCell ref="D26:E26"/>
    <mergeCell ref="D28:E28"/>
    <mergeCell ref="I32:J32"/>
    <mergeCell ref="C33:F33"/>
    <mergeCell ref="G33:H33"/>
    <mergeCell ref="I33:J33"/>
    <mergeCell ref="L35:L36"/>
    <mergeCell ref="C37:F37"/>
    <mergeCell ref="G37:G42"/>
    <mergeCell ref="L37:L39"/>
    <mergeCell ref="C38:F38"/>
    <mergeCell ref="C39:F39"/>
    <mergeCell ref="C40:F40"/>
    <mergeCell ref="C41:F41"/>
    <mergeCell ref="C42:F42"/>
    <mergeCell ref="I35:J35"/>
    <mergeCell ref="F70:J70"/>
    <mergeCell ref="K70:O70"/>
    <mergeCell ref="H71:I82"/>
    <mergeCell ref="M71:N82"/>
    <mergeCell ref="C43:F43"/>
    <mergeCell ref="F49:J49"/>
    <mergeCell ref="K49:O49"/>
    <mergeCell ref="F55:J55"/>
    <mergeCell ref="K55:O55"/>
    <mergeCell ref="H57:I67"/>
    <mergeCell ref="M57:N67"/>
  </mergeCells>
  <conditionalFormatting sqref="B1">
    <cfRule type="expression" dxfId="0" priority="1" stopIfTrue="1">
      <formula>LEFT($C1,6)="Macros"</formula>
    </cfRule>
  </conditionalFormatting>
  <dataValidations count="2">
    <dataValidation allowBlank="1" showInputMessage="1" showErrorMessage="1" promptTitle="Date Format" prompt="E.g:  &quot;August 1, 2011&quot;" sqref="N7"/>
    <dataValidation type="list" allowBlank="1" showInputMessage="1" showErrorMessage="1" sqref="C58:C66 C73:C81">
      <formula1>"kWh, kW,Customer"</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Graig Pettit</cp:lastModifiedBy>
  <dcterms:created xsi:type="dcterms:W3CDTF">2018-08-21T21:24:39Z</dcterms:created>
  <dcterms:modified xsi:type="dcterms:W3CDTF">2018-10-10T17:37:49Z</dcterms:modified>
</cp:coreProperties>
</file>