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47" windowWidth="18453" windowHeight="10480"/>
  </bookViews>
  <sheets>
    <sheet name="ERM" sheetId="1" r:id="rId1"/>
    <sheet name="Truck" sheetId="2" r:id="rId2"/>
    <sheet name="Service Renewal" sheetId="3" r:id="rId3"/>
    <sheet name="Summary" sheetId="4" r:id="rId4"/>
  </sheets>
  <definedNames>
    <definedName name="_xlnm.Print_Area" localSheetId="0">ERM!$A$1:$F$47</definedName>
    <definedName name="_xlnm.Print_Area" localSheetId="2">'Service Renewal'!$A$1:$F$48</definedName>
    <definedName name="_xlnm.Print_Area" localSheetId="1">Truck!$A$1:$F$48</definedName>
  </definedNames>
  <calcPr calcId="145621" calcOnSave="0"/>
</workbook>
</file>

<file path=xl/calcChain.xml><?xml version="1.0" encoding="utf-8"?>
<calcChain xmlns="http://schemas.openxmlformats.org/spreadsheetml/2006/main">
  <c r="D21" i="4" l="1"/>
  <c r="D15" i="4" l="1"/>
  <c r="D14" i="4"/>
  <c r="D13" i="4"/>
  <c r="D17" i="4" s="1"/>
  <c r="F24" i="2" l="1"/>
  <c r="E24" i="2"/>
  <c r="F23" i="2"/>
  <c r="F17" i="2"/>
  <c r="F24" i="1"/>
  <c r="E24" i="1"/>
  <c r="F23" i="1"/>
  <c r="F18" i="1"/>
  <c r="H18" i="1"/>
  <c r="I18" i="1"/>
  <c r="F17" i="1"/>
  <c r="E17" i="1"/>
  <c r="G17" i="3"/>
  <c r="G23" i="3"/>
  <c r="F23" i="3"/>
  <c r="F17" i="3"/>
  <c r="E17" i="3"/>
  <c r="F24" i="3" l="1"/>
  <c r="G30" i="3" l="1"/>
  <c r="F30" i="3"/>
  <c r="E30" i="3"/>
  <c r="E23" i="3"/>
  <c r="G42" i="3"/>
  <c r="F42" i="3"/>
  <c r="E42" i="3"/>
  <c r="E24" i="3" l="1"/>
  <c r="E36" i="3" s="1"/>
  <c r="F35" i="3"/>
  <c r="G35" i="3"/>
  <c r="E35" i="3"/>
  <c r="E18" i="3"/>
  <c r="E25" i="3" l="1"/>
  <c r="F22" i="3" s="1"/>
  <c r="F36" i="3" s="1"/>
  <c r="E19" i="3"/>
  <c r="F15" i="3"/>
  <c r="F25" i="3" l="1"/>
  <c r="G22" i="3" s="1"/>
  <c r="G24" i="3" s="1"/>
  <c r="G36" i="3" s="1"/>
  <c r="F18" i="3"/>
  <c r="G15" i="3" s="1"/>
  <c r="E45" i="3"/>
  <c r="E34" i="3" s="1"/>
  <c r="E37" i="3" s="1"/>
  <c r="E38" i="3" s="1"/>
  <c r="E39" i="3" s="1"/>
  <c r="E46" i="3" s="1"/>
  <c r="E44" i="3"/>
  <c r="E47" i="3" l="1"/>
  <c r="F19" i="3"/>
  <c r="F44" i="3" s="1"/>
  <c r="G18" i="3"/>
  <c r="G19" i="3" s="1"/>
  <c r="G25" i="3"/>
  <c r="F45" i="3" l="1"/>
  <c r="F34" i="3" s="1"/>
  <c r="F37" i="3" s="1"/>
  <c r="F38" i="3" s="1"/>
  <c r="F39" i="3" s="1"/>
  <c r="F46" i="3" s="1"/>
  <c r="G45" i="3"/>
  <c r="G34" i="3" s="1"/>
  <c r="G37" i="3" s="1"/>
  <c r="G38" i="3" s="1"/>
  <c r="G39" i="3" s="1"/>
  <c r="G46" i="3" s="1"/>
  <c r="G44" i="3"/>
  <c r="F47" i="3" l="1"/>
  <c r="G47" i="3"/>
  <c r="G30" i="2" l="1"/>
  <c r="F30" i="2"/>
  <c r="E30" i="2"/>
  <c r="E23" i="2"/>
  <c r="E36" i="2" s="1"/>
  <c r="E18" i="2"/>
  <c r="E19" i="2" s="1"/>
  <c r="G17" i="2"/>
  <c r="G42" i="2" s="1"/>
  <c r="F42" i="2"/>
  <c r="F35" i="2" s="1"/>
  <c r="E17" i="2"/>
  <c r="E42" i="2" s="1"/>
  <c r="E35" i="2" s="1"/>
  <c r="G35" i="2" l="1"/>
  <c r="E45" i="2"/>
  <c r="E34" i="2" s="1"/>
  <c r="E37" i="2" s="1"/>
  <c r="E38" i="2" s="1"/>
  <c r="E39" i="2" s="1"/>
  <c r="E46" i="2" s="1"/>
  <c r="E44" i="2"/>
  <c r="F15" i="2"/>
  <c r="E25" i="2"/>
  <c r="F22" i="2" s="1"/>
  <c r="G17" i="1"/>
  <c r="G30" i="1"/>
  <c r="F30" i="1"/>
  <c r="E47" i="2" l="1"/>
  <c r="F36" i="2"/>
  <c r="F18" i="2"/>
  <c r="G15" i="2" s="1"/>
  <c r="G42" i="1"/>
  <c r="G35" i="1" s="1"/>
  <c r="F42" i="1"/>
  <c r="F35" i="1" s="1"/>
  <c r="E30" i="1"/>
  <c r="F25" i="2" l="1"/>
  <c r="G22" i="2" s="1"/>
  <c r="G24" i="2" s="1"/>
  <c r="G36" i="2" s="1"/>
  <c r="F19" i="2"/>
  <c r="F45" i="2" s="1"/>
  <c r="F34" i="2" s="1"/>
  <c r="F37" i="2" s="1"/>
  <c r="F38" i="2" s="1"/>
  <c r="F39" i="2" s="1"/>
  <c r="F46" i="2" s="1"/>
  <c r="G18" i="2"/>
  <c r="G19" i="2"/>
  <c r="E23" i="1"/>
  <c r="E42" i="1"/>
  <c r="F44" i="2" l="1"/>
  <c r="F47" i="2" s="1"/>
  <c r="G44" i="2"/>
  <c r="G45" i="2"/>
  <c r="G34" i="2" s="1"/>
  <c r="G37" i="2" s="1"/>
  <c r="G38" i="2" s="1"/>
  <c r="G39" i="2" s="1"/>
  <c r="G46" i="2" s="1"/>
  <c r="G25" i="2"/>
  <c r="E36" i="1"/>
  <c r="E25" i="1"/>
  <c r="F22" i="1" s="1"/>
  <c r="E18" i="1"/>
  <c r="F15" i="1" s="1"/>
  <c r="E19" i="1"/>
  <c r="E45" i="1" s="1"/>
  <c r="E34" i="1" s="1"/>
  <c r="E35" i="1"/>
  <c r="G47" i="2" l="1"/>
  <c r="E37" i="1"/>
  <c r="E38" i="1" s="1"/>
  <c r="E39" i="1" s="1"/>
  <c r="E46" i="1" s="1"/>
  <c r="E44" i="1"/>
  <c r="F19" i="1"/>
  <c r="F44" i="1" s="1"/>
  <c r="G15" i="1"/>
  <c r="F36" i="1"/>
  <c r="G18" i="1" l="1"/>
  <c r="G19" i="1" s="1"/>
  <c r="F45" i="1"/>
  <c r="F34" i="1" s="1"/>
  <c r="F37" i="1" s="1"/>
  <c r="F38" i="1" s="1"/>
  <c r="F39" i="1" s="1"/>
  <c r="F46" i="1" s="1"/>
  <c r="F47" i="1" s="1"/>
  <c r="E47" i="1"/>
  <c r="F25" i="1"/>
  <c r="G22" i="1" s="1"/>
  <c r="G24" i="1" s="1"/>
  <c r="G36" i="1" s="1"/>
  <c r="G45" i="1" l="1"/>
  <c r="G34" i="1" s="1"/>
  <c r="G37" i="1" s="1"/>
  <c r="G44" i="1"/>
  <c r="G25" i="1"/>
  <c r="G38" i="1" l="1"/>
  <c r="G39" i="1" s="1"/>
  <c r="G46" i="1" s="1"/>
  <c r="G47" i="1" s="1"/>
</calcChain>
</file>

<file path=xl/comments1.xml><?xml version="1.0" encoding="utf-8"?>
<comments xmlns="http://schemas.openxmlformats.org/spreadsheetml/2006/main">
  <authors>
    <author>Murphy,Randy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 spent in general for the year in the amount of 337,740; 181110 allocated to trucks; remainder to ERM</t>
        </r>
      </text>
    </comment>
  </commentList>
</comments>
</file>

<file path=xl/comments2.xml><?xml version="1.0" encoding="utf-8"?>
<comments xmlns="http://schemas.openxmlformats.org/spreadsheetml/2006/main">
  <authors>
    <author>Murphy,Randy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Murphy,Randy:</t>
        </r>
        <r>
          <rPr>
            <sz val="9"/>
            <color indexed="81"/>
            <rFont val="Tahoma"/>
            <family val="2"/>
          </rPr>
          <t xml:space="preserve">
overspent in general in 2017 by $337,740; $181,110 allocated to truck; remainder to ERM</t>
        </r>
      </text>
    </comment>
  </commentList>
</comments>
</file>

<file path=xl/sharedStrings.xml><?xml version="1.0" encoding="utf-8"?>
<sst xmlns="http://schemas.openxmlformats.org/spreadsheetml/2006/main" count="129" uniqueCount="48">
  <si>
    <t>Kingston Hydro</t>
  </si>
  <si>
    <t>Capital Additions Variance Model</t>
  </si>
  <si>
    <t>Depreciation</t>
  </si>
  <si>
    <t>CCA Rate</t>
  </si>
  <si>
    <t>PILs Rate</t>
  </si>
  <si>
    <t>Deemed STD%</t>
  </si>
  <si>
    <t>Deemed LTD%</t>
  </si>
  <si>
    <t>Deemed Equity %</t>
  </si>
  <si>
    <t>Fixed Asset Continuity</t>
  </si>
  <si>
    <t>Opening Balance</t>
  </si>
  <si>
    <t>Depreciation (1/2 year)</t>
  </si>
  <si>
    <t>Closing Balance</t>
  </si>
  <si>
    <t>Average Balance (Rate Base)</t>
  </si>
  <si>
    <t>UCC Continuity</t>
  </si>
  <si>
    <t>Capex Variance</t>
  </si>
  <si>
    <t>CCA</t>
  </si>
  <si>
    <t>Cost of Capital</t>
  </si>
  <si>
    <t>Short-Term Debt</t>
  </si>
  <si>
    <t>Long-Term Debt Rate</t>
  </si>
  <si>
    <t>Weighted Debt Rate</t>
  </si>
  <si>
    <t>Equity</t>
  </si>
  <si>
    <t>Revenue Requirement ("RR")</t>
  </si>
  <si>
    <t>Cost of Capital:</t>
  </si>
  <si>
    <t xml:space="preserve">  Debt</t>
  </si>
  <si>
    <t xml:space="preserve">  Equity</t>
  </si>
  <si>
    <t>PILS Gross-up</t>
  </si>
  <si>
    <t>Annual RR Variance</t>
  </si>
  <si>
    <t>Depreciation Years</t>
  </si>
  <si>
    <t>PILS Calcualtion</t>
  </si>
  <si>
    <t>Cost of Equity Capital</t>
  </si>
  <si>
    <t>Deduct CCA</t>
  </si>
  <si>
    <t>Add Depreciation</t>
  </si>
  <si>
    <t>PILs Income</t>
  </si>
  <si>
    <t>PILS before Gross-Up</t>
  </si>
  <si>
    <t>Pils Grossed Up</t>
  </si>
  <si>
    <t>General Plant - ERM Software</t>
  </si>
  <si>
    <t>Deferred to 2017</t>
  </si>
  <si>
    <t>General Plant - Truck</t>
  </si>
  <si>
    <t>Not received/in service until 2017</t>
  </si>
  <si>
    <t>System Renewal/Service</t>
  </si>
  <si>
    <t>2016 and 2017 underspending</t>
  </si>
  <si>
    <t>ERM</t>
  </si>
  <si>
    <t>Truck</t>
  </si>
  <si>
    <t>Services Renewal</t>
  </si>
  <si>
    <t xml:space="preserve">Total </t>
  </si>
  <si>
    <t>150.140117.</t>
  </si>
  <si>
    <t>150.660035.8125.49800</t>
  </si>
  <si>
    <t>2017 Capital Additions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</si>
</sst>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5" fontId="0" fillId="0" borderId="0" xfId="2" applyNumberFormat="1" applyFont="1"/>
    <xf numFmtId="166" fontId="0" fillId="0" borderId="0" xfId="1" applyNumberFormat="1" applyFont="1"/>
    <xf numFmtId="166" fontId="0" fillId="0" borderId="0" xfId="0" applyNumberFormat="1"/>
    <xf numFmtId="166" fontId="0" fillId="0" borderId="1" xfId="1" applyNumberFormat="1" applyFont="1" applyBorder="1"/>
    <xf numFmtId="166" fontId="0" fillId="0" borderId="2" xfId="1" applyNumberFormat="1" applyFont="1" applyBorder="1"/>
    <xf numFmtId="166" fontId="0" fillId="0" borderId="3" xfId="1" applyNumberFormat="1" applyFont="1" applyBorder="1"/>
    <xf numFmtId="10" fontId="0" fillId="0" borderId="0" xfId="2" applyNumberFormat="1" applyFont="1"/>
    <xf numFmtId="10" fontId="0" fillId="0" borderId="0" xfId="2" applyNumberFormat="1" applyFont="1" applyFill="1" applyBorder="1" applyProtection="1"/>
    <xf numFmtId="166" fontId="0" fillId="0" borderId="1" xfId="0" applyNumberFormat="1" applyBorder="1"/>
    <xf numFmtId="166" fontId="2" fillId="0" borderId="4" xfId="0" applyNumberFormat="1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0" fillId="2" borderId="0" xfId="1" applyNumberFormat="1" applyFont="1" applyFill="1"/>
    <xf numFmtId="9" fontId="0" fillId="2" borderId="0" xfId="2" applyFont="1" applyFill="1"/>
    <xf numFmtId="166" fontId="0" fillId="0" borderId="0" xfId="1" applyNumberFormat="1" applyFont="1" applyFill="1"/>
    <xf numFmtId="164" fontId="0" fillId="0" borderId="1" xfId="1" applyNumberFormat="1" applyFont="1" applyBorder="1"/>
    <xf numFmtId="166" fontId="2" fillId="2" borderId="4" xfId="0" applyNumberFormat="1" applyFont="1" applyFill="1" applyBorder="1"/>
    <xf numFmtId="43" fontId="0" fillId="0" borderId="0" xfId="1" applyFont="1"/>
    <xf numFmtId="0" fontId="0" fillId="0" borderId="5" xfId="0" applyBorder="1"/>
    <xf numFmtId="0" fontId="0" fillId="0" borderId="6" xfId="0" applyBorder="1"/>
    <xf numFmtId="43" fontId="0" fillId="0" borderId="6" xfId="1" applyFont="1" applyBorder="1"/>
    <xf numFmtId="43" fontId="0" fillId="0" borderId="7" xfId="1" applyFont="1" applyBorder="1"/>
    <xf numFmtId="0" fontId="0" fillId="0" borderId="8" xfId="0" applyBorder="1"/>
    <xf numFmtId="0" fontId="0" fillId="0" borderId="0" xfId="0" applyBorder="1"/>
    <xf numFmtId="43" fontId="0" fillId="0" borderId="0" xfId="1" applyFont="1" applyBorder="1"/>
    <xf numFmtId="43" fontId="0" fillId="0" borderId="9" xfId="1" applyFont="1" applyBorder="1"/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43" fontId="0" fillId="0" borderId="12" xfId="1" applyFont="1" applyBorder="1"/>
    <xf numFmtId="0" fontId="0" fillId="3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37303</xdr:colOff>
      <xdr:row>9</xdr:row>
      <xdr:rowOff>161738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80953" cy="1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G2" sqref="G2"/>
    </sheetView>
  </sheetViews>
  <sheetFormatPr defaultRowHeight="15.35" x14ac:dyDescent="0.3"/>
  <cols>
    <col min="1" max="1" width="26" customWidth="1"/>
    <col min="5" max="6" width="12.33203125" bestFit="1" customWidth="1"/>
    <col min="7" max="7" width="9.6640625" bestFit="1" customWidth="1"/>
    <col min="9" max="9" width="11.33203125" bestFit="1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35</v>
      </c>
    </row>
    <row r="4" spans="1:9" ht="15" x14ac:dyDescent="0.25">
      <c r="A4" t="s">
        <v>36</v>
      </c>
    </row>
    <row r="6" spans="1:9" ht="15" x14ac:dyDescent="0.25">
      <c r="A6" t="s">
        <v>27</v>
      </c>
      <c r="C6" s="14">
        <v>5</v>
      </c>
    </row>
    <row r="7" spans="1:9" ht="15" x14ac:dyDescent="0.25">
      <c r="A7" t="s">
        <v>3</v>
      </c>
      <c r="C7" s="15">
        <v>0.55000000000000004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-211886.1</v>
      </c>
      <c r="G15" s="3">
        <f>F18</f>
        <v>-70919.100000000006</v>
      </c>
    </row>
    <row r="16" spans="1:9" ht="15" x14ac:dyDescent="0.25">
      <c r="A16" t="s">
        <v>14</v>
      </c>
      <c r="E16" s="14">
        <v>-235429</v>
      </c>
      <c r="F16" s="3">
        <v>156630</v>
      </c>
      <c r="G16" s="3"/>
    </row>
    <row r="17" spans="1:9" ht="15" x14ac:dyDescent="0.25">
      <c r="A17" t="s">
        <v>10</v>
      </c>
      <c r="E17" s="17">
        <f>-E16/$C$6/2</f>
        <v>23542.9</v>
      </c>
      <c r="F17" s="17">
        <f>-F16/$C$6/2</f>
        <v>-15663</v>
      </c>
      <c r="G17" s="3">
        <f>-G16/C6/2</f>
        <v>0</v>
      </c>
    </row>
    <row r="18" spans="1:9" ht="15.85" thickBot="1" x14ac:dyDescent="0.3">
      <c r="A18" t="s">
        <v>11</v>
      </c>
      <c r="E18" s="6">
        <f>SUM(E15:E17)</f>
        <v>-211886.1</v>
      </c>
      <c r="F18" s="6">
        <f t="shared" ref="F18:I18" si="0">SUM(F15:F17)</f>
        <v>-70919.100000000006</v>
      </c>
      <c r="G18" s="6">
        <f t="shared" si="0"/>
        <v>-70919.100000000006</v>
      </c>
      <c r="H18" s="6">
        <f t="shared" si="0"/>
        <v>0</v>
      </c>
      <c r="I18" s="6">
        <f t="shared" si="0"/>
        <v>0</v>
      </c>
    </row>
    <row r="19" spans="1:9" ht="15.85" thickBot="1" x14ac:dyDescent="0.3">
      <c r="A19" t="s">
        <v>12</v>
      </c>
      <c r="E19" s="7">
        <f>E18/2</f>
        <v>-105943.05</v>
      </c>
      <c r="F19" s="7">
        <f>(F15+F18)/2</f>
        <v>-141402.6</v>
      </c>
      <c r="G19" s="7">
        <f>(G15+G18)/2</f>
        <v>-70919.100000000006</v>
      </c>
    </row>
    <row r="20" spans="1:9" ht="15" x14ac:dyDescent="0.25">
      <c r="E20" s="3"/>
      <c r="F20" s="3"/>
      <c r="G20" s="3"/>
    </row>
    <row r="21" spans="1:9" ht="15" x14ac:dyDescent="0.25">
      <c r="A21" s="1" t="s">
        <v>13</v>
      </c>
      <c r="E21" s="3"/>
      <c r="F21" s="3"/>
      <c r="G21" s="3"/>
    </row>
    <row r="22" spans="1:9" ht="15" x14ac:dyDescent="0.25">
      <c r="A22" t="s">
        <v>9</v>
      </c>
      <c r="E22" s="3">
        <v>0</v>
      </c>
      <c r="F22" s="3">
        <f>E25</f>
        <v>-170686.02499999999</v>
      </c>
      <c r="G22" s="3">
        <f>F25</f>
        <v>-57129.274999999994</v>
      </c>
    </row>
    <row r="23" spans="1:9" ht="15" x14ac:dyDescent="0.25">
      <c r="A23" t="s">
        <v>14</v>
      </c>
      <c r="E23" s="3">
        <f>E16</f>
        <v>-235429</v>
      </c>
      <c r="F23" s="3">
        <f>F16</f>
        <v>156630</v>
      </c>
      <c r="G23" s="3">
        <v>200000</v>
      </c>
    </row>
    <row r="24" spans="1:9" ht="15" x14ac:dyDescent="0.25">
      <c r="A24" t="s">
        <v>15</v>
      </c>
      <c r="E24" s="5">
        <f>-E23*$C$7/2</f>
        <v>64742.975000000006</v>
      </c>
      <c r="F24" s="5">
        <f>-F23*$C$7/2</f>
        <v>-43073.25</v>
      </c>
      <c r="G24" s="3">
        <f>G22*C7+G23*C7/2</f>
        <v>23578.898750000008</v>
      </c>
    </row>
    <row r="25" spans="1:9" ht="15.85" thickBot="1" x14ac:dyDescent="0.3">
      <c r="A25" t="s">
        <v>11</v>
      </c>
      <c r="E25" s="6">
        <f>SUM(E22:E24)</f>
        <v>-170686.02499999999</v>
      </c>
      <c r="F25" s="6">
        <f>SUM(F22:F24)</f>
        <v>-57129.274999999994</v>
      </c>
      <c r="G25" s="6">
        <f>SUM(G22:G24)</f>
        <v>166449.62375000003</v>
      </c>
    </row>
    <row r="27" spans="1:9" ht="15" x14ac:dyDescent="0.25">
      <c r="A27" s="1" t="s">
        <v>16</v>
      </c>
    </row>
    <row r="28" spans="1:9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9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9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9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-3894.4665179999997</v>
      </c>
      <c r="F34" s="3">
        <f>F45</f>
        <v>-5197.9595760000002</v>
      </c>
      <c r="G34" s="3">
        <f>G45</f>
        <v>-2606.986116</v>
      </c>
    </row>
    <row r="35" spans="1:7" x14ac:dyDescent="0.3">
      <c r="A35" t="s">
        <v>31</v>
      </c>
      <c r="E35" s="3">
        <f>E42</f>
        <v>-23542.9</v>
      </c>
      <c r="F35" s="3">
        <f>F42</f>
        <v>15663</v>
      </c>
      <c r="G35" s="3">
        <f>G42</f>
        <v>0</v>
      </c>
    </row>
    <row r="36" spans="1:7" x14ac:dyDescent="0.3">
      <c r="A36" t="s">
        <v>30</v>
      </c>
      <c r="E36" s="5">
        <f>E24</f>
        <v>64742.975000000006</v>
      </c>
      <c r="F36" s="5">
        <f>F24</f>
        <v>-43073.25</v>
      </c>
      <c r="G36" s="5">
        <f>G24</f>
        <v>23578.898750000008</v>
      </c>
    </row>
    <row r="37" spans="1:7" ht="16" thickBot="1" x14ac:dyDescent="0.35">
      <c r="A37" t="s">
        <v>32</v>
      </c>
      <c r="E37" s="6">
        <f>SUM(E34:E36)</f>
        <v>37305.608482000003</v>
      </c>
      <c r="F37" s="6">
        <f>SUM(F34:F36)</f>
        <v>-32608.209576000001</v>
      </c>
      <c r="G37" s="6">
        <f>SUM(G34:G36)</f>
        <v>20971.912634000008</v>
      </c>
    </row>
    <row r="38" spans="1:7" ht="16" thickBot="1" x14ac:dyDescent="0.35">
      <c r="A38" t="s">
        <v>33</v>
      </c>
      <c r="E38" s="7">
        <f>E37*C8</f>
        <v>9885.9862477300012</v>
      </c>
      <c r="F38" s="7">
        <f>F37*C8</f>
        <v>-8641.1755376400015</v>
      </c>
      <c r="G38" s="7">
        <f>G37*C8</f>
        <v>5557.5568480100019</v>
      </c>
    </row>
    <row r="39" spans="1:7" ht="16" thickBot="1" x14ac:dyDescent="0.35">
      <c r="A39" t="s">
        <v>34</v>
      </c>
      <c r="E39" s="7">
        <f>E38/(1-0.265)</f>
        <v>13450.321425482995</v>
      </c>
      <c r="F39" s="7">
        <f>F38/(1-0.265)</f>
        <v>-11756.701411755104</v>
      </c>
      <c r="G39" s="7">
        <f>G38/(1-0.265)</f>
        <v>7561.3018340272138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-23542.9</v>
      </c>
      <c r="F42" s="4">
        <f>-F17</f>
        <v>15663</v>
      </c>
      <c r="G42" s="4">
        <f>-G17</f>
        <v>0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-2390.0249395729884</v>
      </c>
      <c r="F44" s="4">
        <f>F19*F30*0.6</f>
        <v>-3189.4770456000006</v>
      </c>
      <c r="G44" s="4">
        <f>G19*G30*0.6</f>
        <v>-1603.6226892000002</v>
      </c>
    </row>
    <row r="45" spans="1:7" x14ac:dyDescent="0.3">
      <c r="A45" t="s">
        <v>24</v>
      </c>
      <c r="E45" s="4">
        <f>E19*E31*0.4</f>
        <v>-3894.4665179999997</v>
      </c>
      <c r="F45" s="4">
        <f>F19*F31*0.4</f>
        <v>-5197.9595760000002</v>
      </c>
      <c r="G45" s="4">
        <f>G19*G31*0.4</f>
        <v>-2606.986116</v>
      </c>
    </row>
    <row r="46" spans="1:7" x14ac:dyDescent="0.3">
      <c r="A46" t="s">
        <v>25</v>
      </c>
      <c r="E46" s="10">
        <f>E39</f>
        <v>13450.321425482995</v>
      </c>
      <c r="F46" s="10">
        <f>F39</f>
        <v>-11756.701411755104</v>
      </c>
      <c r="G46" s="10">
        <f>G39</f>
        <v>7561.3018340272138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-16377.070032089996</v>
      </c>
      <c r="F47" s="18">
        <f>SUM(F42:F46)</f>
        <v>-4481.1380333551051</v>
      </c>
      <c r="G47" s="11">
        <f>SUM(G42:G46)</f>
        <v>3350.6930288272133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16" workbookViewId="0">
      <selection activeCell="B33" sqref="B33"/>
    </sheetView>
  </sheetViews>
  <sheetFormatPr defaultRowHeight="15.35" x14ac:dyDescent="0.3"/>
  <cols>
    <col min="1" max="1" width="26" customWidth="1"/>
    <col min="5" max="6" width="12.33203125" bestFit="1" customWidth="1"/>
    <col min="7" max="7" width="9.6640625" bestFit="1" customWidth="1"/>
    <col min="9" max="9" width="11.33203125" bestFit="1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37</v>
      </c>
    </row>
    <row r="4" spans="1:9" ht="15" x14ac:dyDescent="0.25">
      <c r="A4" t="s">
        <v>38</v>
      </c>
    </row>
    <row r="6" spans="1:9" ht="15" x14ac:dyDescent="0.25">
      <c r="A6" t="s">
        <v>27</v>
      </c>
      <c r="C6" s="14">
        <v>12</v>
      </c>
    </row>
    <row r="7" spans="1:9" ht="15" x14ac:dyDescent="0.25">
      <c r="A7" t="s">
        <v>3</v>
      </c>
      <c r="C7" s="15">
        <v>0.3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-173563.75</v>
      </c>
      <c r="G15" s="3">
        <f>F18</f>
        <v>0</v>
      </c>
    </row>
    <row r="16" spans="1:9" ht="15" x14ac:dyDescent="0.25">
      <c r="A16" t="s">
        <v>14</v>
      </c>
      <c r="E16" s="14">
        <v>-181110</v>
      </c>
      <c r="F16" s="3">
        <v>181110</v>
      </c>
      <c r="G16" s="3"/>
    </row>
    <row r="17" spans="1:7" ht="15" x14ac:dyDescent="0.25">
      <c r="A17" t="s">
        <v>10</v>
      </c>
      <c r="E17" s="5">
        <f>-E16/C6/2</f>
        <v>7546.25</v>
      </c>
      <c r="F17" s="17">
        <f>-F16/$C$6/2</f>
        <v>-7546.25</v>
      </c>
      <c r="G17" s="3">
        <f>-G16/C6/2</f>
        <v>0</v>
      </c>
    </row>
    <row r="18" spans="1:7" ht="15.85" thickBot="1" x14ac:dyDescent="0.3">
      <c r="A18" t="s">
        <v>11</v>
      </c>
      <c r="E18" s="6">
        <f>SUM(E15:E17)</f>
        <v>-173563.75</v>
      </c>
      <c r="F18" s="6">
        <f>SUM(F15:F17)</f>
        <v>0</v>
      </c>
      <c r="G18" s="6">
        <f>SUM(G15:G17)</f>
        <v>0</v>
      </c>
    </row>
    <row r="19" spans="1:7" ht="15.85" thickBot="1" x14ac:dyDescent="0.3">
      <c r="A19" t="s">
        <v>12</v>
      </c>
      <c r="E19" s="7">
        <f>E18/2</f>
        <v>-86781.875</v>
      </c>
      <c r="F19" s="7">
        <f>(F15+F18)/2</f>
        <v>-86781.875</v>
      </c>
      <c r="G19" s="7">
        <f>(G15+G18)/2</f>
        <v>0</v>
      </c>
    </row>
    <row r="20" spans="1:7" ht="15" x14ac:dyDescent="0.25">
      <c r="E20" s="3"/>
      <c r="F20" s="3"/>
      <c r="G20" s="3"/>
    </row>
    <row r="21" spans="1:7" ht="15" x14ac:dyDescent="0.25">
      <c r="A21" s="1" t="s">
        <v>13</v>
      </c>
      <c r="E21" s="3"/>
      <c r="F21" s="3"/>
      <c r="G21" s="3"/>
    </row>
    <row r="22" spans="1:7" ht="15" x14ac:dyDescent="0.25">
      <c r="A22" t="s">
        <v>9</v>
      </c>
      <c r="E22" s="3">
        <v>0</v>
      </c>
      <c r="F22" s="3">
        <f>E25</f>
        <v>-153943.5</v>
      </c>
      <c r="G22" s="3">
        <f>F25</f>
        <v>0</v>
      </c>
    </row>
    <row r="23" spans="1:7" ht="15" x14ac:dyDescent="0.25">
      <c r="A23" t="s">
        <v>14</v>
      </c>
      <c r="E23" s="3">
        <f>E16</f>
        <v>-181110</v>
      </c>
      <c r="F23" s="3">
        <f>F16</f>
        <v>181110</v>
      </c>
      <c r="G23" s="3">
        <v>200000</v>
      </c>
    </row>
    <row r="24" spans="1:7" ht="15" x14ac:dyDescent="0.25">
      <c r="A24" t="s">
        <v>15</v>
      </c>
      <c r="E24" s="5">
        <f>-E23*$C$7/2</f>
        <v>27166.5</v>
      </c>
      <c r="F24" s="5">
        <f>-F23*$C$7/2</f>
        <v>-27166.5</v>
      </c>
      <c r="G24" s="3">
        <f>G22*C7+G23*C7/2</f>
        <v>30000</v>
      </c>
    </row>
    <row r="25" spans="1:7" ht="15.85" thickBot="1" x14ac:dyDescent="0.3">
      <c r="A25" t="s">
        <v>11</v>
      </c>
      <c r="E25" s="6">
        <f>SUM(E22:E24)</f>
        <v>-153943.5</v>
      </c>
      <c r="F25" s="6">
        <f>SUM(F22:F24)</f>
        <v>0</v>
      </c>
      <c r="G25" s="6">
        <f>SUM(G22:G24)</f>
        <v>230000</v>
      </c>
    </row>
    <row r="27" spans="1:7" ht="15" x14ac:dyDescent="0.25">
      <c r="A27" s="1" t="s">
        <v>16</v>
      </c>
    </row>
    <row r="28" spans="1:7" ht="15" x14ac:dyDescent="0.25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ht="15" x14ac:dyDescent="0.25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ht="15" x14ac:dyDescent="0.25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ht="15" x14ac:dyDescent="0.25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ht="15" x14ac:dyDescent="0.25">
      <c r="A33" t="s">
        <v>28</v>
      </c>
    </row>
    <row r="34" spans="1:7" ht="15" x14ac:dyDescent="0.25">
      <c r="A34" t="s">
        <v>29</v>
      </c>
      <c r="E34" s="3">
        <f>E45</f>
        <v>-3190.101725</v>
      </c>
      <c r="F34" s="3">
        <f>F45</f>
        <v>-3190.101725</v>
      </c>
      <c r="G34" s="3">
        <f>G45</f>
        <v>0</v>
      </c>
    </row>
    <row r="35" spans="1:7" ht="15" x14ac:dyDescent="0.25">
      <c r="A35" t="s">
        <v>31</v>
      </c>
      <c r="E35" s="3">
        <f>E42</f>
        <v>-7546.25</v>
      </c>
      <c r="F35" s="3">
        <f>F42</f>
        <v>7546.25</v>
      </c>
      <c r="G35" s="3">
        <f>G42</f>
        <v>0</v>
      </c>
    </row>
    <row r="36" spans="1:7" ht="15" x14ac:dyDescent="0.25">
      <c r="A36" t="s">
        <v>30</v>
      </c>
      <c r="E36" s="5">
        <f>E24</f>
        <v>27166.5</v>
      </c>
      <c r="F36" s="5">
        <f>F24</f>
        <v>-27166.5</v>
      </c>
      <c r="G36" s="5">
        <f>G24</f>
        <v>30000</v>
      </c>
    </row>
    <row r="37" spans="1:7" ht="15.85" thickBot="1" x14ac:dyDescent="0.3">
      <c r="A37" t="s">
        <v>32</v>
      </c>
      <c r="E37" s="6">
        <f>SUM(E34:E36)</f>
        <v>16430.148275</v>
      </c>
      <c r="F37" s="6">
        <f>SUM(F34:F36)</f>
        <v>-22810.351725</v>
      </c>
      <c r="G37" s="6">
        <f>SUM(G34:G36)</f>
        <v>30000</v>
      </c>
    </row>
    <row r="38" spans="1:7" ht="16" thickBot="1" x14ac:dyDescent="0.35">
      <c r="A38" t="s">
        <v>33</v>
      </c>
      <c r="E38" s="7">
        <f>E37*C8</f>
        <v>4353.9892928750005</v>
      </c>
      <c r="F38" s="7">
        <f>F37*C8</f>
        <v>-6044.7432071250005</v>
      </c>
      <c r="G38" s="7">
        <f>G37*C8</f>
        <v>7950</v>
      </c>
    </row>
    <row r="39" spans="1:7" ht="16" thickBot="1" x14ac:dyDescent="0.35">
      <c r="A39" t="s">
        <v>34</v>
      </c>
      <c r="E39" s="7">
        <f>E38/(1-0.265)</f>
        <v>5923.7949562925178</v>
      </c>
      <c r="F39" s="7">
        <f>F38/(1-0.265)</f>
        <v>-8224.1404178571429</v>
      </c>
      <c r="G39" s="7">
        <f>G38/(1-0.265)</f>
        <v>10816.326530612245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-7546.25</v>
      </c>
      <c r="F42" s="4">
        <f>-F17</f>
        <v>7546.25</v>
      </c>
      <c r="G42" s="4">
        <f>-G17</f>
        <v>0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-1957.7579232701496</v>
      </c>
      <c r="F44" s="4">
        <f>F19*F30*0.6</f>
        <v>-1957.4519725000002</v>
      </c>
      <c r="G44" s="4">
        <f>G19*G30*0.6</f>
        <v>0</v>
      </c>
    </row>
    <row r="45" spans="1:7" x14ac:dyDescent="0.3">
      <c r="A45" t="s">
        <v>24</v>
      </c>
      <c r="E45" s="4">
        <f>E19*E31*0.4</f>
        <v>-3190.101725</v>
      </c>
      <c r="F45" s="4">
        <f>F19*F31*0.4</f>
        <v>-3190.101725</v>
      </c>
      <c r="G45" s="4">
        <f>G19*G31*0.4</f>
        <v>0</v>
      </c>
    </row>
    <row r="46" spans="1:7" x14ac:dyDescent="0.3">
      <c r="A46" t="s">
        <v>25</v>
      </c>
      <c r="E46" s="10">
        <f>E39</f>
        <v>5923.7949562925178</v>
      </c>
      <c r="F46" s="10">
        <f>F39</f>
        <v>-8224.1404178571429</v>
      </c>
      <c r="G46" s="10">
        <f>G39</f>
        <v>10816.326530612245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-6770.3146919776327</v>
      </c>
      <c r="F47" s="18">
        <f>SUM(F42:F46)</f>
        <v>-5825.4441153571424</v>
      </c>
      <c r="G47" s="11">
        <f>SUM(G42:G46)</f>
        <v>10816.326530612245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D32" sqref="D32"/>
    </sheetView>
  </sheetViews>
  <sheetFormatPr defaultRowHeight="15.35" x14ac:dyDescent="0.3"/>
  <cols>
    <col min="1" max="1" width="26" customWidth="1"/>
    <col min="5" max="6" width="12.33203125" bestFit="1" customWidth="1"/>
    <col min="7" max="7" width="9.6640625" bestFit="1" customWidth="1"/>
    <col min="9" max="9" width="11.33203125" bestFit="1" customWidth="1"/>
  </cols>
  <sheetData>
    <row r="1" spans="1:9" ht="15" x14ac:dyDescent="0.25">
      <c r="A1" s="1" t="s">
        <v>0</v>
      </c>
    </row>
    <row r="2" spans="1:9" ht="15" x14ac:dyDescent="0.25">
      <c r="A2" s="1" t="s">
        <v>1</v>
      </c>
    </row>
    <row r="3" spans="1:9" ht="15" x14ac:dyDescent="0.25">
      <c r="A3" s="13" t="s">
        <v>39</v>
      </c>
    </row>
    <row r="4" spans="1:9" ht="15" x14ac:dyDescent="0.25">
      <c r="A4" t="s">
        <v>40</v>
      </c>
    </row>
    <row r="6" spans="1:9" ht="15" x14ac:dyDescent="0.25">
      <c r="A6" t="s">
        <v>27</v>
      </c>
      <c r="C6" s="14">
        <v>60</v>
      </c>
    </row>
    <row r="7" spans="1:9" ht="15" x14ac:dyDescent="0.25">
      <c r="A7" t="s">
        <v>3</v>
      </c>
      <c r="C7" s="15">
        <v>0.08</v>
      </c>
    </row>
    <row r="8" spans="1:9" ht="15" x14ac:dyDescent="0.25">
      <c r="A8" t="s">
        <v>4</v>
      </c>
      <c r="C8" s="2">
        <v>0.26500000000000001</v>
      </c>
    </row>
    <row r="9" spans="1:9" ht="15" x14ac:dyDescent="0.25">
      <c r="A9" t="s">
        <v>5</v>
      </c>
      <c r="C9" s="2">
        <v>0.04</v>
      </c>
    </row>
    <row r="10" spans="1:9" ht="15" x14ac:dyDescent="0.25">
      <c r="A10" t="s">
        <v>6</v>
      </c>
      <c r="C10" s="2">
        <v>0.56000000000000005</v>
      </c>
    </row>
    <row r="11" spans="1:9" ht="15" x14ac:dyDescent="0.25">
      <c r="A11" t="s">
        <v>7</v>
      </c>
      <c r="C11" s="2">
        <v>0.4</v>
      </c>
    </row>
    <row r="13" spans="1:9" ht="15" x14ac:dyDescent="0.25"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</row>
    <row r="14" spans="1:9" ht="15" x14ac:dyDescent="0.25">
      <c r="A14" s="1" t="s">
        <v>8</v>
      </c>
    </row>
    <row r="15" spans="1:9" ht="15" x14ac:dyDescent="0.25">
      <c r="A15" t="s">
        <v>9</v>
      </c>
      <c r="E15" s="3">
        <v>0</v>
      </c>
      <c r="F15" s="3">
        <f>E18</f>
        <v>-210215.48333333334</v>
      </c>
      <c r="G15" s="3">
        <f>F18</f>
        <v>-225067.67500000002</v>
      </c>
    </row>
    <row r="16" spans="1:9" ht="15" x14ac:dyDescent="0.25">
      <c r="A16" t="s">
        <v>14</v>
      </c>
      <c r="E16" s="16">
        <v>-211982</v>
      </c>
      <c r="F16" s="3">
        <v>-14977</v>
      </c>
      <c r="G16" s="3"/>
    </row>
    <row r="17" spans="1:7" ht="15" x14ac:dyDescent="0.25">
      <c r="A17" t="s">
        <v>10</v>
      </c>
      <c r="E17" s="17">
        <f>-E16/$C$6/2</f>
        <v>1766.5166666666667</v>
      </c>
      <c r="F17" s="17">
        <f>-F16/$C$6/2</f>
        <v>124.80833333333334</v>
      </c>
      <c r="G17" s="17">
        <f>-G16/$C$6/2</f>
        <v>0</v>
      </c>
    </row>
    <row r="18" spans="1:7" ht="15.85" thickBot="1" x14ac:dyDescent="0.3">
      <c r="A18" t="s">
        <v>11</v>
      </c>
      <c r="E18" s="6">
        <f>SUM(E15:E17)</f>
        <v>-210215.48333333334</v>
      </c>
      <c r="F18" s="6">
        <f>SUM(F15:F17)</f>
        <v>-225067.67500000002</v>
      </c>
      <c r="G18" s="6">
        <f>SUM(G15:G17)</f>
        <v>-225067.67500000002</v>
      </c>
    </row>
    <row r="19" spans="1:7" ht="15.85" thickBot="1" x14ac:dyDescent="0.3">
      <c r="A19" t="s">
        <v>12</v>
      </c>
      <c r="E19" s="7">
        <f>E18/2</f>
        <v>-105107.74166666667</v>
      </c>
      <c r="F19" s="7">
        <f>(F15+F18)/2</f>
        <v>-217641.57916666666</v>
      </c>
      <c r="G19" s="7">
        <f>(G15+G18)/2</f>
        <v>-225067.67500000002</v>
      </c>
    </row>
    <row r="20" spans="1:7" ht="15" x14ac:dyDescent="0.25">
      <c r="E20" s="3"/>
      <c r="F20" s="3"/>
      <c r="G20" s="3"/>
    </row>
    <row r="21" spans="1:7" ht="15" x14ac:dyDescent="0.25">
      <c r="A21" s="1" t="s">
        <v>13</v>
      </c>
      <c r="E21" s="3"/>
      <c r="F21" s="3"/>
      <c r="G21" s="3"/>
    </row>
    <row r="22" spans="1:7" ht="15" x14ac:dyDescent="0.25">
      <c r="A22" t="s">
        <v>9</v>
      </c>
      <c r="E22" s="3">
        <v>0</v>
      </c>
      <c r="F22" s="3">
        <f>E25</f>
        <v>-203502.72</v>
      </c>
      <c r="G22" s="3">
        <f>F25</f>
        <v>-202199.5024</v>
      </c>
    </row>
    <row r="23" spans="1:7" x14ac:dyDescent="0.3">
      <c r="A23" t="s">
        <v>14</v>
      </c>
      <c r="E23" s="3">
        <f>E16</f>
        <v>-211982</v>
      </c>
      <c r="F23" s="3">
        <f>F16</f>
        <v>-14977</v>
      </c>
      <c r="G23" s="3">
        <f>G16</f>
        <v>0</v>
      </c>
    </row>
    <row r="24" spans="1:7" x14ac:dyDescent="0.3">
      <c r="A24" t="s">
        <v>15</v>
      </c>
      <c r="E24" s="5">
        <f>-E23*C7/2</f>
        <v>8479.2800000000007</v>
      </c>
      <c r="F24" s="3">
        <f>F22*-C7</f>
        <v>16280.2176</v>
      </c>
      <c r="G24" s="3">
        <f>G22*C7+G23*C7/2</f>
        <v>-16175.960192</v>
      </c>
    </row>
    <row r="25" spans="1:7" ht="16" thickBot="1" x14ac:dyDescent="0.35">
      <c r="A25" t="s">
        <v>11</v>
      </c>
      <c r="E25" s="6">
        <f>SUM(E22:E24)</f>
        <v>-203502.72</v>
      </c>
      <c r="F25" s="6">
        <f>SUM(F22:F24)</f>
        <v>-202199.5024</v>
      </c>
      <c r="G25" s="6">
        <f>SUM(G22:G24)</f>
        <v>-218375.462592</v>
      </c>
    </row>
    <row r="27" spans="1:7" x14ac:dyDescent="0.3">
      <c r="A27" s="1" t="s">
        <v>16</v>
      </c>
    </row>
    <row r="28" spans="1:7" x14ac:dyDescent="0.3">
      <c r="A28" t="s">
        <v>17</v>
      </c>
      <c r="E28" s="8">
        <v>1.6500000000000001E-2</v>
      </c>
      <c r="F28" s="8">
        <v>1.6500000000000001E-2</v>
      </c>
      <c r="G28" s="8">
        <v>1.6500000000000001E-2</v>
      </c>
    </row>
    <row r="29" spans="1:7" x14ac:dyDescent="0.3">
      <c r="A29" t="s">
        <v>18</v>
      </c>
      <c r="E29" s="9">
        <v>3.9106295561843772E-2</v>
      </c>
      <c r="F29" s="8">
        <v>3.9100000000000003E-2</v>
      </c>
      <c r="G29" s="8">
        <v>3.9199999999999999E-2</v>
      </c>
    </row>
    <row r="30" spans="1:7" x14ac:dyDescent="0.3">
      <c r="A30" t="s">
        <v>19</v>
      </c>
      <c r="E30" s="8">
        <f>(E28*0.04+E29*0.56)/0.6*1</f>
        <v>3.7599209191054195E-2</v>
      </c>
      <c r="F30" s="8">
        <f>(F28*0.04+F29*0.56)/0.6*1</f>
        <v>3.759333333333334E-2</v>
      </c>
      <c r="G30" s="8">
        <f>(G28*0.04+G29*0.56)/0.6*1</f>
        <v>3.7686666666666674E-2</v>
      </c>
    </row>
    <row r="31" spans="1:7" x14ac:dyDescent="0.3">
      <c r="A31" t="s">
        <v>20</v>
      </c>
      <c r="E31" s="8">
        <v>9.1899999999999996E-2</v>
      </c>
      <c r="F31" s="8">
        <v>9.1899999999999996E-2</v>
      </c>
      <c r="G31" s="8">
        <v>9.1899999999999996E-2</v>
      </c>
    </row>
    <row r="33" spans="1:7" x14ac:dyDescent="0.3">
      <c r="A33" t="s">
        <v>28</v>
      </c>
    </row>
    <row r="34" spans="1:7" x14ac:dyDescent="0.3">
      <c r="A34" t="s">
        <v>29</v>
      </c>
      <c r="E34" s="3">
        <f>E45</f>
        <v>-3863.7605836666662</v>
      </c>
      <c r="F34" s="3">
        <f>F45</f>
        <v>-8000.5044501666671</v>
      </c>
      <c r="G34" s="3">
        <f>G45</f>
        <v>-8273.4877329999999</v>
      </c>
    </row>
    <row r="35" spans="1:7" x14ac:dyDescent="0.3">
      <c r="A35" t="s">
        <v>31</v>
      </c>
      <c r="E35" s="3">
        <f>E42</f>
        <v>-1766.5166666666667</v>
      </c>
      <c r="F35" s="3">
        <f>F42</f>
        <v>-124.80833333333334</v>
      </c>
      <c r="G35" s="3">
        <f>G42</f>
        <v>0</v>
      </c>
    </row>
    <row r="36" spans="1:7" x14ac:dyDescent="0.3">
      <c r="A36" t="s">
        <v>30</v>
      </c>
      <c r="E36" s="5">
        <f>E24</f>
        <v>8479.2800000000007</v>
      </c>
      <c r="F36" s="5">
        <f>F24</f>
        <v>16280.2176</v>
      </c>
      <c r="G36" s="5">
        <f>G24</f>
        <v>-16175.960192</v>
      </c>
    </row>
    <row r="37" spans="1:7" ht="16" thickBot="1" x14ac:dyDescent="0.35">
      <c r="A37" t="s">
        <v>32</v>
      </c>
      <c r="E37" s="6">
        <f>SUM(E34:E36)</f>
        <v>2849.002749666668</v>
      </c>
      <c r="F37" s="6">
        <f>SUM(F34:F36)</f>
        <v>8154.9048164999995</v>
      </c>
      <c r="G37" s="6">
        <f>SUM(G34:G36)</f>
        <v>-24449.447925</v>
      </c>
    </row>
    <row r="38" spans="1:7" ht="16" thickBot="1" x14ac:dyDescent="0.35">
      <c r="A38" t="s">
        <v>33</v>
      </c>
      <c r="E38" s="7">
        <f>E37*C8</f>
        <v>754.98572866166705</v>
      </c>
      <c r="F38" s="7">
        <f>F37*C8</f>
        <v>2161.0497763724998</v>
      </c>
      <c r="G38" s="7">
        <f>G37*C8</f>
        <v>-6479.1037001250006</v>
      </c>
    </row>
    <row r="39" spans="1:7" ht="16" thickBot="1" x14ac:dyDescent="0.35">
      <c r="A39" t="s">
        <v>34</v>
      </c>
      <c r="E39" s="7">
        <f>E38/(1-0.265)</f>
        <v>1027.1914675668941</v>
      </c>
      <c r="F39" s="7">
        <f>F38/(1-0.265)</f>
        <v>2940.203777377551</v>
      </c>
      <c r="G39" s="7">
        <f>G38/(1-0.265)</f>
        <v>-8815.1070750000017</v>
      </c>
    </row>
    <row r="41" spans="1:7" x14ac:dyDescent="0.3">
      <c r="A41" t="s">
        <v>21</v>
      </c>
    </row>
    <row r="42" spans="1:7" x14ac:dyDescent="0.3">
      <c r="A42" t="s">
        <v>2</v>
      </c>
      <c r="E42" s="4">
        <f>-E17</f>
        <v>-1766.5166666666667</v>
      </c>
      <c r="F42" s="4">
        <f>-F17</f>
        <v>-124.80833333333334</v>
      </c>
      <c r="G42" s="4">
        <f>-G17</f>
        <v>0</v>
      </c>
    </row>
    <row r="43" spans="1:7" x14ac:dyDescent="0.3">
      <c r="A43" t="s">
        <v>22</v>
      </c>
      <c r="E43" s="4"/>
      <c r="F43" s="4"/>
      <c r="G43" s="4"/>
    </row>
    <row r="44" spans="1:7" x14ac:dyDescent="0.3">
      <c r="A44" t="s">
        <v>23</v>
      </c>
      <c r="E44" s="4">
        <f>E19*E30*0.6</f>
        <v>-2371.1807799145699</v>
      </c>
      <c r="F44" s="4">
        <f>F19*F30*0.6</f>
        <v>-4909.1234596833337</v>
      </c>
      <c r="G44" s="4">
        <f>G19*G30*0.6</f>
        <v>-5089.2302671000016</v>
      </c>
    </row>
    <row r="45" spans="1:7" x14ac:dyDescent="0.3">
      <c r="A45" t="s">
        <v>24</v>
      </c>
      <c r="E45" s="4">
        <f>E19*E31*0.4</f>
        <v>-3863.7605836666662</v>
      </c>
      <c r="F45" s="4">
        <f>F19*F31*0.4</f>
        <v>-8000.5044501666671</v>
      </c>
      <c r="G45" s="4">
        <f>G19*G31*0.4</f>
        <v>-8273.4877329999999</v>
      </c>
    </row>
    <row r="46" spans="1:7" x14ac:dyDescent="0.3">
      <c r="A46" t="s">
        <v>25</v>
      </c>
      <c r="E46" s="10">
        <f>E39</f>
        <v>1027.1914675668941</v>
      </c>
      <c r="F46" s="10">
        <f>F39</f>
        <v>2940.203777377551</v>
      </c>
      <c r="G46" s="10">
        <f>G39</f>
        <v>-8815.1070750000017</v>
      </c>
    </row>
    <row r="47" spans="1:7" ht="16" thickBot="1" x14ac:dyDescent="0.35">
      <c r="A47" s="1" t="s">
        <v>26</v>
      </c>
      <c r="B47" s="1"/>
      <c r="C47" s="1"/>
      <c r="D47" s="1"/>
      <c r="E47" s="11">
        <f>SUM(E42:E46)</f>
        <v>-6974.2665626810085</v>
      </c>
      <c r="F47" s="18">
        <f>SUM(F42:F46)</f>
        <v>-10094.232465805784</v>
      </c>
      <c r="G47" s="11">
        <f>SUM(G42:G46)</f>
        <v>-22177.825075100001</v>
      </c>
    </row>
    <row r="48" spans="1:7" ht="16" thickTop="1" x14ac:dyDescent="0.3"/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A2"/>
    </sheetView>
  </sheetViews>
  <sheetFormatPr defaultRowHeight="15.35" x14ac:dyDescent="0.3"/>
  <cols>
    <col min="4" max="4" width="11.44140625" bestFit="1" customWidth="1"/>
    <col min="5" max="5" width="10.5546875" bestFit="1" customWidth="1"/>
  </cols>
  <sheetData>
    <row r="1" spans="1:10" x14ac:dyDescent="0.3">
      <c r="A1" s="1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1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13" spans="1:10" ht="15" x14ac:dyDescent="0.25">
      <c r="A13" t="s">
        <v>41</v>
      </c>
      <c r="D13" s="19">
        <f>ERM!F47</f>
        <v>-4481.1380333551051</v>
      </c>
    </row>
    <row r="14" spans="1:10" ht="15" x14ac:dyDescent="0.25">
      <c r="A14" t="s">
        <v>42</v>
      </c>
      <c r="D14" s="19">
        <f>Truck!F47</f>
        <v>-5825.4441153571424</v>
      </c>
    </row>
    <row r="15" spans="1:10" ht="15" x14ac:dyDescent="0.25">
      <c r="A15" t="s">
        <v>43</v>
      </c>
      <c r="D15" s="19">
        <f>'Service Renewal'!F47</f>
        <v>-10094.232465805784</v>
      </c>
    </row>
    <row r="16" spans="1:10" ht="15" x14ac:dyDescent="0.25">
      <c r="D16" s="19"/>
    </row>
    <row r="17" spans="1:5" ht="15" x14ac:dyDescent="0.25">
      <c r="A17" t="s">
        <v>44</v>
      </c>
      <c r="D17" s="19">
        <f>SUM(D13:D15)</f>
        <v>-20400.814614518033</v>
      </c>
    </row>
    <row r="18" spans="1:5" ht="15" x14ac:dyDescent="0.25">
      <c r="D18" s="19"/>
    </row>
    <row r="19" spans="1:5" ht="15.85" thickBot="1" x14ac:dyDescent="0.3">
      <c r="D19" s="19"/>
    </row>
    <row r="20" spans="1:5" ht="15" x14ac:dyDescent="0.25">
      <c r="A20" s="20" t="s">
        <v>45</v>
      </c>
      <c r="B20" s="21"/>
      <c r="C20" s="21"/>
      <c r="D20" s="22"/>
      <c r="E20" s="23">
        <v>20400.810000000001</v>
      </c>
    </row>
    <row r="21" spans="1:5" ht="15" x14ac:dyDescent="0.25">
      <c r="A21" s="24" t="s">
        <v>46</v>
      </c>
      <c r="B21" s="25"/>
      <c r="C21" s="25"/>
      <c r="D21" s="26">
        <f>E20</f>
        <v>20400.810000000001</v>
      </c>
      <c r="E21" s="27"/>
    </row>
    <row r="22" spans="1:5" ht="15.85" thickBot="1" x14ac:dyDescent="0.3">
      <c r="A22" s="28" t="s">
        <v>47</v>
      </c>
      <c r="B22" s="29"/>
      <c r="C22" s="29"/>
      <c r="D22" s="30"/>
      <c r="E22" s="31"/>
    </row>
    <row r="23" spans="1:5" ht="15" x14ac:dyDescent="0.25">
      <c r="D23" s="19"/>
      <c r="E23" s="19"/>
    </row>
    <row r="24" spans="1:5" ht="15" x14ac:dyDescent="0.25">
      <c r="D24" s="19"/>
      <c r="E24" s="19"/>
    </row>
    <row r="25" spans="1:5" x14ac:dyDescent="0.3">
      <c r="D25" s="19"/>
      <c r="E25" s="19"/>
    </row>
    <row r="26" spans="1:5" x14ac:dyDescent="0.3">
      <c r="D26" s="19"/>
      <c r="E26" s="1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ERM</vt:lpstr>
      <vt:lpstr>Truck</vt:lpstr>
      <vt:lpstr>Service Renewal</vt:lpstr>
      <vt:lpstr>Summary</vt:lpstr>
      <vt:lpstr>ERM!Print_Area</vt:lpstr>
      <vt:lpstr>'Service Renewal'!Print_Area</vt:lpstr>
      <vt:lpstr>Truck!Print_Area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Gibson,Sherry</cp:lastModifiedBy>
  <cp:lastPrinted>2018-03-19T18:53:27Z</cp:lastPrinted>
  <dcterms:created xsi:type="dcterms:W3CDTF">2015-10-20T23:58:46Z</dcterms:created>
  <dcterms:modified xsi:type="dcterms:W3CDTF">2018-10-23T12:41:51Z</dcterms:modified>
</cp:coreProperties>
</file>