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defaultThemeVersion="124226"/>
  <bookViews>
    <workbookView xWindow="10230" yWindow="-15" windowWidth="10275" windowHeight="8895" tabRatio="749" activeTab="1"/>
  </bookViews>
  <sheets>
    <sheet name="1. Information Sheet" sheetId="1" r:id="rId1"/>
    <sheet name="3. Continuity Schedule" sheetId="3" r:id="rId2"/>
    <sheet name="4. Billing Det. for Def-Var" sheetId="4" r:id="rId3"/>
    <sheet name="5. Allocating Def-Var Balances" sheetId="5" r:id="rId4"/>
    <sheet name="6. GA Calculation" sheetId="6" r:id="rId5"/>
    <sheet name="6A. GA Allocation_Class A" sheetId="16" r:id="rId6"/>
    <sheet name="6B. GA Allocation_new Class B" sheetId="29" r:id="rId7"/>
    <sheet name="7. CBR Calculation" sheetId="32" r:id="rId8"/>
    <sheet name="7A. CBR Allocation_Class A" sheetId="31" r:id="rId9"/>
    <sheet name="7B. CBR Allocation_new Class B" sheetId="30" r:id="rId10"/>
    <sheet name="8. Calculation of Def-Var RR" sheetId="7" r:id="rId11"/>
  </sheets>
  <externalReferences>
    <externalReference r:id="rId12"/>
    <externalReference r:id="rId13"/>
    <externalReference r:id="rId14"/>
  </externalReferences>
  <definedNames>
    <definedName name="BILLING_DETERMINANTS">'4. Billing Det. for Def-Var'!$B$17:$K$28</definedName>
    <definedName name="Classes">#REF!</definedName>
    <definedName name="COS_RES_CUSTOMERS">#REF!</definedName>
    <definedName name="COS_RES_KWH">#REF!</definedName>
    <definedName name="_xlnm.Criteria">'4. Billing Det. for Def-Var'!$N$2:$N$339</definedName>
    <definedName name="_xlnm.DATABASE">#REF!</definedName>
    <definedName name="forecast_wholesale_lineplus">'[1]14. RTSR - Forecast Wholesale'!$P$113</definedName>
    <definedName name="forecast_wholesale_LNPlus">#REF!</definedName>
    <definedName name="forecast_wholesale_network">'[1]14. RTSR - Forecast Wholesale'!$F$109</definedName>
    <definedName name="forecast_wholesale_TN">#REF!</definedName>
    <definedName name="Index">#REF!</definedName>
    <definedName name="Lakeland_SA">'[2]2016 List'!$C$10:$C$11</definedName>
    <definedName name="LLF">#REF!</definedName>
    <definedName name="_xlnm.Print_Area" localSheetId="0">'1. Information Sheet'!$B$1:$O$43</definedName>
    <definedName name="_xlnm.Print_Area" localSheetId="1">'3. Continuity Schedule'!$C$2:$CP$55</definedName>
    <definedName name="_xlnm.Print_Area" localSheetId="2">'4. Billing Det. for Def-Var'!$B$1:$V$43</definedName>
    <definedName name="_xlnm.Print_Area" localSheetId="3">'5. Allocating Def-Var Balances'!$B$2:$W$32</definedName>
    <definedName name="_xlnm.Print_Area" localSheetId="4">'6. GA Calculation'!$B$2:$M$32</definedName>
    <definedName name="_xlnm.Print_Area" localSheetId="5">'6A. GA Allocation_Class A'!$B$2:$M$69</definedName>
    <definedName name="_xlnm.Print_Area" localSheetId="6">'6B. GA Allocation_new Class B'!$B$2:$M$43</definedName>
    <definedName name="_xlnm.Print_Area" localSheetId="7">'7. CBR Calculation'!$A$1:$O$48</definedName>
    <definedName name="_xlnm.Print_Area" localSheetId="8">'7A. CBR Allocation_Class A'!$B$2:$M$69</definedName>
    <definedName name="_xlnm.Print_Area" localSheetId="9">'7B. CBR Allocation_new Class B'!$B$2:$M$42</definedName>
    <definedName name="_xlnm.Print_Area" localSheetId="10">'8. Calculation of Def-Var RR'!$B$2:$O$31</definedName>
    <definedName name="ratebase">#REF!</definedName>
    <definedName name="RATES">#REF!</definedName>
    <definedName name="RTSR">#REF!</definedName>
    <definedName name="RTSR_forecast">#REF!</definedName>
    <definedName name="Start_10">'6B. GA Allocation_new Class B'!$A$1</definedName>
    <definedName name="Start_11">'7. CBR Calculation'!$A$1</definedName>
    <definedName name="Start_12">'7A. CBR Allocation_Class A'!$A$1</definedName>
    <definedName name="Start_13">'7B. CBR Allocation_new Class B'!$A$1</definedName>
    <definedName name="Start_14">'8. Calculation of Def-Var RR'!$A$1</definedName>
    <definedName name="Start_15">#REF!</definedName>
    <definedName name="Start_16">#REF!</definedName>
    <definedName name="Start_17">#REF!</definedName>
    <definedName name="Start_18">#REF!</definedName>
    <definedName name="Start_19">#REF!</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'1. Information Sheet'!$A$1</definedName>
    <definedName name="Start_30">#REF!</definedName>
    <definedName name="Start_4">#REF!</definedName>
    <definedName name="Start_5">'3. Continuity Schedule'!$A$1</definedName>
    <definedName name="Start_6">'4. Billing Det. for Def-Var'!$A$1</definedName>
    <definedName name="Start_7">'5. Allocating Def-Var Balances'!$A$1</definedName>
    <definedName name="Start_8">'6. GA Calculation'!$A$1</definedName>
    <definedName name="Start_9">'6A. GA Allocation_Class A'!$A$1</definedName>
    <definedName name="Total_Current_Wholesale_Lineplus">'[1]13. RTSR - Current Wholesale'!$P$113</definedName>
    <definedName name="total_current_wholesale_network">'[1]13. RTSR - Current Wholesale'!$F$109</definedName>
    <definedName name="total_wholesale_Line">#REF!</definedName>
    <definedName name="total_wholesale_LinePlus">#REF!</definedName>
    <definedName name="total_wholesale_TN">#REF!</definedName>
    <definedName name="YRS_LEFT">#REF!</definedName>
  </definedNames>
  <calcPr calcId="145621"/>
</workbook>
</file>

<file path=xl/calcChain.xml><?xml version="1.0" encoding="utf-8"?>
<calcChain xmlns="http://schemas.openxmlformats.org/spreadsheetml/2006/main">
  <c r="BZ29" i="3" l="1"/>
  <c r="BZ28" i="3"/>
  <c r="B2" i="7"/>
  <c r="B2" i="30"/>
  <c r="B2" i="31"/>
  <c r="B2" i="32"/>
  <c r="B2" i="29"/>
  <c r="B2" i="16"/>
  <c r="B2" i="6"/>
  <c r="B2" i="5"/>
  <c r="B2" i="4"/>
  <c r="C2" i="3"/>
  <c r="CN37" i="3"/>
  <c r="CN35" i="3"/>
  <c r="CN34" i="3"/>
  <c r="CN33" i="3"/>
  <c r="CN31" i="3"/>
  <c r="CN30" i="3"/>
  <c r="F69" i="31"/>
  <c r="E42" i="29"/>
  <c r="E19" i="29"/>
  <c r="E56" i="31"/>
  <c r="D56" i="31"/>
  <c r="D57" i="16"/>
  <c r="D58" i="16"/>
  <c r="E59" i="31"/>
  <c r="D59" i="31"/>
  <c r="D60" i="16"/>
  <c r="E61" i="31"/>
  <c r="D61" i="31"/>
  <c r="D62" i="16"/>
  <c r="E63" i="31"/>
  <c r="D63" i="31"/>
  <c r="E64" i="31"/>
  <c r="D64" i="31"/>
  <c r="D65" i="16"/>
  <c r="D66" i="16"/>
  <c r="E67" i="31"/>
  <c r="D67" i="31"/>
  <c r="E68" i="31"/>
  <c r="D68" i="31"/>
  <c r="D34" i="16"/>
  <c r="D35" i="16"/>
  <c r="D36" i="16"/>
  <c r="D37" i="16"/>
  <c r="D38" i="16"/>
  <c r="D39" i="16"/>
  <c r="E40" i="31"/>
  <c r="D40" i="31"/>
  <c r="E41" i="31"/>
  <c r="D41" i="31"/>
  <c r="D42" i="16"/>
  <c r="D43" i="16"/>
  <c r="D44" i="16"/>
  <c r="D45" i="16"/>
  <c r="D46" i="16"/>
  <c r="E47" i="31"/>
  <c r="D47" i="31"/>
  <c r="E48" i="31"/>
  <c r="D48" i="31"/>
  <c r="D49" i="16"/>
  <c r="D50" i="16"/>
  <c r="D51" i="16"/>
  <c r="D52" i="16"/>
  <c r="D53" i="16"/>
  <c r="D54" i="16"/>
  <c r="E55" i="31"/>
  <c r="D55" i="31"/>
  <c r="E33" i="31"/>
  <c r="D41" i="16"/>
  <c r="E58" i="31"/>
  <c r="D58" i="31"/>
  <c r="E50" i="31"/>
  <c r="D50" i="31"/>
  <c r="E35" i="31"/>
  <c r="D35" i="31"/>
  <c r="E36" i="31"/>
  <c r="D36" i="31"/>
  <c r="E60" i="31"/>
  <c r="D60" i="31"/>
  <c r="D68" i="16"/>
  <c r="E44" i="31"/>
  <c r="D44" i="31"/>
  <c r="E34" i="30"/>
  <c r="D34" i="30"/>
  <c r="D61" i="16"/>
  <c r="E62" i="31"/>
  <c r="D62" i="31"/>
  <c r="E51" i="31"/>
  <c r="D51" i="31"/>
  <c r="E42" i="31"/>
  <c r="D42" i="31"/>
  <c r="E66" i="31"/>
  <c r="D66" i="31"/>
  <c r="E52" i="31"/>
  <c r="D52" i="31"/>
  <c r="E43" i="31"/>
  <c r="D43" i="31"/>
  <c r="D33" i="31"/>
  <c r="D64" i="16"/>
  <c r="D56" i="16"/>
  <c r="D48" i="16"/>
  <c r="E54" i="31"/>
  <c r="D54" i="31"/>
  <c r="E46" i="31"/>
  <c r="D46" i="31"/>
  <c r="E38" i="31"/>
  <c r="D38" i="31"/>
  <c r="D63" i="16"/>
  <c r="D55" i="16"/>
  <c r="D47" i="16"/>
  <c r="E34" i="31"/>
  <c r="D34" i="31"/>
  <c r="E53" i="31"/>
  <c r="D53" i="31"/>
  <c r="E45" i="31"/>
  <c r="D45" i="31"/>
  <c r="E37" i="31"/>
  <c r="D37" i="31"/>
  <c r="D67" i="16"/>
  <c r="D59" i="16"/>
  <c r="E65" i="31"/>
  <c r="D65" i="31"/>
  <c r="E57" i="31"/>
  <c r="D57" i="31" s="1"/>
  <c r="E49" i="31"/>
  <c r="D49" i="31"/>
  <c r="D33" i="16"/>
  <c r="D40" i="16"/>
  <c r="E69" i="16"/>
  <c r="E19" i="16"/>
  <c r="D33" i="29"/>
  <c r="E39" i="31"/>
  <c r="D39" i="31"/>
  <c r="E42" i="30"/>
  <c r="E19" i="30"/>
  <c r="BX44" i="3"/>
  <c r="CO41" i="3"/>
  <c r="CO40" i="3"/>
  <c r="CO42" i="3"/>
  <c r="BX25" i="3"/>
  <c r="BX23" i="3"/>
  <c r="BX38" i="3"/>
  <c r="CC37" i="3"/>
  <c r="CD36" i="3"/>
  <c r="BY36" i="3"/>
  <c r="CB38" i="3"/>
  <c r="CF38" i="3"/>
  <c r="CJ38" i="3"/>
  <c r="BW38" i="3"/>
  <c r="CA38" i="3"/>
  <c r="AS38" i="3"/>
  <c r="CD29" i="3"/>
  <c r="BX28" i="3"/>
  <c r="CP38" i="3"/>
  <c r="CI38" i="3"/>
  <c r="CK38" i="3"/>
  <c r="B24" i="5"/>
  <c r="B25" i="5"/>
  <c r="I29" i="32"/>
  <c r="I28" i="32"/>
  <c r="I27" i="32"/>
  <c r="I26" i="32"/>
  <c r="I25" i="32"/>
  <c r="I23" i="32"/>
  <c r="I22" i="32"/>
  <c r="J25" i="4"/>
  <c r="D23" i="32"/>
  <c r="L23" i="32"/>
  <c r="D27" i="32"/>
  <c r="L27" i="32"/>
  <c r="D22" i="32"/>
  <c r="L22" i="32"/>
  <c r="G23" i="32"/>
  <c r="G25" i="32"/>
  <c r="G26" i="32"/>
  <c r="G27" i="32"/>
  <c r="G28" i="32"/>
  <c r="G29" i="32"/>
  <c r="G22" i="32"/>
  <c r="E23" i="32"/>
  <c r="E27" i="32"/>
  <c r="E28" i="32"/>
  <c r="E29" i="32"/>
  <c r="E22" i="32"/>
  <c r="J42" i="30"/>
  <c r="J19" i="30"/>
  <c r="I42" i="30"/>
  <c r="I19" i="30"/>
  <c r="H42" i="30"/>
  <c r="H19" i="30"/>
  <c r="G42" i="30"/>
  <c r="G19" i="30"/>
  <c r="J69" i="31"/>
  <c r="I69" i="31"/>
  <c r="H69" i="31"/>
  <c r="G69" i="31"/>
  <c r="J42" i="29"/>
  <c r="J19" i="29"/>
  <c r="I42" i="29"/>
  <c r="I19" i="29"/>
  <c r="H42" i="29"/>
  <c r="H19" i="29"/>
  <c r="G42" i="29"/>
  <c r="G19" i="29"/>
  <c r="D19" i="29"/>
  <c r="I23" i="3"/>
  <c r="O23" i="3"/>
  <c r="S23" i="3"/>
  <c r="Y23" i="3"/>
  <c r="AC23" i="3"/>
  <c r="AI23" i="3"/>
  <c r="AM23" i="3"/>
  <c r="AS23" i="3"/>
  <c r="AW23" i="3"/>
  <c r="BC23" i="3"/>
  <c r="BG23" i="3"/>
  <c r="BM23" i="3"/>
  <c r="BQ23" i="3"/>
  <c r="BW23" i="3"/>
  <c r="CA23" i="3"/>
  <c r="N23" i="3"/>
  <c r="T23" i="3"/>
  <c r="X23" i="3"/>
  <c r="AD23" i="3"/>
  <c r="AH23" i="3"/>
  <c r="AN23" i="3"/>
  <c r="AR23" i="3"/>
  <c r="AX23" i="3"/>
  <c r="BB23" i="3"/>
  <c r="BH23" i="3"/>
  <c r="BL23" i="3"/>
  <c r="BR23" i="3"/>
  <c r="BV23" i="3"/>
  <c r="I24" i="3"/>
  <c r="O24" i="3"/>
  <c r="S24" i="3"/>
  <c r="Y24" i="3"/>
  <c r="AC24" i="3"/>
  <c r="AI24" i="3"/>
  <c r="AM24" i="3"/>
  <c r="AS24" i="3"/>
  <c r="AW24" i="3"/>
  <c r="BC24" i="3"/>
  <c r="BG24" i="3"/>
  <c r="BM24" i="3"/>
  <c r="BQ24" i="3"/>
  <c r="N24" i="3"/>
  <c r="T24" i="3"/>
  <c r="X24" i="3"/>
  <c r="AD24" i="3"/>
  <c r="AH24" i="3"/>
  <c r="AN24" i="3"/>
  <c r="AR24" i="3"/>
  <c r="AX24" i="3"/>
  <c r="BB24" i="3"/>
  <c r="BH24" i="3"/>
  <c r="BL24" i="3"/>
  <c r="BR24" i="3"/>
  <c r="BV24" i="3"/>
  <c r="I25" i="3"/>
  <c r="O25" i="3"/>
  <c r="S25" i="3"/>
  <c r="Y25" i="3"/>
  <c r="AC25" i="3"/>
  <c r="AI25" i="3"/>
  <c r="AM25" i="3"/>
  <c r="AS25" i="3"/>
  <c r="AW25" i="3"/>
  <c r="BC25" i="3"/>
  <c r="BG25" i="3"/>
  <c r="BM25" i="3"/>
  <c r="BQ25" i="3"/>
  <c r="N25" i="3"/>
  <c r="T25" i="3"/>
  <c r="X25" i="3"/>
  <c r="AD25" i="3"/>
  <c r="AH25" i="3"/>
  <c r="AN25" i="3"/>
  <c r="AR25" i="3"/>
  <c r="AX25" i="3"/>
  <c r="BB25" i="3"/>
  <c r="BH25" i="3"/>
  <c r="BL25" i="3"/>
  <c r="BR25" i="3"/>
  <c r="BV25" i="3"/>
  <c r="CI23" i="3"/>
  <c r="CK23" i="3"/>
  <c r="BW25" i="3"/>
  <c r="CA25" i="3"/>
  <c r="BW24" i="3"/>
  <c r="CA24" i="3"/>
  <c r="CB24" i="3"/>
  <c r="CF24" i="3"/>
  <c r="CJ24" i="3"/>
  <c r="CB23" i="3"/>
  <c r="CF23" i="3"/>
  <c r="CJ23" i="3"/>
  <c r="CB25" i="3"/>
  <c r="CF25" i="3"/>
  <c r="CJ25" i="3"/>
  <c r="CP23" i="3"/>
  <c r="CP24" i="3"/>
  <c r="CI24" i="3"/>
  <c r="CK24" i="3"/>
  <c r="CM24" i="3"/>
  <c r="CP25" i="3"/>
  <c r="CI25" i="3"/>
  <c r="CK25" i="3"/>
  <c r="G69" i="16"/>
  <c r="CN24" i="3"/>
  <c r="C16" i="32"/>
  <c r="CM25" i="3"/>
  <c r="CN25" i="3"/>
  <c r="C17" i="32"/>
  <c r="CM23" i="3"/>
  <c r="CN23" i="3"/>
  <c r="I28" i="5"/>
  <c r="D25" i="31"/>
  <c r="D25" i="30"/>
  <c r="B28" i="32"/>
  <c r="B27" i="32"/>
  <c r="B26" i="32"/>
  <c r="B25" i="32"/>
  <c r="B24" i="32"/>
  <c r="B23" i="32"/>
  <c r="B22" i="32"/>
  <c r="B29" i="32"/>
  <c r="X44" i="3"/>
  <c r="AD44" i="3"/>
  <c r="AH44" i="3"/>
  <c r="AN44" i="3"/>
  <c r="AR44" i="3"/>
  <c r="AX44" i="3"/>
  <c r="BB44" i="3"/>
  <c r="BH44" i="3"/>
  <c r="BL44" i="3"/>
  <c r="BR44" i="3"/>
  <c r="BV44" i="3"/>
  <c r="S44" i="3"/>
  <c r="Y44" i="3"/>
  <c r="AC44" i="3"/>
  <c r="AI44" i="3"/>
  <c r="AM44" i="3"/>
  <c r="AS44" i="3"/>
  <c r="E18" i="7"/>
  <c r="E22" i="7"/>
  <c r="L22" i="7"/>
  <c r="E17" i="7"/>
  <c r="C18" i="7"/>
  <c r="C19" i="7"/>
  <c r="C20" i="7"/>
  <c r="C21" i="7"/>
  <c r="C22" i="7"/>
  <c r="C23" i="7"/>
  <c r="C24" i="7"/>
  <c r="C17" i="7"/>
  <c r="B18" i="7"/>
  <c r="B19" i="7"/>
  <c r="B20" i="7"/>
  <c r="B21" i="7"/>
  <c r="B22" i="7"/>
  <c r="B23" i="7"/>
  <c r="B24" i="7"/>
  <c r="B17" i="7"/>
  <c r="CL41" i="3"/>
  <c r="CH41" i="3"/>
  <c r="CG41" i="3"/>
  <c r="BU41" i="3"/>
  <c r="BT41" i="3"/>
  <c r="BS41" i="3"/>
  <c r="BP41" i="3"/>
  <c r="BO41" i="3"/>
  <c r="BN41" i="3"/>
  <c r="BK41" i="3"/>
  <c r="BJ41" i="3"/>
  <c r="BI41" i="3"/>
  <c r="BF41" i="3"/>
  <c r="BE41" i="3"/>
  <c r="BD41" i="3"/>
  <c r="BA41" i="3"/>
  <c r="AZ41" i="3"/>
  <c r="AY41" i="3"/>
  <c r="AV41" i="3"/>
  <c r="AU41" i="3"/>
  <c r="AT41" i="3"/>
  <c r="AQ41" i="3"/>
  <c r="AP41" i="3"/>
  <c r="AL41" i="3"/>
  <c r="AK41" i="3"/>
  <c r="AG41" i="3"/>
  <c r="AF41" i="3"/>
  <c r="AE41" i="3"/>
  <c r="AB41" i="3"/>
  <c r="AA41" i="3"/>
  <c r="Z41" i="3"/>
  <c r="W41" i="3"/>
  <c r="V41" i="3"/>
  <c r="U41" i="3"/>
  <c r="R41" i="3"/>
  <c r="Q41" i="3"/>
  <c r="P41" i="3"/>
  <c r="CL40" i="3"/>
  <c r="CH40" i="3"/>
  <c r="CG40" i="3"/>
  <c r="BU40" i="3"/>
  <c r="BT40" i="3"/>
  <c r="BS40" i="3"/>
  <c r="BP40" i="3"/>
  <c r="BO40" i="3"/>
  <c r="BN40" i="3"/>
  <c r="BK40" i="3"/>
  <c r="BJ40" i="3"/>
  <c r="BI40" i="3"/>
  <c r="BF40" i="3"/>
  <c r="BE40" i="3"/>
  <c r="BD40" i="3"/>
  <c r="BA40" i="3"/>
  <c r="BA42" i="3"/>
  <c r="BA46" i="3"/>
  <c r="AZ40" i="3"/>
  <c r="AY40" i="3"/>
  <c r="AV40" i="3"/>
  <c r="AU40" i="3"/>
  <c r="AT40" i="3"/>
  <c r="AQ40" i="3"/>
  <c r="AP40" i="3"/>
  <c r="AO40" i="3"/>
  <c r="AL40" i="3"/>
  <c r="AK40" i="3"/>
  <c r="AJ40" i="3"/>
  <c r="AG40" i="3"/>
  <c r="AF40" i="3"/>
  <c r="AE40" i="3"/>
  <c r="AB40" i="3"/>
  <c r="AA40" i="3"/>
  <c r="Z40" i="3"/>
  <c r="W40" i="3"/>
  <c r="V40" i="3"/>
  <c r="U40" i="3"/>
  <c r="R40" i="3"/>
  <c r="Q40" i="3"/>
  <c r="P40" i="3"/>
  <c r="AO41" i="3"/>
  <c r="AJ41" i="3"/>
  <c r="D29" i="6"/>
  <c r="F29" i="6"/>
  <c r="J29" i="6"/>
  <c r="B18" i="6"/>
  <c r="B19" i="6"/>
  <c r="B20" i="6"/>
  <c r="B21" i="6"/>
  <c r="B22" i="6"/>
  <c r="B23" i="6"/>
  <c r="B24" i="6"/>
  <c r="B17" i="6"/>
  <c r="H69" i="16"/>
  <c r="H19" i="16"/>
  <c r="I69" i="16"/>
  <c r="I19" i="16"/>
  <c r="J69" i="16"/>
  <c r="J19" i="16"/>
  <c r="W17" i="5"/>
  <c r="W18" i="5"/>
  <c r="W19" i="5"/>
  <c r="W20" i="5"/>
  <c r="W21" i="5"/>
  <c r="W22" i="5"/>
  <c r="W23" i="5"/>
  <c r="W16" i="5"/>
  <c r="M41" i="3"/>
  <c r="L41" i="3"/>
  <c r="K41" i="3"/>
  <c r="J41" i="3"/>
  <c r="H41" i="3"/>
  <c r="G41" i="3"/>
  <c r="F41" i="3"/>
  <c r="E41" i="3"/>
  <c r="N37" i="3"/>
  <c r="T37" i="3"/>
  <c r="X37" i="3"/>
  <c r="AD37" i="3"/>
  <c r="AH37" i="3"/>
  <c r="AN37" i="3"/>
  <c r="AR37" i="3"/>
  <c r="AX37" i="3"/>
  <c r="BB37" i="3"/>
  <c r="BH37" i="3"/>
  <c r="BL37" i="3"/>
  <c r="BR37" i="3"/>
  <c r="BV37" i="3"/>
  <c r="I37" i="3"/>
  <c r="O37" i="3"/>
  <c r="S37" i="3"/>
  <c r="Y37" i="3"/>
  <c r="AC37" i="3"/>
  <c r="AI37" i="3"/>
  <c r="AM37" i="3"/>
  <c r="AS37" i="3"/>
  <c r="AW37" i="3"/>
  <c r="BC37" i="3"/>
  <c r="BG37" i="3"/>
  <c r="I28" i="3"/>
  <c r="O28" i="3"/>
  <c r="N28" i="3"/>
  <c r="T28" i="3"/>
  <c r="X28" i="3"/>
  <c r="AD28" i="3"/>
  <c r="AH28" i="3"/>
  <c r="AN28" i="3"/>
  <c r="AR28" i="3"/>
  <c r="AX28" i="3"/>
  <c r="BB28" i="3"/>
  <c r="BH28" i="3"/>
  <c r="BL28" i="3"/>
  <c r="BR28" i="3"/>
  <c r="BV28" i="3"/>
  <c r="I26" i="3"/>
  <c r="O26" i="3"/>
  <c r="S26" i="3"/>
  <c r="Y26" i="3"/>
  <c r="AC26" i="3"/>
  <c r="AI26" i="3"/>
  <c r="AM26" i="3"/>
  <c r="AS26" i="3"/>
  <c r="AW26" i="3"/>
  <c r="BC26" i="3"/>
  <c r="BG26" i="3"/>
  <c r="BM26" i="3"/>
  <c r="BQ26" i="3"/>
  <c r="N26" i="3"/>
  <c r="T26" i="3"/>
  <c r="X26" i="3"/>
  <c r="AD26" i="3"/>
  <c r="AH26" i="3"/>
  <c r="AN26" i="3"/>
  <c r="AR26" i="3"/>
  <c r="AX26" i="3"/>
  <c r="BB26" i="3"/>
  <c r="BH26" i="3"/>
  <c r="BL26" i="3"/>
  <c r="BR26" i="3"/>
  <c r="BV26" i="3"/>
  <c r="I27" i="3"/>
  <c r="O27" i="3"/>
  <c r="S27" i="3"/>
  <c r="Y27" i="3"/>
  <c r="AC27" i="3"/>
  <c r="AI27" i="3"/>
  <c r="AM27" i="3"/>
  <c r="AS27" i="3"/>
  <c r="AW27" i="3"/>
  <c r="BC27" i="3"/>
  <c r="BG27" i="3"/>
  <c r="BM27" i="3"/>
  <c r="BQ27" i="3"/>
  <c r="BW27" i="3"/>
  <c r="CA27" i="3"/>
  <c r="N27" i="3"/>
  <c r="T27" i="3"/>
  <c r="X27" i="3"/>
  <c r="AD27" i="3"/>
  <c r="AH27" i="3"/>
  <c r="AN27" i="3"/>
  <c r="AR27" i="3"/>
  <c r="AX27" i="3"/>
  <c r="BB27" i="3"/>
  <c r="BH27" i="3"/>
  <c r="BL27" i="3"/>
  <c r="BR27" i="3"/>
  <c r="BV27" i="3"/>
  <c r="J29" i="5"/>
  <c r="K29" i="5"/>
  <c r="B17" i="5"/>
  <c r="B18" i="5"/>
  <c r="B19" i="5"/>
  <c r="B20" i="5"/>
  <c r="B21" i="5"/>
  <c r="B22" i="5"/>
  <c r="B23" i="5"/>
  <c r="B16" i="5"/>
  <c r="I29" i="3"/>
  <c r="O29" i="3"/>
  <c r="S29" i="3"/>
  <c r="S40" i="3"/>
  <c r="N29" i="3"/>
  <c r="T29" i="3"/>
  <c r="X29" i="3"/>
  <c r="I30" i="3"/>
  <c r="O30" i="3"/>
  <c r="S30" i="3"/>
  <c r="Y30" i="3"/>
  <c r="AC30" i="3"/>
  <c r="AI30" i="3"/>
  <c r="AM30" i="3"/>
  <c r="AS30" i="3"/>
  <c r="AW30" i="3"/>
  <c r="BC30" i="3"/>
  <c r="BG30" i="3"/>
  <c r="BM30" i="3"/>
  <c r="BQ30" i="3"/>
  <c r="N30" i="3"/>
  <c r="T30" i="3"/>
  <c r="X30" i="3"/>
  <c r="AD30" i="3"/>
  <c r="AH30" i="3"/>
  <c r="AN30" i="3"/>
  <c r="AR30" i="3"/>
  <c r="AX30" i="3"/>
  <c r="BB30" i="3"/>
  <c r="BH30" i="3"/>
  <c r="BL30" i="3"/>
  <c r="BR30" i="3"/>
  <c r="BV30" i="3"/>
  <c r="I31" i="3"/>
  <c r="O31" i="3"/>
  <c r="S31" i="3"/>
  <c r="Y31" i="3"/>
  <c r="AC31" i="3"/>
  <c r="AI31" i="3"/>
  <c r="AM31" i="3"/>
  <c r="AS31" i="3"/>
  <c r="AW31" i="3"/>
  <c r="BC31" i="3"/>
  <c r="BG31" i="3"/>
  <c r="BM31" i="3"/>
  <c r="BQ31" i="3"/>
  <c r="BW31" i="3"/>
  <c r="CA31" i="3"/>
  <c r="N31" i="3"/>
  <c r="T31" i="3"/>
  <c r="X31" i="3"/>
  <c r="AD31" i="3"/>
  <c r="AH31" i="3"/>
  <c r="AN31" i="3"/>
  <c r="AR31" i="3"/>
  <c r="AX31" i="3"/>
  <c r="BB31" i="3"/>
  <c r="BH31" i="3"/>
  <c r="BL31" i="3"/>
  <c r="BR31" i="3"/>
  <c r="BV31" i="3"/>
  <c r="I32" i="3"/>
  <c r="O32" i="3"/>
  <c r="S32" i="3"/>
  <c r="Y32" i="3"/>
  <c r="AC32" i="3"/>
  <c r="AI32" i="3"/>
  <c r="AM32" i="3"/>
  <c r="AS32" i="3"/>
  <c r="AW32" i="3"/>
  <c r="BC32" i="3"/>
  <c r="BG32" i="3"/>
  <c r="BM32" i="3"/>
  <c r="BQ32" i="3"/>
  <c r="BW32" i="3"/>
  <c r="CA32" i="3"/>
  <c r="N32" i="3"/>
  <c r="T32" i="3"/>
  <c r="X32" i="3"/>
  <c r="AD32" i="3"/>
  <c r="AH32" i="3"/>
  <c r="AN32" i="3"/>
  <c r="AR32" i="3"/>
  <c r="AX32" i="3"/>
  <c r="BB32" i="3"/>
  <c r="BH32" i="3"/>
  <c r="BL32" i="3"/>
  <c r="BR32" i="3"/>
  <c r="BV32" i="3"/>
  <c r="I33" i="3"/>
  <c r="O33" i="3"/>
  <c r="S33" i="3"/>
  <c r="Y33" i="3"/>
  <c r="AC33" i="3"/>
  <c r="AI33" i="3"/>
  <c r="AM33" i="3"/>
  <c r="AS33" i="3"/>
  <c r="AW33" i="3"/>
  <c r="BC33" i="3"/>
  <c r="BG33" i="3"/>
  <c r="BM33" i="3"/>
  <c r="BQ33" i="3"/>
  <c r="N33" i="3"/>
  <c r="T33" i="3"/>
  <c r="X33" i="3"/>
  <c r="AD33" i="3"/>
  <c r="AH33" i="3"/>
  <c r="AN33" i="3"/>
  <c r="AR33" i="3"/>
  <c r="AX33" i="3"/>
  <c r="BB33" i="3"/>
  <c r="BH33" i="3"/>
  <c r="BL33" i="3"/>
  <c r="BR33" i="3"/>
  <c r="BV33" i="3"/>
  <c r="I34" i="3"/>
  <c r="O34" i="3"/>
  <c r="S34" i="3"/>
  <c r="Y34" i="3"/>
  <c r="AC34" i="3"/>
  <c r="AI34" i="3"/>
  <c r="AM34" i="3"/>
  <c r="AS34" i="3"/>
  <c r="AW34" i="3"/>
  <c r="BC34" i="3"/>
  <c r="BG34" i="3"/>
  <c r="N34" i="3"/>
  <c r="T34" i="3"/>
  <c r="X34" i="3"/>
  <c r="AD34" i="3"/>
  <c r="AH34" i="3"/>
  <c r="AN34" i="3"/>
  <c r="AR34" i="3"/>
  <c r="AX34" i="3"/>
  <c r="BB34" i="3"/>
  <c r="BH34" i="3"/>
  <c r="BL34" i="3"/>
  <c r="BR34" i="3"/>
  <c r="BV34" i="3"/>
  <c r="I35" i="3"/>
  <c r="O35" i="3"/>
  <c r="S35" i="3"/>
  <c r="Y35" i="3"/>
  <c r="AC35" i="3"/>
  <c r="AI35" i="3"/>
  <c r="AM35" i="3"/>
  <c r="AS35" i="3"/>
  <c r="AW35" i="3"/>
  <c r="BC35" i="3"/>
  <c r="BG35" i="3"/>
  <c r="BM35" i="3"/>
  <c r="BQ35" i="3"/>
  <c r="N35" i="3"/>
  <c r="T35" i="3"/>
  <c r="X35" i="3"/>
  <c r="AD35" i="3"/>
  <c r="AH35" i="3"/>
  <c r="AN35" i="3"/>
  <c r="AR35" i="3"/>
  <c r="AX35" i="3"/>
  <c r="BB35" i="3"/>
  <c r="BH35" i="3"/>
  <c r="BL35" i="3"/>
  <c r="BR35" i="3"/>
  <c r="BV35" i="3"/>
  <c r="I36" i="3"/>
  <c r="O36" i="3"/>
  <c r="S36" i="3"/>
  <c r="Y36" i="3"/>
  <c r="AC36" i="3"/>
  <c r="AI36" i="3"/>
  <c r="AM36" i="3"/>
  <c r="AS36" i="3"/>
  <c r="AW36" i="3"/>
  <c r="BC36" i="3"/>
  <c r="BG36" i="3"/>
  <c r="N36" i="3"/>
  <c r="T36" i="3"/>
  <c r="X36" i="3"/>
  <c r="AD36" i="3"/>
  <c r="AH36" i="3"/>
  <c r="AN36" i="3"/>
  <c r="AR36" i="3"/>
  <c r="AX36" i="3"/>
  <c r="BB36" i="3"/>
  <c r="BH36" i="3"/>
  <c r="BL36" i="3"/>
  <c r="BR36" i="3"/>
  <c r="BV36" i="3"/>
  <c r="U29" i="4"/>
  <c r="J26" i="4"/>
  <c r="J27" i="4"/>
  <c r="J28" i="4"/>
  <c r="K17" i="4"/>
  <c r="G17" i="7"/>
  <c r="K18" i="4"/>
  <c r="G18" i="7"/>
  <c r="K22" i="4"/>
  <c r="G22" i="7"/>
  <c r="K26" i="4"/>
  <c r="K27" i="4"/>
  <c r="K28" i="4"/>
  <c r="L29" i="4"/>
  <c r="M29" i="4"/>
  <c r="N29" i="4"/>
  <c r="O29" i="4"/>
  <c r="P29" i="4"/>
  <c r="Q29" i="4"/>
  <c r="E13" i="7"/>
  <c r="I21" i="3"/>
  <c r="O21" i="3"/>
  <c r="S21" i="3"/>
  <c r="Y21" i="3"/>
  <c r="AC21" i="3"/>
  <c r="AI21" i="3"/>
  <c r="AM21" i="3"/>
  <c r="AS21" i="3"/>
  <c r="AW21" i="3"/>
  <c r="BC21" i="3"/>
  <c r="BG21" i="3"/>
  <c r="BM21" i="3"/>
  <c r="BQ21" i="3"/>
  <c r="BW21" i="3"/>
  <c r="CA21" i="3"/>
  <c r="I22" i="3"/>
  <c r="O22" i="3"/>
  <c r="S22" i="3"/>
  <c r="Y22" i="3"/>
  <c r="AC22" i="3"/>
  <c r="AI22" i="3"/>
  <c r="AM22" i="3"/>
  <c r="AS22" i="3"/>
  <c r="AW22" i="3"/>
  <c r="BC22" i="3"/>
  <c r="BG22" i="3"/>
  <c r="BM22" i="3"/>
  <c r="BQ22" i="3"/>
  <c r="N21" i="3"/>
  <c r="T21" i="3"/>
  <c r="X21" i="3"/>
  <c r="AD21" i="3"/>
  <c r="AH21" i="3"/>
  <c r="AN21" i="3"/>
  <c r="AR21" i="3"/>
  <c r="AX21" i="3"/>
  <c r="BB21" i="3"/>
  <c r="BH21" i="3"/>
  <c r="BL21" i="3"/>
  <c r="BR21" i="3"/>
  <c r="BV21" i="3"/>
  <c r="N22" i="3"/>
  <c r="T22" i="3"/>
  <c r="X22" i="3"/>
  <c r="AD22" i="3"/>
  <c r="AH22" i="3"/>
  <c r="AN22" i="3"/>
  <c r="AR22" i="3"/>
  <c r="AX22" i="3"/>
  <c r="BB22" i="3"/>
  <c r="BH22" i="3"/>
  <c r="BL22" i="3"/>
  <c r="BR22" i="3"/>
  <c r="BV22" i="3"/>
  <c r="CB22" i="3"/>
  <c r="CF22" i="3"/>
  <c r="CJ22" i="3"/>
  <c r="M40" i="3"/>
  <c r="L40" i="3"/>
  <c r="K40" i="3"/>
  <c r="J40" i="3"/>
  <c r="H40" i="3"/>
  <c r="G40" i="3"/>
  <c r="F40" i="3"/>
  <c r="E40" i="3"/>
  <c r="C40" i="3"/>
  <c r="I40" i="3"/>
  <c r="L42" i="3"/>
  <c r="L46" i="3"/>
  <c r="G42" i="3"/>
  <c r="G46" i="3"/>
  <c r="W42" i="3"/>
  <c r="W46" i="3"/>
  <c r="AE42" i="3"/>
  <c r="AE46" i="3"/>
  <c r="CI21" i="3"/>
  <c r="CK21" i="3"/>
  <c r="CI32" i="3"/>
  <c r="CI31" i="3"/>
  <c r="CK31" i="3"/>
  <c r="CI27" i="3"/>
  <c r="CK27" i="3"/>
  <c r="V42" i="3"/>
  <c r="V46" i="3"/>
  <c r="CB44" i="3"/>
  <c r="CF44" i="3"/>
  <c r="CJ44" i="3"/>
  <c r="BW33" i="3"/>
  <c r="CA33" i="3"/>
  <c r="CB35" i="3"/>
  <c r="CF35" i="3"/>
  <c r="CJ35" i="3"/>
  <c r="CB33" i="3"/>
  <c r="CF33" i="3"/>
  <c r="CJ33" i="3"/>
  <c r="CB36" i="3"/>
  <c r="CF36" i="3"/>
  <c r="CJ36" i="3"/>
  <c r="BW35" i="3"/>
  <c r="CA35" i="3"/>
  <c r="CB27" i="3"/>
  <c r="CF27" i="3"/>
  <c r="CJ27" i="3"/>
  <c r="CB28" i="3"/>
  <c r="CF28" i="3"/>
  <c r="CJ28" i="3"/>
  <c r="CB32" i="3"/>
  <c r="CF32" i="3"/>
  <c r="CJ32" i="3"/>
  <c r="CB37" i="3"/>
  <c r="CF37" i="3"/>
  <c r="N40" i="3"/>
  <c r="BW22" i="3"/>
  <c r="CA22" i="3"/>
  <c r="CB34" i="3"/>
  <c r="CF34" i="3"/>
  <c r="CJ34" i="3"/>
  <c r="CB30" i="3"/>
  <c r="CF30" i="3"/>
  <c r="CJ30" i="3"/>
  <c r="BW26" i="3"/>
  <c r="CA26" i="3"/>
  <c r="CB21" i="3"/>
  <c r="CF21" i="3"/>
  <c r="CJ21" i="3"/>
  <c r="CB31" i="3"/>
  <c r="CF31" i="3"/>
  <c r="CJ31" i="3"/>
  <c r="BW30" i="3"/>
  <c r="CA30" i="3"/>
  <c r="CB26" i="3"/>
  <c r="CF26" i="3"/>
  <c r="CJ26" i="3"/>
  <c r="BE42" i="3"/>
  <c r="BE46" i="3"/>
  <c r="AG42" i="3"/>
  <c r="AG46" i="3"/>
  <c r="P42" i="3"/>
  <c r="P46" i="3"/>
  <c r="R42" i="3"/>
  <c r="R46" i="3"/>
  <c r="BD42" i="3"/>
  <c r="BD46" i="3"/>
  <c r="CG42" i="3"/>
  <c r="CG46" i="3"/>
  <c r="AT42" i="3"/>
  <c r="AT46" i="3"/>
  <c r="BK42" i="3"/>
  <c r="BK46" i="3"/>
  <c r="BT42" i="3"/>
  <c r="BT46" i="3"/>
  <c r="AY42" i="3"/>
  <c r="AY46" i="3"/>
  <c r="AK42" i="3"/>
  <c r="AK46" i="3"/>
  <c r="U42" i="3"/>
  <c r="U46" i="3"/>
  <c r="BN42" i="3"/>
  <c r="BN46" i="3"/>
  <c r="Y29" i="3"/>
  <c r="Y40" i="3"/>
  <c r="O41" i="3"/>
  <c r="S28" i="3"/>
  <c r="Y28" i="3"/>
  <c r="AC28" i="3"/>
  <c r="AI28" i="3"/>
  <c r="AM28" i="3"/>
  <c r="AS28" i="3"/>
  <c r="AW28" i="3"/>
  <c r="BC28" i="3"/>
  <c r="BG28" i="3"/>
  <c r="BM28" i="3"/>
  <c r="BQ28" i="3"/>
  <c r="Q42" i="3"/>
  <c r="Q46" i="3"/>
  <c r="AU42" i="3"/>
  <c r="AU46" i="3"/>
  <c r="AJ42" i="3"/>
  <c r="AJ46" i="3"/>
  <c r="AV42" i="3"/>
  <c r="AV46" i="3"/>
  <c r="BJ42" i="3"/>
  <c r="BJ46" i="3"/>
  <c r="AO42" i="3"/>
  <c r="AO46" i="3"/>
  <c r="CH42" i="3"/>
  <c r="CH46" i="3"/>
  <c r="AB42" i="3"/>
  <c r="AB46" i="3"/>
  <c r="BF42" i="3"/>
  <c r="BF46" i="3"/>
  <c r="J42" i="3"/>
  <c r="J46" i="3"/>
  <c r="CL42" i="3"/>
  <c r="CL46" i="3"/>
  <c r="K42" i="3"/>
  <c r="K46" i="3"/>
  <c r="Z42" i="3"/>
  <c r="Z46" i="3"/>
  <c r="AP42" i="3"/>
  <c r="AP46" i="3"/>
  <c r="BP42" i="3"/>
  <c r="BP46" i="3"/>
  <c r="AA42" i="3"/>
  <c r="AA46" i="3"/>
  <c r="AQ42" i="3"/>
  <c r="AQ46" i="3"/>
  <c r="M42" i="3"/>
  <c r="M46" i="3"/>
  <c r="H42" i="3"/>
  <c r="H46" i="3"/>
  <c r="AL42" i="3"/>
  <c r="AL46" i="3"/>
  <c r="F42" i="3"/>
  <c r="F46" i="3"/>
  <c r="E42" i="3"/>
  <c r="E46" i="3"/>
  <c r="AF42" i="3"/>
  <c r="AF46" i="3"/>
  <c r="BM36" i="3"/>
  <c r="BQ36" i="3"/>
  <c r="BW36" i="3"/>
  <c r="CA36" i="3"/>
  <c r="BM37" i="3"/>
  <c r="BQ37" i="3"/>
  <c r="BW37" i="3"/>
  <c r="CA37" i="3"/>
  <c r="CI37" i="3"/>
  <c r="CK37" i="3"/>
  <c r="BM34" i="3"/>
  <c r="BQ34" i="3"/>
  <c r="X41" i="3"/>
  <c r="T40" i="3"/>
  <c r="T41" i="3"/>
  <c r="N41" i="3"/>
  <c r="I41" i="3"/>
  <c r="I42" i="3"/>
  <c r="I46" i="3"/>
  <c r="AD29" i="3"/>
  <c r="X40" i="3"/>
  <c r="O40" i="3"/>
  <c r="AZ42" i="3"/>
  <c r="AZ46" i="3"/>
  <c r="BI42" i="3"/>
  <c r="BI46" i="3"/>
  <c r="BS42" i="3"/>
  <c r="BS46" i="3"/>
  <c r="BO42" i="3"/>
  <c r="BO46" i="3"/>
  <c r="BU42" i="3"/>
  <c r="BU46" i="3"/>
  <c r="AW44" i="3"/>
  <c r="W28" i="5"/>
  <c r="W29" i="5"/>
  <c r="CP32" i="3"/>
  <c r="CK32" i="3"/>
  <c r="CN32" i="3"/>
  <c r="CP22" i="3"/>
  <c r="CI22" i="3"/>
  <c r="CK22" i="3"/>
  <c r="CM22" i="3"/>
  <c r="CP33" i="3"/>
  <c r="CI33" i="3"/>
  <c r="CK33" i="3"/>
  <c r="CM33" i="3"/>
  <c r="CP36" i="3"/>
  <c r="CI36" i="3"/>
  <c r="CP26" i="3"/>
  <c r="CI26" i="3"/>
  <c r="CP27" i="3"/>
  <c r="N42" i="3"/>
  <c r="N46" i="3"/>
  <c r="CP30" i="3"/>
  <c r="CI30" i="3"/>
  <c r="CK30" i="3"/>
  <c r="CM30" i="3"/>
  <c r="CP35" i="3"/>
  <c r="CI35" i="3"/>
  <c r="CP31" i="3"/>
  <c r="CP21" i="3"/>
  <c r="CP37" i="3"/>
  <c r="CJ37" i="3"/>
  <c r="CM21" i="3"/>
  <c r="BW34" i="3"/>
  <c r="CA34" i="3"/>
  <c r="BW28" i="3"/>
  <c r="CA28" i="3"/>
  <c r="CN21" i="3"/>
  <c r="G28" i="5"/>
  <c r="CM31" i="3"/>
  <c r="CM27" i="3"/>
  <c r="CM32" i="3"/>
  <c r="O42" i="3"/>
  <c r="O46" i="3"/>
  <c r="AC29" i="3"/>
  <c r="S41" i="3"/>
  <c r="S42" i="3"/>
  <c r="S46" i="3"/>
  <c r="Y41" i="3"/>
  <c r="Y42" i="3"/>
  <c r="Y46" i="3"/>
  <c r="CN27" i="3"/>
  <c r="M28" i="5"/>
  <c r="X42" i="3"/>
  <c r="X46" i="3"/>
  <c r="T42" i="3"/>
  <c r="T46" i="3"/>
  <c r="AD41" i="3"/>
  <c r="AD40" i="3"/>
  <c r="AH29" i="3"/>
  <c r="BC44" i="3"/>
  <c r="BG44" i="3"/>
  <c r="CK36" i="3"/>
  <c r="CN36" i="3"/>
  <c r="CK35" i="3"/>
  <c r="CM35" i="3"/>
  <c r="CP34" i="3"/>
  <c r="CI34" i="3"/>
  <c r="CK34" i="3"/>
  <c r="CM34" i="3"/>
  <c r="CN22" i="3"/>
  <c r="H28" i="5"/>
  <c r="CP28" i="3"/>
  <c r="CI28" i="3"/>
  <c r="CK28" i="3"/>
  <c r="CM28" i="3"/>
  <c r="CK26" i="3"/>
  <c r="CM26" i="3"/>
  <c r="CM37" i="3"/>
  <c r="CM36" i="3"/>
  <c r="AI29" i="3"/>
  <c r="AC40" i="3"/>
  <c r="AC41" i="3"/>
  <c r="AD42" i="3"/>
  <c r="AD46" i="3"/>
  <c r="AH40" i="3"/>
  <c r="AH41" i="3"/>
  <c r="AN29" i="3"/>
  <c r="BM44" i="3"/>
  <c r="CN28" i="3"/>
  <c r="N28" i="5"/>
  <c r="CN26" i="3"/>
  <c r="L28" i="5"/>
  <c r="AC42" i="3"/>
  <c r="AC46" i="3"/>
  <c r="AI40" i="3"/>
  <c r="AM29" i="3"/>
  <c r="AI41" i="3"/>
  <c r="AR29" i="3"/>
  <c r="AN40" i="3"/>
  <c r="AN41" i="3"/>
  <c r="AH42" i="3"/>
  <c r="AH46" i="3"/>
  <c r="BQ44" i="3"/>
  <c r="BW44" i="3"/>
  <c r="CA44" i="3"/>
  <c r="CI44" i="3"/>
  <c r="CP44" i="3"/>
  <c r="AI42" i="3"/>
  <c r="AI46" i="3"/>
  <c r="AM41" i="3"/>
  <c r="AS29" i="3"/>
  <c r="AM40" i="3"/>
  <c r="AR41" i="3"/>
  <c r="AX29" i="3"/>
  <c r="AR40" i="3"/>
  <c r="AN42" i="3"/>
  <c r="AN46" i="3"/>
  <c r="CK44" i="3"/>
  <c r="CM44" i="3"/>
  <c r="T21" i="5"/>
  <c r="P21" i="5"/>
  <c r="P19" i="5"/>
  <c r="R20" i="5"/>
  <c r="Q22" i="5"/>
  <c r="V23" i="5"/>
  <c r="U29" i="5"/>
  <c r="O16" i="5"/>
  <c r="O20" i="5"/>
  <c r="T17" i="5"/>
  <c r="S17" i="5"/>
  <c r="AM42" i="3"/>
  <c r="AM46" i="3"/>
  <c r="AW29" i="3"/>
  <c r="AS41" i="3"/>
  <c r="AS40" i="3"/>
  <c r="AR42" i="3"/>
  <c r="AR46" i="3"/>
  <c r="BB29" i="3"/>
  <c r="AX40" i="3"/>
  <c r="AX41" i="3"/>
  <c r="T19" i="5"/>
  <c r="T22" i="5"/>
  <c r="T16" i="5"/>
  <c r="T24" i="5"/>
  <c r="T18" i="5"/>
  <c r="T23" i="5"/>
  <c r="R23" i="5"/>
  <c r="CN44" i="3"/>
  <c r="T20" i="5"/>
  <c r="O22" i="5"/>
  <c r="S16" i="5"/>
  <c r="S22" i="5"/>
  <c r="O23" i="5"/>
  <c r="R24" i="5"/>
  <c r="Q16" i="5"/>
  <c r="P17" i="5"/>
  <c r="Q17" i="5"/>
  <c r="S20" i="5"/>
  <c r="S23" i="5"/>
  <c r="S21" i="5"/>
  <c r="Q23" i="5"/>
  <c r="O18" i="5"/>
  <c r="Q24" i="5"/>
  <c r="R19" i="5"/>
  <c r="R16" i="5"/>
  <c r="R29" i="5" s="1"/>
  <c r="O24" i="5"/>
  <c r="P18" i="5"/>
  <c r="S24" i="5"/>
  <c r="R17" i="5"/>
  <c r="R18" i="5"/>
  <c r="R22" i="5"/>
  <c r="S19" i="5"/>
  <c r="S18" i="5"/>
  <c r="R21" i="5"/>
  <c r="AS42" i="3"/>
  <c r="AS46" i="3"/>
  <c r="AW41" i="3"/>
  <c r="AW40" i="3"/>
  <c r="BC29" i="3"/>
  <c r="AX42" i="3"/>
  <c r="AX46" i="3"/>
  <c r="BH29" i="3"/>
  <c r="BB40" i="3"/>
  <c r="BB41" i="3"/>
  <c r="V32" i="4"/>
  <c r="R33" i="4"/>
  <c r="AW42" i="3"/>
  <c r="AW46" i="3"/>
  <c r="BG29" i="3"/>
  <c r="BC41" i="3"/>
  <c r="BC40" i="3"/>
  <c r="BB42" i="3"/>
  <c r="BB46" i="3"/>
  <c r="BH40" i="3"/>
  <c r="BH41" i="3"/>
  <c r="BL29" i="3"/>
  <c r="BC42" i="3"/>
  <c r="BC46" i="3"/>
  <c r="BG41" i="3"/>
  <c r="BG40" i="3"/>
  <c r="BM29" i="3"/>
  <c r="BH42" i="3"/>
  <c r="BH46" i="3"/>
  <c r="BL41" i="3"/>
  <c r="BR29" i="3"/>
  <c r="BL40" i="3"/>
  <c r="BG42" i="3"/>
  <c r="BG46" i="3"/>
  <c r="BM40" i="3"/>
  <c r="BQ29" i="3"/>
  <c r="BW29" i="3"/>
  <c r="BW41" i="3"/>
  <c r="BM41" i="3"/>
  <c r="BL42" i="3"/>
  <c r="BL46" i="3"/>
  <c r="BR41" i="3"/>
  <c r="BR40" i="3"/>
  <c r="BV29" i="3"/>
  <c r="CB29" i="3"/>
  <c r="CB40" i="3"/>
  <c r="CB41" i="3"/>
  <c r="CA29" i="3"/>
  <c r="BW40" i="3"/>
  <c r="BW42" i="3"/>
  <c r="BW46" i="3"/>
  <c r="CF29" i="3"/>
  <c r="BQ41" i="3"/>
  <c r="BQ40" i="3"/>
  <c r="BM42" i="3"/>
  <c r="BM46" i="3"/>
  <c r="BV41" i="3"/>
  <c r="BV40" i="3"/>
  <c r="BR42" i="3"/>
  <c r="BR46" i="3"/>
  <c r="CF41" i="3"/>
  <c r="CF40" i="3"/>
  <c r="CJ29" i="3"/>
  <c r="CJ41" i="3"/>
  <c r="CB42" i="3"/>
  <c r="CB46" i="3"/>
  <c r="CA41" i="3"/>
  <c r="CP41" i="3"/>
  <c r="CA40" i="3"/>
  <c r="CP29" i="3"/>
  <c r="CI29" i="3"/>
  <c r="BQ42" i="3"/>
  <c r="BQ46" i="3"/>
  <c r="BV42" i="3"/>
  <c r="CF42" i="3"/>
  <c r="CB50" i="3"/>
  <c r="CI40" i="3"/>
  <c r="CK29" i="3"/>
  <c r="CN29" i="3"/>
  <c r="CN41" i="3"/>
  <c r="CJ40" i="3"/>
  <c r="CJ42" i="3"/>
  <c r="CJ46" i="3"/>
  <c r="CI41" i="3"/>
  <c r="CA42" i="3"/>
  <c r="CP40" i="3"/>
  <c r="BV46" i="3"/>
  <c r="CF46" i="3"/>
  <c r="CA46" i="3"/>
  <c r="CA50" i="3"/>
  <c r="CC50" i="3"/>
  <c r="CI42" i="3"/>
  <c r="CI46" i="3"/>
  <c r="D25" i="16"/>
  <c r="D25" i="29"/>
  <c r="CN40" i="3"/>
  <c r="CK41" i="3"/>
  <c r="CM29" i="3"/>
  <c r="CK40" i="3"/>
  <c r="CN42" i="3"/>
  <c r="CN46" i="3" s="1"/>
  <c r="D33" i="4" s="1"/>
  <c r="CK42" i="3"/>
  <c r="CK46" i="3"/>
  <c r="CM40" i="3"/>
  <c r="CM41" i="3"/>
  <c r="CM42" i="3"/>
  <c r="CM46" i="3" s="1"/>
  <c r="CO46" i="3"/>
  <c r="CP46" i="3"/>
  <c r="CP42" i="3"/>
  <c r="U1" i="4"/>
  <c r="C23" i="32"/>
  <c r="K23" i="32"/>
  <c r="D18" i="7"/>
  <c r="L18" i="7"/>
  <c r="J18" i="4"/>
  <c r="J24" i="4"/>
  <c r="C29" i="32"/>
  <c r="K29" i="32"/>
  <c r="D24" i="7"/>
  <c r="E19" i="7"/>
  <c r="L19" i="7"/>
  <c r="C18" i="6"/>
  <c r="I18" i="6"/>
  <c r="D19" i="7"/>
  <c r="F29" i="4"/>
  <c r="C17" i="6"/>
  <c r="D22" i="7"/>
  <c r="C27" i="32"/>
  <c r="K27" i="32"/>
  <c r="J22" i="4"/>
  <c r="C22" i="6"/>
  <c r="I22" i="6"/>
  <c r="E24" i="7"/>
  <c r="L24" i="7"/>
  <c r="D29" i="32"/>
  <c r="L29" i="32"/>
  <c r="K24" i="4"/>
  <c r="G24" i="7"/>
  <c r="K24" i="7"/>
  <c r="N24" i="7"/>
  <c r="E21" i="7"/>
  <c r="L21" i="7"/>
  <c r="D28" i="32"/>
  <c r="L28" i="32"/>
  <c r="K23" i="4"/>
  <c r="G23" i="7"/>
  <c r="E23" i="7"/>
  <c r="L23" i="7"/>
  <c r="C23" i="6"/>
  <c r="I23" i="6"/>
  <c r="E20" i="7"/>
  <c r="L20" i="7"/>
  <c r="C22" i="32"/>
  <c r="K22" i="32"/>
  <c r="J17" i="4"/>
  <c r="D17" i="7"/>
  <c r="L17" i="7"/>
  <c r="C28" i="32"/>
  <c r="K28" i="32"/>
  <c r="J23" i="4"/>
  <c r="D23" i="7"/>
  <c r="C24" i="6"/>
  <c r="I24" i="6"/>
  <c r="D19" i="5"/>
  <c r="D20" i="5"/>
  <c r="D17" i="5"/>
  <c r="D21" i="5"/>
  <c r="D23" i="5"/>
  <c r="D16" i="5"/>
  <c r="D22" i="5"/>
  <c r="F24" i="7"/>
  <c r="F17" i="7"/>
  <c r="K17" i="7"/>
  <c r="N17" i="7"/>
  <c r="K23" i="7"/>
  <c r="N23" i="7"/>
  <c r="I17" i="6"/>
  <c r="F18" i="7"/>
  <c r="K18" i="7"/>
  <c r="N18" i="7"/>
  <c r="D18" i="5"/>
  <c r="F23" i="7"/>
  <c r="F22" i="7"/>
  <c r="K22" i="7"/>
  <c r="N22" i="7"/>
  <c r="D28" i="5"/>
  <c r="V29" i="4"/>
  <c r="E21" i="5"/>
  <c r="E16" i="5"/>
  <c r="H16" i="5"/>
  <c r="E17" i="5"/>
  <c r="H17" i="5"/>
  <c r="K25" i="4"/>
  <c r="E29" i="4"/>
  <c r="E19" i="5"/>
  <c r="E23" i="5"/>
  <c r="E20" i="5"/>
  <c r="E18" i="5"/>
  <c r="E22" i="5"/>
  <c r="E28" i="5"/>
  <c r="H29" i="5"/>
  <c r="C19" i="6"/>
  <c r="J19" i="4"/>
  <c r="C24" i="32"/>
  <c r="K19" i="4"/>
  <c r="D24" i="32"/>
  <c r="F19" i="7"/>
  <c r="G19" i="7"/>
  <c r="E26" i="32"/>
  <c r="E25" i="32"/>
  <c r="C21" i="6"/>
  <c r="I21" i="6"/>
  <c r="C20" i="6"/>
  <c r="H29" i="4"/>
  <c r="D20" i="7"/>
  <c r="C25" i="32"/>
  <c r="K25" i="32"/>
  <c r="J20" i="4"/>
  <c r="D29" i="4"/>
  <c r="I20" i="6"/>
  <c r="C29" i="6"/>
  <c r="C26" i="32"/>
  <c r="K26" i="32"/>
  <c r="D21" i="7"/>
  <c r="J21" i="4"/>
  <c r="S25" i="4"/>
  <c r="S21" i="4"/>
  <c r="S17" i="4"/>
  <c r="S28" i="4"/>
  <c r="S24" i="4"/>
  <c r="S20" i="4"/>
  <c r="S27" i="4"/>
  <c r="S23" i="4"/>
  <c r="S19" i="4"/>
  <c r="S26" i="4"/>
  <c r="S22" i="4"/>
  <c r="S18" i="4"/>
  <c r="R20" i="4"/>
  <c r="R19" i="4"/>
  <c r="R18" i="4"/>
  <c r="R17" i="4"/>
  <c r="V19" i="5"/>
  <c r="C20" i="5"/>
  <c r="R26" i="4"/>
  <c r="R28" i="4"/>
  <c r="R25" i="4"/>
  <c r="R27" i="4"/>
  <c r="R23" i="4"/>
  <c r="R24" i="4"/>
  <c r="V22" i="5"/>
  <c r="R22" i="4"/>
  <c r="V21" i="5"/>
  <c r="R21" i="4"/>
  <c r="C23" i="5"/>
  <c r="C18" i="5"/>
  <c r="C21" i="5"/>
  <c r="C16" i="5"/>
  <c r="C22" i="5"/>
  <c r="C17" i="5"/>
  <c r="C19" i="5"/>
  <c r="F20" i="7"/>
  <c r="J29" i="4"/>
  <c r="F20" i="5"/>
  <c r="F21" i="7"/>
  <c r="C34" i="32"/>
  <c r="S29" i="4"/>
  <c r="R29" i="4"/>
  <c r="T29" i="4"/>
  <c r="G20" i="5"/>
  <c r="L20" i="5"/>
  <c r="M20" i="5"/>
  <c r="I20" i="5"/>
  <c r="G23" i="5"/>
  <c r="M23" i="5"/>
  <c r="L23" i="5"/>
  <c r="M19" i="5"/>
  <c r="G19" i="5"/>
  <c r="L19" i="5"/>
  <c r="M17" i="5"/>
  <c r="G17" i="5"/>
  <c r="L17" i="5"/>
  <c r="L22" i="5"/>
  <c r="G22" i="5"/>
  <c r="M22" i="5"/>
  <c r="L16" i="5"/>
  <c r="C28" i="5"/>
  <c r="M16" i="5"/>
  <c r="G16" i="5"/>
  <c r="F19" i="5"/>
  <c r="F17" i="5"/>
  <c r="F23" i="5"/>
  <c r="F22" i="5"/>
  <c r="F21" i="5"/>
  <c r="F16" i="5"/>
  <c r="F18" i="5"/>
  <c r="L21" i="5"/>
  <c r="G21" i="5"/>
  <c r="M21" i="5"/>
  <c r="G29" i="4"/>
  <c r="G18" i="5"/>
  <c r="M18" i="5"/>
  <c r="L18" i="5"/>
  <c r="M29" i="5"/>
  <c r="I22" i="5"/>
  <c r="I23" i="5"/>
  <c r="I17" i="5"/>
  <c r="I19" i="5"/>
  <c r="G29" i="5"/>
  <c r="F28" i="5"/>
  <c r="I16" i="5"/>
  <c r="I18" i="5"/>
  <c r="I21" i="5"/>
  <c r="L29" i="5"/>
  <c r="I29" i="5"/>
  <c r="D25" i="32"/>
  <c r="K20" i="4"/>
  <c r="G20" i="7"/>
  <c r="L25" i="32"/>
  <c r="F34" i="32"/>
  <c r="D26" i="32"/>
  <c r="L26" i="32"/>
  <c r="K21" i="4"/>
  <c r="I29" i="4"/>
  <c r="G21" i="7"/>
  <c r="K29" i="4"/>
  <c r="D34" i="32"/>
  <c r="H34" i="32"/>
  <c r="J34" i="32"/>
  <c r="L24" i="32"/>
  <c r="L34" i="32"/>
  <c r="F42" i="29"/>
  <c r="D42" i="29"/>
  <c r="G29" i="6"/>
  <c r="G24" i="32"/>
  <c r="G34" i="32"/>
  <c r="F42" i="30"/>
  <c r="F19" i="30"/>
  <c r="D19" i="30"/>
  <c r="D42" i="30"/>
  <c r="H29" i="6"/>
  <c r="I24" i="32"/>
  <c r="I34" i="32"/>
  <c r="F69" i="16"/>
  <c r="D19" i="16"/>
  <c r="D20" i="16" s="1"/>
  <c r="D26" i="16" s="1"/>
  <c r="K34" i="30"/>
  <c r="K38" i="30"/>
  <c r="K41" i="30"/>
  <c r="K40" i="30"/>
  <c r="K35" i="30"/>
  <c r="K39" i="30"/>
  <c r="K36" i="30"/>
  <c r="K37" i="30"/>
  <c r="K33" i="29"/>
  <c r="K34" i="29"/>
  <c r="K36" i="29"/>
  <c r="K37" i="29"/>
  <c r="K41" i="29"/>
  <c r="K38" i="29"/>
  <c r="K39" i="29"/>
  <c r="K35" i="29"/>
  <c r="K40" i="29"/>
  <c r="E24" i="32"/>
  <c r="I19" i="6"/>
  <c r="E29" i="6"/>
  <c r="E18" i="16"/>
  <c r="D18" i="16"/>
  <c r="E18" i="29"/>
  <c r="D18" i="29"/>
  <c r="D20" i="29"/>
  <c r="D26" i="29"/>
  <c r="K42" i="29"/>
  <c r="I29" i="6"/>
  <c r="K19" i="6"/>
  <c r="K24" i="32"/>
  <c r="E34" i="32"/>
  <c r="K42" i="30"/>
  <c r="E18" i="30"/>
  <c r="D18" i="30"/>
  <c r="D20" i="30"/>
  <c r="D26" i="30"/>
  <c r="E18" i="31"/>
  <c r="D18" i="31"/>
  <c r="L38" i="29"/>
  <c r="M38" i="29"/>
  <c r="L33" i="29"/>
  <c r="M33" i="29"/>
  <c r="K18" i="6"/>
  <c r="K17" i="6"/>
  <c r="K20" i="6"/>
  <c r="K21" i="6"/>
  <c r="K23" i="6"/>
  <c r="K22" i="6"/>
  <c r="K24" i="6"/>
  <c r="L41" i="29"/>
  <c r="M41" i="29"/>
  <c r="L34" i="29"/>
  <c r="M34" i="29"/>
  <c r="K34" i="32"/>
  <c r="M24" i="32"/>
  <c r="L39" i="29"/>
  <c r="M39" i="29"/>
  <c r="L36" i="29"/>
  <c r="M36" i="29"/>
  <c r="L37" i="29"/>
  <c r="M37" i="29"/>
  <c r="L40" i="29"/>
  <c r="M40" i="29"/>
  <c r="L35" i="29"/>
  <c r="M35" i="29"/>
  <c r="K29" i="6"/>
  <c r="L42" i="29"/>
  <c r="L40" i="30"/>
  <c r="M40" i="30"/>
  <c r="L39" i="30"/>
  <c r="M39" i="30"/>
  <c r="L37" i="30"/>
  <c r="M37" i="30"/>
  <c r="L36" i="30"/>
  <c r="M36" i="30"/>
  <c r="L38" i="30"/>
  <c r="M38" i="30"/>
  <c r="L34" i="30"/>
  <c r="L41" i="30"/>
  <c r="M41" i="30"/>
  <c r="L35" i="30"/>
  <c r="M35" i="30"/>
  <c r="M22" i="32"/>
  <c r="M25" i="32"/>
  <c r="M27" i="32"/>
  <c r="M23" i="32"/>
  <c r="M28" i="32"/>
  <c r="M26" i="32"/>
  <c r="M29" i="32"/>
  <c r="O21" i="6"/>
  <c r="L42" i="30"/>
  <c r="M34" i="30"/>
  <c r="M34" i="32"/>
  <c r="N20" i="5"/>
  <c r="I21" i="7"/>
  <c r="N17" i="5"/>
  <c r="N19" i="5"/>
  <c r="I20" i="7"/>
  <c r="N21" i="5"/>
  <c r="N23" i="5"/>
  <c r="N22" i="5"/>
  <c r="N18" i="5"/>
  <c r="N16" i="5"/>
  <c r="K19" i="7"/>
  <c r="K20" i="7"/>
  <c r="N29" i="5"/>
  <c r="K21" i="7"/>
  <c r="N21" i="7"/>
  <c r="N19" i="7"/>
  <c r="N20" i="7"/>
  <c r="N27" i="7"/>
  <c r="D34" i="4" l="1"/>
  <c r="D35" i="4" s="1"/>
  <c r="D36" i="4" s="1"/>
  <c r="S29" i="5"/>
  <c r="T29" i="5"/>
  <c r="D27" i="16"/>
  <c r="D27" i="29"/>
  <c r="D28" i="29" s="1"/>
  <c r="L29" i="6" s="1"/>
  <c r="D69" i="31"/>
  <c r="K52" i="31"/>
  <c r="K55" i="31"/>
  <c r="L55" i="31" s="1"/>
  <c r="M55" i="31" s="1"/>
  <c r="E69" i="31"/>
  <c r="E19" i="31" s="1"/>
  <c r="D19" i="31" s="1"/>
  <c r="D20" i="31" s="1"/>
  <c r="D26" i="31" s="1"/>
  <c r="K51" i="16"/>
  <c r="L51" i="16" s="1"/>
  <c r="M51" i="16" s="1"/>
  <c r="D69" i="16"/>
  <c r="V17" i="5"/>
  <c r="V16" i="5"/>
  <c r="P29" i="5"/>
  <c r="O19" i="5"/>
  <c r="P24" i="5"/>
  <c r="P23" i="5"/>
  <c r="H24" i="7" s="1"/>
  <c r="J24" i="7" s="1"/>
  <c r="M24" i="7" s="1"/>
  <c r="Q20" i="5"/>
  <c r="P16" i="5"/>
  <c r="H17" i="7" s="1"/>
  <c r="J17" i="7" s="1"/>
  <c r="M17" i="7" s="1"/>
  <c r="P20" i="5"/>
  <c r="Q19" i="5"/>
  <c r="V29" i="5"/>
  <c r="V20" i="5"/>
  <c r="V18" i="5"/>
  <c r="P22" i="5"/>
  <c r="H23" i="7" s="1"/>
  <c r="J23" i="7" s="1"/>
  <c r="M23" i="7" s="1"/>
  <c r="O21" i="5"/>
  <c r="H22" i="7" s="1"/>
  <c r="J22" i="7" s="1"/>
  <c r="M22" i="7" s="1"/>
  <c r="Q21" i="5"/>
  <c r="Q18" i="5"/>
  <c r="O17" i="5"/>
  <c r="H18" i="7" s="1"/>
  <c r="J18" i="7" s="1"/>
  <c r="M18" i="7" s="1"/>
  <c r="L22" i="6" l="1"/>
  <c r="L20" i="6"/>
  <c r="L24" i="6"/>
  <c r="L21" i="6"/>
  <c r="P21" i="6" s="1"/>
  <c r="L18" i="6"/>
  <c r="L17" i="6"/>
  <c r="L23" i="6"/>
  <c r="L19" i="6"/>
  <c r="K56" i="16"/>
  <c r="L56" i="16" s="1"/>
  <c r="M56" i="16" s="1"/>
  <c r="K53" i="16"/>
  <c r="L53" i="16" s="1"/>
  <c r="M53" i="16" s="1"/>
  <c r="K65" i="16"/>
  <c r="L65" i="16" s="1"/>
  <c r="M65" i="16" s="1"/>
  <c r="K38" i="16"/>
  <c r="L38" i="16" s="1"/>
  <c r="M38" i="16" s="1"/>
  <c r="K36" i="16"/>
  <c r="L36" i="16" s="1"/>
  <c r="M36" i="16" s="1"/>
  <c r="K62" i="16"/>
  <c r="L62" i="16" s="1"/>
  <c r="M62" i="16" s="1"/>
  <c r="K45" i="16"/>
  <c r="L45" i="16" s="1"/>
  <c r="M45" i="16" s="1"/>
  <c r="K60" i="16"/>
  <c r="L60" i="16" s="1"/>
  <c r="M60" i="16" s="1"/>
  <c r="K64" i="16"/>
  <c r="L64" i="16" s="1"/>
  <c r="M64" i="16" s="1"/>
  <c r="K46" i="16"/>
  <c r="L46" i="16" s="1"/>
  <c r="M46" i="16" s="1"/>
  <c r="K50" i="16"/>
  <c r="L50" i="16" s="1"/>
  <c r="M50" i="16" s="1"/>
  <c r="K49" i="16"/>
  <c r="L49" i="16" s="1"/>
  <c r="M49" i="16" s="1"/>
  <c r="K47" i="16"/>
  <c r="L47" i="16" s="1"/>
  <c r="M47" i="16" s="1"/>
  <c r="K68" i="16"/>
  <c r="L68" i="16" s="1"/>
  <c r="M68" i="16" s="1"/>
  <c r="K42" i="16"/>
  <c r="L42" i="16" s="1"/>
  <c r="M42" i="16" s="1"/>
  <c r="K37" i="16"/>
  <c r="L37" i="16" s="1"/>
  <c r="M37" i="16" s="1"/>
  <c r="K66" i="16"/>
  <c r="L66" i="16" s="1"/>
  <c r="M66" i="16" s="1"/>
  <c r="K55" i="16"/>
  <c r="L55" i="16" s="1"/>
  <c r="M55" i="16" s="1"/>
  <c r="K58" i="16"/>
  <c r="L58" i="16" s="1"/>
  <c r="M58" i="16" s="1"/>
  <c r="K39" i="16"/>
  <c r="L39" i="16" s="1"/>
  <c r="M39" i="16" s="1"/>
  <c r="K34" i="16"/>
  <c r="L34" i="16" s="1"/>
  <c r="M34" i="16" s="1"/>
  <c r="K44" i="16"/>
  <c r="L44" i="16" s="1"/>
  <c r="M44" i="16" s="1"/>
  <c r="K61" i="16"/>
  <c r="L61" i="16" s="1"/>
  <c r="M61" i="16" s="1"/>
  <c r="K63" i="16"/>
  <c r="L63" i="16" s="1"/>
  <c r="M63" i="16" s="1"/>
  <c r="K33" i="16"/>
  <c r="K35" i="16"/>
  <c r="L35" i="16" s="1"/>
  <c r="M35" i="16" s="1"/>
  <c r="K40" i="16"/>
  <c r="L40" i="16" s="1"/>
  <c r="M40" i="16" s="1"/>
  <c r="K48" i="16"/>
  <c r="L48" i="16" s="1"/>
  <c r="M48" i="16" s="1"/>
  <c r="K67" i="16"/>
  <c r="L67" i="16" s="1"/>
  <c r="M67" i="16" s="1"/>
  <c r="K59" i="16"/>
  <c r="L59" i="16" s="1"/>
  <c r="M59" i="16" s="1"/>
  <c r="K43" i="16"/>
  <c r="L43" i="16" s="1"/>
  <c r="M43" i="16" s="1"/>
  <c r="K41" i="16"/>
  <c r="L41" i="16" s="1"/>
  <c r="M41" i="16" s="1"/>
  <c r="D27" i="31"/>
  <c r="D27" i="30"/>
  <c r="D28" i="30" s="1"/>
  <c r="N34" i="32" s="1"/>
  <c r="L52" i="31"/>
  <c r="M52" i="31" s="1"/>
  <c r="K54" i="16"/>
  <c r="L54" i="16" s="1"/>
  <c r="M54" i="16" s="1"/>
  <c r="K57" i="16"/>
  <c r="L57" i="16" s="1"/>
  <c r="M57" i="16" s="1"/>
  <c r="K66" i="31"/>
  <c r="L66" i="31" s="1"/>
  <c r="M66" i="31" s="1"/>
  <c r="K67" i="31"/>
  <c r="L67" i="31" s="1"/>
  <c r="M67" i="31" s="1"/>
  <c r="K68" i="31"/>
  <c r="L68" i="31" s="1"/>
  <c r="M68" i="31" s="1"/>
  <c r="K44" i="31"/>
  <c r="L44" i="31" s="1"/>
  <c r="M44" i="31" s="1"/>
  <c r="K63" i="31"/>
  <c r="L63" i="31" s="1"/>
  <c r="M63" i="31" s="1"/>
  <c r="K49" i="31"/>
  <c r="L49" i="31" s="1"/>
  <c r="M49" i="31" s="1"/>
  <c r="K35" i="31"/>
  <c r="L35" i="31" s="1"/>
  <c r="M35" i="31" s="1"/>
  <c r="K43" i="31"/>
  <c r="L43" i="31" s="1"/>
  <c r="M43" i="31" s="1"/>
  <c r="K36" i="31"/>
  <c r="L36" i="31" s="1"/>
  <c r="M36" i="31" s="1"/>
  <c r="K61" i="31"/>
  <c r="L61" i="31" s="1"/>
  <c r="M61" i="31" s="1"/>
  <c r="K64" i="31"/>
  <c r="L64" i="31" s="1"/>
  <c r="M64" i="31" s="1"/>
  <c r="K47" i="31"/>
  <c r="L47" i="31" s="1"/>
  <c r="M47" i="31" s="1"/>
  <c r="K51" i="31"/>
  <c r="L51" i="31" s="1"/>
  <c r="M51" i="31" s="1"/>
  <c r="K46" i="31"/>
  <c r="L46" i="31" s="1"/>
  <c r="M46" i="31" s="1"/>
  <c r="K33" i="31"/>
  <c r="K42" i="31"/>
  <c r="L42" i="31" s="1"/>
  <c r="M42" i="31" s="1"/>
  <c r="K41" i="31"/>
  <c r="L41" i="31" s="1"/>
  <c r="M41" i="31" s="1"/>
  <c r="K50" i="31"/>
  <c r="L50" i="31" s="1"/>
  <c r="M50" i="31" s="1"/>
  <c r="K38" i="31"/>
  <c r="L38" i="31" s="1"/>
  <c r="M38" i="31" s="1"/>
  <c r="K34" i="31"/>
  <c r="L34" i="31" s="1"/>
  <c r="M34" i="31" s="1"/>
  <c r="K60" i="31"/>
  <c r="L60" i="31" s="1"/>
  <c r="M60" i="31" s="1"/>
  <c r="K62" i="31"/>
  <c r="L62" i="31" s="1"/>
  <c r="M62" i="31" s="1"/>
  <c r="K65" i="31"/>
  <c r="L65" i="31" s="1"/>
  <c r="M65" i="31" s="1"/>
  <c r="K40" i="31"/>
  <c r="L40" i="31" s="1"/>
  <c r="M40" i="31" s="1"/>
  <c r="K48" i="31"/>
  <c r="L48" i="31" s="1"/>
  <c r="M48" i="31" s="1"/>
  <c r="K59" i="31"/>
  <c r="L59" i="31" s="1"/>
  <c r="M59" i="31" s="1"/>
  <c r="K53" i="31"/>
  <c r="L53" i="31" s="1"/>
  <c r="M53" i="31" s="1"/>
  <c r="K45" i="31"/>
  <c r="L45" i="31" s="1"/>
  <c r="M45" i="31" s="1"/>
  <c r="K37" i="31"/>
  <c r="L37" i="31" s="1"/>
  <c r="M37" i="31" s="1"/>
  <c r="K39" i="31"/>
  <c r="L39" i="31" s="1"/>
  <c r="M39" i="31" s="1"/>
  <c r="K58" i="31"/>
  <c r="L58" i="31" s="1"/>
  <c r="M58" i="31" s="1"/>
  <c r="K56" i="31"/>
  <c r="L56" i="31" s="1"/>
  <c r="M56" i="31" s="1"/>
  <c r="K52" i="16"/>
  <c r="L52" i="16" s="1"/>
  <c r="M52" i="16" s="1"/>
  <c r="K54" i="31"/>
  <c r="L54" i="31" s="1"/>
  <c r="M54" i="31" s="1"/>
  <c r="K57" i="31"/>
  <c r="L57" i="31" s="1"/>
  <c r="M57" i="31" s="1"/>
  <c r="H21" i="7"/>
  <c r="J21" i="7" s="1"/>
  <c r="M21" i="7" s="1"/>
  <c r="O29" i="5"/>
  <c r="Q29" i="5"/>
  <c r="H20" i="7"/>
  <c r="J20" i="7" s="1"/>
  <c r="M20" i="7" s="1"/>
  <c r="H19" i="7"/>
  <c r="J19" i="7" s="1"/>
  <c r="M19" i="7" s="1"/>
  <c r="M27" i="7" l="1"/>
  <c r="O27" i="7" s="1"/>
  <c r="O28" i="7" s="1"/>
  <c r="L33" i="31"/>
  <c r="K69" i="31"/>
  <c r="M19" i="6"/>
  <c r="O19" i="6" s="1"/>
  <c r="P19" i="6" s="1"/>
  <c r="M23" i="6"/>
  <c r="O23" i="6" s="1"/>
  <c r="P23" i="6" s="1"/>
  <c r="M24" i="6"/>
  <c r="O24" i="6" s="1"/>
  <c r="P24" i="6"/>
  <c r="N24" i="32"/>
  <c r="Q24" i="32" s="1"/>
  <c r="N25" i="32"/>
  <c r="Q25" i="32" s="1"/>
  <c r="N22" i="32"/>
  <c r="Q22" i="32" s="1"/>
  <c r="N27" i="32"/>
  <c r="Q27" i="32" s="1"/>
  <c r="N28" i="32"/>
  <c r="Q28" i="32" s="1"/>
  <c r="N29" i="32"/>
  <c r="Q29" i="32" s="1"/>
  <c r="N23" i="32"/>
  <c r="Q23" i="32" s="1"/>
  <c r="N26" i="32"/>
  <c r="Q26" i="32" s="1"/>
  <c r="M17" i="6"/>
  <c r="O17" i="6" s="1"/>
  <c r="P17" i="6"/>
  <c r="M20" i="6"/>
  <c r="O20" i="6" s="1"/>
  <c r="P20" i="6"/>
  <c r="L33" i="16"/>
  <c r="K69" i="16"/>
  <c r="M18" i="6"/>
  <c r="O18" i="6" s="1"/>
  <c r="P18" i="6"/>
  <c r="M22" i="6"/>
  <c r="O22" i="6" s="1"/>
  <c r="P22" i="6" s="1"/>
  <c r="P29" i="6" l="1"/>
  <c r="M33" i="16"/>
  <c r="L69" i="16"/>
  <c r="O29" i="6"/>
  <c r="L69" i="31"/>
  <c r="M33" i="31"/>
</calcChain>
</file>

<file path=xl/comments1.xml><?xml version="1.0" encoding="utf-8"?>
<comments xmlns="http://schemas.openxmlformats.org/spreadsheetml/2006/main">
  <authors>
    <author>Vitalika Quenville</author>
  </authors>
  <commentList>
    <comment ref="B40" authorId="0">
      <text>
        <r>
          <rPr>
            <b/>
            <sz val="8"/>
            <color indexed="81"/>
            <rFont val="Tahoma"/>
            <family val="2"/>
          </rPr>
          <t>Vitalika Quenville:</t>
        </r>
        <r>
          <rPr>
            <sz val="8"/>
            <color indexed="81"/>
            <rFont val="Tahoma"/>
            <family val="2"/>
          </rPr>
          <t xml:space="preserve">
The Report of the Board on Electricity Distributor’s Deferral and Variance Account
20 Review Initiative Report (the “EDDVAR Report”) requires that during the IRM plan
21 term, the Group 1 audited account balances be reviewed and disposed of if the preset
22 disposition threshold of $0.001/kWh (debit or credit) is exceeded.</t>
        </r>
      </text>
    </comment>
  </commentList>
</comments>
</file>

<file path=xl/sharedStrings.xml><?xml version="1.0" encoding="utf-8"?>
<sst xmlns="http://schemas.openxmlformats.org/spreadsheetml/2006/main" count="526" uniqueCount="362">
  <si>
    <t>Back to Index</t>
  </si>
  <si>
    <t>a</t>
  </si>
  <si>
    <t>INCENTIVE REGULATION MODEL FOR 2019 FILERS</t>
  </si>
  <si>
    <t>Version</t>
  </si>
  <si>
    <t xml:space="preserve">Utility Name   </t>
  </si>
  <si>
    <t>Alectra Utilities - Horizon Utilites Rate Zone</t>
  </si>
  <si>
    <t>Service Territory</t>
  </si>
  <si>
    <t>Assigned EB Number</t>
  </si>
  <si>
    <t>EB-2018-0016</t>
  </si>
  <si>
    <t>Name of Contact and Title</t>
  </si>
  <si>
    <t>Indy J. Butany-DeSouza, Vice-President, Regulatory Affairs</t>
  </si>
  <si>
    <t xml:space="preserve">Phone Number   </t>
  </si>
  <si>
    <t>905-821-5727</t>
  </si>
  <si>
    <t xml:space="preserve">Email Address   </t>
  </si>
  <si>
    <t>indy.butany@alectrautilities.com</t>
  </si>
  <si>
    <t xml:space="preserve">We are applying for rates effective   </t>
  </si>
  <si>
    <t>Rate-Setting Method</t>
  </si>
  <si>
    <t>Price Cap IR</t>
  </si>
  <si>
    <r>
      <t>Please indicate in which Rate Year the Group 1 accounts were last cleared</t>
    </r>
    <r>
      <rPr>
        <b/>
        <vertAlign val="superscript"/>
        <sz val="11"/>
        <color theme="1"/>
        <rFont val="Arial"/>
        <family val="2"/>
      </rPr>
      <t>1</t>
    </r>
  </si>
  <si>
    <t>Please indicate the last Cost of Service 
Re-Basing Year</t>
  </si>
  <si>
    <t>Notes</t>
  </si>
  <si>
    <t>Pale gray cells represent input cells.</t>
  </si>
  <si>
    <t xml:space="preserve">Pale blue cells represent drop-down lists.  </t>
  </si>
  <si>
    <t xml:space="preserve">White cells contain fixed values, automatically generated values or formulae. </t>
  </si>
  <si>
    <t>Note:  
1.  Rate year of application</t>
  </si>
  <si>
    <r>
      <t xml:space="preserve">Please complete the following continuity schedule for the following Deferral/Variance Accounts.  Enter information into green cells only. Column CE shoudl match the latest 2.1.7 RRR filing.
</t>
    </r>
    <r>
      <rPr>
        <b/>
        <sz val="11"/>
        <color rgb="FFFF0000"/>
        <rFont val="Arial"/>
        <family val="2"/>
      </rPr>
      <t>When inputting balances in the continuity schedule, Account 1580 RSVA - Wholesale Market Service Charge is to exclude any amounts relating to CBR. The CBR amounts are to be entered separately in the Class A and Class B 1580 sub-accounts. Only Class B amounts are to be disposed. Class A amounts are not to be disposed.</t>
    </r>
    <r>
      <rPr>
        <b/>
        <sz val="11"/>
        <rFont val="Arial"/>
        <family val="2"/>
      </rPr>
      <t xml:space="preserve">
If you have received approval to dispose of balances from prior years, the starting point for entries in the schedule below will be the balance sheet date as per your general ledger for which you received approval.  For example, if in the 2016 EDR process (CoS or IRM) you received approval for the December 31, 2014 balances, the starting point for your entries below should be the 2013 year. This will allow for the correct starting point for the 2014 opening balance columns for both principal and interest.
Please refer to the footnotes for further instructions.</t>
    </r>
  </si>
  <si>
    <t>Projected Interest on Dec-31-17 Balances</t>
  </si>
  <si>
    <t>2.1.7 RRR</t>
  </si>
  <si>
    <t>Account Descriptions</t>
  </si>
  <si>
    <t>Account Number</t>
  </si>
  <si>
    <t>Opening Principal Amounts as of Jan 1, 2010</t>
  </si>
  <si>
    <r>
      <t>Transactions</t>
    </r>
    <r>
      <rPr>
        <b/>
        <vertAlign val="superscript"/>
        <sz val="10"/>
        <rFont val="Book Antiqua"/>
        <family val="1"/>
      </rPr>
      <t>2</t>
    </r>
    <r>
      <rPr>
        <b/>
        <sz val="10"/>
        <rFont val="Book Antiqua"/>
        <family val="1"/>
      </rPr>
      <t xml:space="preserve"> Debit / (Credit) during 2010</t>
    </r>
  </si>
  <si>
    <t>OEB-Approved Disposition during 2010</t>
  </si>
  <si>
    <r>
      <t>Principal Adjustments</t>
    </r>
    <r>
      <rPr>
        <b/>
        <vertAlign val="superscript"/>
        <sz val="10"/>
        <rFont val="Book Antiqua"/>
        <family val="1"/>
      </rPr>
      <t>1</t>
    </r>
    <r>
      <rPr>
        <b/>
        <sz val="10"/>
        <rFont val="Book Antiqua"/>
        <family val="1"/>
      </rPr>
      <t xml:space="preserve"> during 2010</t>
    </r>
  </si>
  <si>
    <t>Closing Principal Balance as of Dec 31, 2010</t>
  </si>
  <si>
    <t>Opening Interest Amounts as of Jan 1, 2010</t>
  </si>
  <si>
    <t>Interest Jan 1 to Dec 31, 2010</t>
  </si>
  <si>
    <r>
      <t>Interest Adjustments</t>
    </r>
    <r>
      <rPr>
        <b/>
        <vertAlign val="superscript"/>
        <sz val="10"/>
        <rFont val="Book Antiqua"/>
        <family val="1"/>
      </rPr>
      <t>1</t>
    </r>
    <r>
      <rPr>
        <b/>
        <sz val="10"/>
        <rFont val="Book Antiqua"/>
        <family val="1"/>
      </rPr>
      <t xml:space="preserve"> during 2010</t>
    </r>
  </si>
  <si>
    <t>Closing Interest Amounts as of Dec 31, 2010</t>
  </si>
  <si>
    <t>Opening Principal Amounts as of Jan 1, 2011</t>
  </si>
  <si>
    <r>
      <t>Transactions</t>
    </r>
    <r>
      <rPr>
        <b/>
        <vertAlign val="superscript"/>
        <sz val="10"/>
        <rFont val="Book Antiqua"/>
        <family val="1"/>
      </rPr>
      <t>2</t>
    </r>
    <r>
      <rPr>
        <b/>
        <sz val="10"/>
        <rFont val="Book Antiqua"/>
        <family val="1"/>
      </rPr>
      <t xml:space="preserve"> Debit / (Credit) during 2011 </t>
    </r>
  </si>
  <si>
    <t>OEB-Approved Disposition during 2011</t>
  </si>
  <si>
    <r>
      <t>Principal Adjustments</t>
    </r>
    <r>
      <rPr>
        <b/>
        <vertAlign val="superscript"/>
        <sz val="10"/>
        <rFont val="Book Antiqua"/>
        <family val="1"/>
      </rPr>
      <t>1</t>
    </r>
    <r>
      <rPr>
        <b/>
        <sz val="10"/>
        <rFont val="Book Antiqua"/>
        <family val="1"/>
      </rPr>
      <t xml:space="preserve"> during 2011 </t>
    </r>
  </si>
  <si>
    <t>Closing Principal Balance as of Dec 31, 2011</t>
  </si>
  <si>
    <t>Opening Interest Amounts as of Jan 1, 2011</t>
  </si>
  <si>
    <t>Interest Jan 1 to Dec 31, 2011</t>
  </si>
  <si>
    <r>
      <t>Interest Adjustments</t>
    </r>
    <r>
      <rPr>
        <b/>
        <vertAlign val="superscript"/>
        <sz val="10"/>
        <rFont val="Book Antiqua"/>
        <family val="1"/>
      </rPr>
      <t>1</t>
    </r>
    <r>
      <rPr>
        <b/>
        <sz val="10"/>
        <rFont val="Book Antiqua"/>
        <family val="1"/>
      </rPr>
      <t xml:space="preserve"> during 2011</t>
    </r>
  </si>
  <si>
    <t>Closing Interest Amounts as of Dec 31, 2011</t>
  </si>
  <si>
    <t>Opening Principal Amounts as of Jan 1, 2012</t>
  </si>
  <si>
    <r>
      <t>Transactions</t>
    </r>
    <r>
      <rPr>
        <b/>
        <vertAlign val="superscript"/>
        <sz val="10"/>
        <rFont val="Book Antiqua"/>
        <family val="1"/>
      </rPr>
      <t>2</t>
    </r>
    <r>
      <rPr>
        <b/>
        <sz val="10"/>
        <rFont val="Book Antiqua"/>
        <family val="1"/>
      </rPr>
      <t xml:space="preserve"> Debit / (Credit) during 2012</t>
    </r>
  </si>
  <si>
    <t>OEB-Approved Disposition during 2012</t>
  </si>
  <si>
    <r>
      <t>Principal Adjustments</t>
    </r>
    <r>
      <rPr>
        <b/>
        <vertAlign val="superscript"/>
        <sz val="10"/>
        <rFont val="Book Antiqua"/>
        <family val="1"/>
      </rPr>
      <t>1</t>
    </r>
    <r>
      <rPr>
        <b/>
        <sz val="10"/>
        <rFont val="Book Antiqua"/>
        <family val="1"/>
      </rPr>
      <t xml:space="preserve"> during 2012</t>
    </r>
  </si>
  <si>
    <t>Closing Principal Balance as of Dec 31, 2012</t>
  </si>
  <si>
    <t>Opening Interest Amounts as of Jan 1, 2012</t>
  </si>
  <si>
    <t>Interest Jan 1 to Dec 31, 2012</t>
  </si>
  <si>
    <r>
      <t>Interest Adjustments</t>
    </r>
    <r>
      <rPr>
        <b/>
        <vertAlign val="superscript"/>
        <sz val="10"/>
        <rFont val="Book Antiqua"/>
        <family val="1"/>
      </rPr>
      <t>1</t>
    </r>
    <r>
      <rPr>
        <b/>
        <sz val="10"/>
        <rFont val="Book Antiqua"/>
        <family val="1"/>
      </rPr>
      <t xml:space="preserve"> during 2012</t>
    </r>
  </si>
  <si>
    <t>Closing Interest Amounts as of Dec 31, 2012</t>
  </si>
  <si>
    <t>Opening Principal Amounts as of Jan 1, 2013</t>
  </si>
  <si>
    <r>
      <t>Transactions</t>
    </r>
    <r>
      <rPr>
        <b/>
        <vertAlign val="superscript"/>
        <sz val="10"/>
        <rFont val="Book Antiqua"/>
        <family val="1"/>
      </rPr>
      <t>2</t>
    </r>
    <r>
      <rPr>
        <b/>
        <sz val="10"/>
        <rFont val="Book Antiqua"/>
        <family val="1"/>
      </rPr>
      <t xml:space="preserve"> Debit / (Credit) during 2013</t>
    </r>
  </si>
  <si>
    <t>OEB-Approved Disposition during 2013</t>
  </si>
  <si>
    <r>
      <t>Principal Adjustments</t>
    </r>
    <r>
      <rPr>
        <b/>
        <vertAlign val="superscript"/>
        <sz val="10"/>
        <rFont val="Book Antiqua"/>
        <family val="1"/>
      </rPr>
      <t>1</t>
    </r>
    <r>
      <rPr>
        <b/>
        <sz val="10"/>
        <rFont val="Book Antiqua"/>
        <family val="1"/>
      </rPr>
      <t xml:space="preserve"> during 2013</t>
    </r>
  </si>
  <si>
    <t>Closing Principal Balance as of Dec 31, 2013</t>
  </si>
  <si>
    <t>Opening Interest Amounts as of Jan 1, 2013</t>
  </si>
  <si>
    <t>Interest Jan 1 to Dec 31, 2013</t>
  </si>
  <si>
    <r>
      <t>Interest Adjustments</t>
    </r>
    <r>
      <rPr>
        <b/>
        <vertAlign val="superscript"/>
        <sz val="10"/>
        <rFont val="Book Antiqua"/>
        <family val="1"/>
      </rPr>
      <t>1</t>
    </r>
    <r>
      <rPr>
        <b/>
        <sz val="10"/>
        <rFont val="Book Antiqua"/>
        <family val="1"/>
      </rPr>
      <t xml:space="preserve"> during 2013</t>
    </r>
  </si>
  <si>
    <t>Closing Interest Amounts as of Dec 31, 2013</t>
  </si>
  <si>
    <t>Opening Principal Amounts as of Jan 1, 2014</t>
  </si>
  <si>
    <r>
      <t>Transactions</t>
    </r>
    <r>
      <rPr>
        <b/>
        <vertAlign val="superscript"/>
        <sz val="10"/>
        <rFont val="Book Antiqua"/>
        <family val="1"/>
      </rPr>
      <t>2</t>
    </r>
    <r>
      <rPr>
        <b/>
        <sz val="10"/>
        <rFont val="Book Antiqua"/>
        <family val="1"/>
      </rPr>
      <t xml:space="preserve"> Debit / (Credit) during 2014</t>
    </r>
  </si>
  <si>
    <t>OEB-Approved Disposition during 2014</t>
  </si>
  <si>
    <r>
      <t>Principal Adjustments</t>
    </r>
    <r>
      <rPr>
        <b/>
        <vertAlign val="superscript"/>
        <sz val="10"/>
        <rFont val="Book Antiqua"/>
        <family val="1"/>
      </rPr>
      <t>1</t>
    </r>
    <r>
      <rPr>
        <b/>
        <sz val="10"/>
        <rFont val="Book Antiqua"/>
        <family val="1"/>
      </rPr>
      <t xml:space="preserve"> during 2014</t>
    </r>
  </si>
  <si>
    <t>Closing Principal Balance as of Dec 31, 2014</t>
  </si>
  <si>
    <t>Opening Interest Amounts as of Jan 1, 2014</t>
  </si>
  <si>
    <t>Interest Jan 1 to Dec 31. 2014</t>
  </si>
  <si>
    <r>
      <t>Interest Adjustments</t>
    </r>
    <r>
      <rPr>
        <b/>
        <vertAlign val="superscript"/>
        <sz val="10"/>
        <rFont val="Book Antiqua"/>
        <family val="1"/>
      </rPr>
      <t>1</t>
    </r>
    <r>
      <rPr>
        <b/>
        <sz val="10"/>
        <rFont val="Book Antiqua"/>
        <family val="1"/>
      </rPr>
      <t xml:space="preserve"> during 2014</t>
    </r>
  </si>
  <si>
    <t>Closing Interest Amounts as of Dec 31, 2014</t>
  </si>
  <si>
    <t>Opening Principal Amounts as of Jan 1, 2015</t>
  </si>
  <si>
    <r>
      <t>Transactions</t>
    </r>
    <r>
      <rPr>
        <b/>
        <vertAlign val="superscript"/>
        <sz val="10"/>
        <rFont val="Book Antiqua"/>
        <family val="1"/>
      </rPr>
      <t>2</t>
    </r>
    <r>
      <rPr>
        <b/>
        <sz val="10"/>
        <rFont val="Book Antiqua"/>
        <family val="1"/>
      </rPr>
      <t xml:space="preserve"> Debit / (Credit) during 2015</t>
    </r>
  </si>
  <si>
    <t>OEB-Approved Disposition during 2015</t>
  </si>
  <si>
    <r>
      <t>Principal Adjustments</t>
    </r>
    <r>
      <rPr>
        <b/>
        <vertAlign val="superscript"/>
        <sz val="10"/>
        <rFont val="Book Antiqua"/>
        <family val="1"/>
      </rPr>
      <t>1</t>
    </r>
    <r>
      <rPr>
        <b/>
        <sz val="10"/>
        <rFont val="Book Antiqua"/>
        <family val="1"/>
      </rPr>
      <t xml:space="preserve"> during 2015 </t>
    </r>
  </si>
  <si>
    <t>Closing Principal Balance as of Dec 31, 15</t>
  </si>
  <si>
    <t>Opening Interest Amounts as of Jan 1, 15</t>
  </si>
  <si>
    <t>Interest Jan 1 to Dec 31, 15</t>
  </si>
  <si>
    <r>
      <t>Interest Adjustments</t>
    </r>
    <r>
      <rPr>
        <b/>
        <vertAlign val="superscript"/>
        <sz val="10"/>
        <rFont val="Book Antiqua"/>
        <family val="1"/>
      </rPr>
      <t>1</t>
    </r>
    <r>
      <rPr>
        <b/>
        <sz val="10"/>
        <rFont val="Book Antiqua"/>
        <family val="1"/>
      </rPr>
      <t xml:space="preserve"> during 2015</t>
    </r>
  </si>
  <si>
    <t>Closing Interest Amounts as of Dec 31, 15</t>
  </si>
  <si>
    <t>Opening Principal Amounts as of Jan 1, 2016</t>
  </si>
  <si>
    <r>
      <t>Transactions</t>
    </r>
    <r>
      <rPr>
        <b/>
        <vertAlign val="superscript"/>
        <sz val="10"/>
        <rFont val="Book Antiqua"/>
        <family val="1"/>
      </rPr>
      <t>2</t>
    </r>
    <r>
      <rPr>
        <b/>
        <sz val="10"/>
        <rFont val="Book Antiqua"/>
        <family val="1"/>
      </rPr>
      <t xml:space="preserve"> Debit / (Credit) during 2016</t>
    </r>
  </si>
  <si>
    <t>OEB-Approved Disposition during 2016</t>
  </si>
  <si>
    <r>
      <t>Principal Adjustments</t>
    </r>
    <r>
      <rPr>
        <b/>
        <vertAlign val="superscript"/>
        <sz val="10"/>
        <rFont val="Book Antiqua"/>
        <family val="1"/>
      </rPr>
      <t>1</t>
    </r>
    <r>
      <rPr>
        <b/>
        <sz val="10"/>
        <rFont val="Book Antiqua"/>
        <family val="1"/>
      </rPr>
      <t xml:space="preserve"> during 2016</t>
    </r>
  </si>
  <si>
    <t>Closing Principal Balance as of Dec 31, 16</t>
  </si>
  <si>
    <t>Opening Interest Amounts as of Jan 1, 16</t>
  </si>
  <si>
    <t>Interest Jan 1 to Dec 31, 16</t>
  </si>
  <si>
    <r>
      <t>Interest Adjustments</t>
    </r>
    <r>
      <rPr>
        <b/>
        <vertAlign val="superscript"/>
        <sz val="10"/>
        <rFont val="Book Antiqua"/>
        <family val="1"/>
      </rPr>
      <t>1</t>
    </r>
    <r>
      <rPr>
        <b/>
        <sz val="10"/>
        <rFont val="Book Antiqua"/>
        <family val="1"/>
      </rPr>
      <t xml:space="preserve"> during 2016</t>
    </r>
  </si>
  <si>
    <t>Closing Interest Amounts as of Dec 31, 16</t>
  </si>
  <si>
    <t>Opening Principal Amounts as of Jan 1, 2017</t>
  </si>
  <si>
    <r>
      <t>Transactions</t>
    </r>
    <r>
      <rPr>
        <b/>
        <vertAlign val="superscript"/>
        <sz val="10"/>
        <rFont val="Book Antiqua"/>
        <family val="1"/>
      </rPr>
      <t>2</t>
    </r>
    <r>
      <rPr>
        <b/>
        <sz val="10"/>
        <rFont val="Book Antiqua"/>
        <family val="1"/>
      </rPr>
      <t xml:space="preserve"> Debit / (Credit) during 2017</t>
    </r>
  </si>
  <si>
    <t>OEB-Approved Disposition during 2017</t>
  </si>
  <si>
    <r>
      <t>Principal Adjustments</t>
    </r>
    <r>
      <rPr>
        <b/>
        <vertAlign val="superscript"/>
        <sz val="10"/>
        <rFont val="Book Antiqua"/>
        <family val="1"/>
      </rPr>
      <t>1</t>
    </r>
    <r>
      <rPr>
        <b/>
        <sz val="10"/>
        <rFont val="Book Antiqua"/>
        <family val="1"/>
      </rPr>
      <t xml:space="preserve"> during 2017</t>
    </r>
  </si>
  <si>
    <t>Closing Principal Balance as of Dec 31, 17</t>
  </si>
  <si>
    <t>Opening Interest Amounts as of Jan 1, 17</t>
  </si>
  <si>
    <t>Interest Jan 1 to Dec 31, 17</t>
  </si>
  <si>
    <r>
      <t>Interest Adjustments</t>
    </r>
    <r>
      <rPr>
        <b/>
        <vertAlign val="superscript"/>
        <sz val="10"/>
        <rFont val="Book Antiqua"/>
        <family val="1"/>
      </rPr>
      <t>1</t>
    </r>
    <r>
      <rPr>
        <b/>
        <sz val="10"/>
        <rFont val="Book Antiqua"/>
        <family val="1"/>
      </rPr>
      <t xml:space="preserve"> during 2017</t>
    </r>
  </si>
  <si>
    <t>Closing Interest Amounts as of Dec 31, 17</t>
  </si>
  <si>
    <t>Principal Disposition during 2018 - instructed by OEB</t>
  </si>
  <si>
    <t>Interest Disposition during 2018 - instructed by OEB</t>
  </si>
  <si>
    <t>Closing Principal Balances as of Dec 31, 2017 Adjusted for Dispositions during 2018</t>
  </si>
  <si>
    <t>Closing Interest Balances as of Dec 31, 2017 Adjusted for Disposition in 2018</t>
  </si>
  <si>
    <r>
      <t xml:space="preserve">Projected Interest from January 1, 2018 to December 31, 2018 on December 31, 2017 balance adjusted for disposition during 2019 </t>
    </r>
    <r>
      <rPr>
        <b/>
        <vertAlign val="superscript"/>
        <sz val="10"/>
        <rFont val="Book Antiqua"/>
        <family val="1"/>
      </rPr>
      <t>3</t>
    </r>
  </si>
  <si>
    <r>
      <t xml:space="preserve">Projected Interest from January 1, 2018 to April 30, 2018 on Dec 31 -17 balance adjusted for disposition during 2018  </t>
    </r>
    <r>
      <rPr>
        <b/>
        <vertAlign val="superscript"/>
        <sz val="10"/>
        <rFont val="Book Antiqua"/>
        <family val="1"/>
      </rPr>
      <t>3</t>
    </r>
  </si>
  <si>
    <t>Total Interest</t>
  </si>
  <si>
    <t>Total Claim</t>
  </si>
  <si>
    <t>As of Dec 31-17</t>
  </si>
  <si>
    <r>
      <t xml:space="preserve">Variance                           RRR vs. 2017 Balance                        </t>
    </r>
    <r>
      <rPr>
        <b/>
        <i/>
        <sz val="10"/>
        <rFont val="Book Antiqua"/>
        <family val="1"/>
      </rPr>
      <t>(Principal + Interest)</t>
    </r>
  </si>
  <si>
    <t>Claim before Forecasted Transactions</t>
  </si>
  <si>
    <t>Group 1 Accounts</t>
  </si>
  <si>
    <t>LV Variance Account</t>
  </si>
  <si>
    <t>Smart Metering Entity Charge Variance Account</t>
  </si>
  <si>
    <t>RSVA - Wholesale Market Service Charge</t>
  </si>
  <si>
    <t>Variance WMS – Sub-account CBR Class A</t>
  </si>
  <si>
    <t>Variance WMS – Sub-account CBR Class B</t>
  </si>
  <si>
    <t>RSVA - Retail Transmission Network Charge</t>
  </si>
  <si>
    <t>RSVA - Retail Transmission Connection Charge</t>
  </si>
  <si>
    <t>RSVA - Power</t>
  </si>
  <si>
    <t>RSVA - Global Adjustment</t>
  </si>
  <si>
    <r>
      <t>Disposition and Recovery/Refund of Regulatory Balances (2009)</t>
    </r>
    <r>
      <rPr>
        <vertAlign val="superscript"/>
        <sz val="11"/>
        <rFont val="Arial"/>
        <family val="2"/>
      </rPr>
      <t>4</t>
    </r>
  </si>
  <si>
    <r>
      <t>Disposition and Recovery/Refund of Regulatory Balances (2010)</t>
    </r>
    <r>
      <rPr>
        <vertAlign val="superscript"/>
        <sz val="11"/>
        <rFont val="Arial"/>
        <family val="2"/>
      </rPr>
      <t>4</t>
    </r>
  </si>
  <si>
    <r>
      <t>Disposition and Recovery/Refund of Regulatory Balances (2011)</t>
    </r>
    <r>
      <rPr>
        <vertAlign val="superscript"/>
        <sz val="11"/>
        <rFont val="Arial"/>
        <family val="2"/>
      </rPr>
      <t>4</t>
    </r>
  </si>
  <si>
    <r>
      <t>Disposition and Recovery/Refund of Regulatory Balances (2012)</t>
    </r>
    <r>
      <rPr>
        <vertAlign val="superscript"/>
        <sz val="11"/>
        <rFont val="Arial"/>
        <family val="2"/>
      </rPr>
      <t>4</t>
    </r>
  </si>
  <si>
    <r>
      <t>Disposition and Recovery/Refund of Regulatory Balances (2013)</t>
    </r>
    <r>
      <rPr>
        <vertAlign val="superscript"/>
        <sz val="11"/>
        <rFont val="Arial"/>
        <family val="2"/>
      </rPr>
      <t>4</t>
    </r>
  </si>
  <si>
    <r>
      <t>Disposition and Recovery/Refund of Regulatory Balances (2014)</t>
    </r>
    <r>
      <rPr>
        <vertAlign val="superscript"/>
        <sz val="11"/>
        <rFont val="Arial"/>
        <family val="2"/>
      </rPr>
      <t>4</t>
    </r>
  </si>
  <si>
    <r>
      <t>Disposition and Recovery/Refund of Regulatory Balances (2015)</t>
    </r>
    <r>
      <rPr>
        <vertAlign val="superscript"/>
        <sz val="11"/>
        <rFont val="Arial"/>
        <family val="2"/>
      </rPr>
      <t>4</t>
    </r>
  </si>
  <si>
    <r>
      <t>Disposition and Recovery/Refund of Regulatory Balances (2016)</t>
    </r>
    <r>
      <rPr>
        <vertAlign val="superscript"/>
        <sz val="11"/>
        <rFont val="Arial"/>
        <family val="2"/>
      </rPr>
      <t>4</t>
    </r>
  </si>
  <si>
    <r>
      <t>Disposition and Recovery/Refund of Regulatory Balances (2017)</t>
    </r>
    <r>
      <rPr>
        <vertAlign val="superscript"/>
        <sz val="11"/>
        <rFont val="Arial"/>
        <family val="2"/>
      </rPr>
      <t>4</t>
    </r>
  </si>
  <si>
    <t>Total Group 1 Balance excluding Account 1589 - Global Adjustment</t>
  </si>
  <si>
    <t>Total Group 1 Balance</t>
  </si>
  <si>
    <t>LRAM Variance Account (only input amounts if applying for disposition of this account)</t>
  </si>
  <si>
    <t>Total including Account 1568</t>
  </si>
  <si>
    <t>For all OEB-Approved dispositions, please ensure that the disposition amount has the same sign (e.g: debit balances are to have a positive figure and credit balance are to have a negative figure) as per the related OEB decision.</t>
  </si>
  <si>
    <t>Please provide explanations for the nature of the adjustments.  If the adjustment relates to previously OEB-Approved disposed balances, please provide amounts for adjustments and include supporting documentations.</t>
  </si>
  <si>
    <t>For RSVA accounts only, report the net variance to the account during the year.  For all other accounts, record the transactions during the year.</t>
  </si>
  <si>
    <t>If the LDC’s rate year begins on January 1, 2017, the projected interest is recorded from January 1, 2016 to December 31, 2016 on the December 31, 2015 balances adjusted for the disposed balances approved by the OEB in the 2016 rate decision.  If the LDC’s rate year begins on May 1, 2017, the projected interest is recorded from January 1, 2016 to April 30, 2017 on the December 31, 2015 balances adjusted for the disposed interest balances approved by the OEB in the 2016 rate decision.</t>
  </si>
  <si>
    <t>Include Account 1595 as part of Group 1 accounts (lines 30-36) for review and disposition if the recovery (or refund) period has been completed. If the recovery (or refund) period has not been completed, do not include the respective balance in Account 1595 for disposition at this time.</t>
  </si>
  <si>
    <t>Account 1595 - adjustments (2016):</t>
  </si>
  <si>
    <t>These were required due to a comprehensive review of all the dispositions during 2015 and 2016. 
It was determined that there were a number of reporting errors.  
Past recovery billings were applied to the wrong year or there was transposition errors whereby billings were applied to interest rather than principal or vice versa.</t>
  </si>
  <si>
    <t>Yes</t>
  </si>
  <si>
    <t>Information from the most recent RRR (2017 for 2019 IRM)</t>
  </si>
  <si>
    <t>Approved Recoveries (class allocation %)</t>
  </si>
  <si>
    <r>
      <t xml:space="preserve">Total Metered </t>
    </r>
    <r>
      <rPr>
        <b/>
        <sz val="10"/>
        <color rgb="FFFF0000"/>
        <rFont val="Arial"/>
        <family val="2"/>
      </rPr>
      <t>kWh</t>
    </r>
  </si>
  <si>
    <r>
      <t xml:space="preserve">Total Metered </t>
    </r>
    <r>
      <rPr>
        <b/>
        <sz val="10"/>
        <color rgb="FFFF0000"/>
        <rFont val="Arial"/>
        <family val="2"/>
      </rPr>
      <t>kW</t>
    </r>
  </si>
  <si>
    <r>
      <t xml:space="preserve">Metered </t>
    </r>
    <r>
      <rPr>
        <b/>
        <sz val="10"/>
        <color rgb="FFFF0000"/>
        <rFont val="Arial"/>
        <family val="2"/>
      </rPr>
      <t>kWh</t>
    </r>
    <r>
      <rPr>
        <b/>
        <sz val="10"/>
        <rFont val="Arial"/>
        <family val="2"/>
      </rPr>
      <t xml:space="preserve"> for Non-RPP Customers</t>
    </r>
  </si>
  <si>
    <r>
      <t xml:space="preserve">Metered </t>
    </r>
    <r>
      <rPr>
        <b/>
        <sz val="10"/>
        <color rgb="FFFF0000"/>
        <rFont val="Arial"/>
        <family val="2"/>
      </rPr>
      <t>kW</t>
    </r>
    <r>
      <rPr>
        <b/>
        <sz val="10"/>
        <rFont val="Arial"/>
        <family val="2"/>
      </rPr>
      <t xml:space="preserve"> for Non-RPP Customers</t>
    </r>
  </si>
  <si>
    <r>
      <t xml:space="preserve">Metered </t>
    </r>
    <r>
      <rPr>
        <b/>
        <sz val="11"/>
        <color rgb="FFFF0000"/>
        <rFont val="Arial"/>
        <family val="2"/>
      </rPr>
      <t>kWh</t>
    </r>
    <r>
      <rPr>
        <b/>
        <sz val="10"/>
        <rFont val="Arial"/>
        <family val="2"/>
      </rPr>
      <t xml:space="preserve"> for Wholesale Market Participants (WMP)</t>
    </r>
  </si>
  <si>
    <r>
      <t xml:space="preserve">Metered </t>
    </r>
    <r>
      <rPr>
        <b/>
        <sz val="11"/>
        <color rgb="FFFF0000"/>
        <rFont val="Arial"/>
        <family val="2"/>
      </rPr>
      <t>kW</t>
    </r>
    <r>
      <rPr>
        <b/>
        <sz val="10"/>
        <rFont val="Arial"/>
        <family val="2"/>
      </rPr>
      <t xml:space="preserve"> for Wholesale Market Participants (WMP)</t>
    </r>
  </si>
  <si>
    <r>
      <t xml:space="preserve">Total Metered </t>
    </r>
    <r>
      <rPr>
        <b/>
        <sz val="10"/>
        <color rgb="FFFF0000"/>
        <rFont val="Arial"/>
        <family val="2"/>
      </rPr>
      <t xml:space="preserve">kWh </t>
    </r>
    <r>
      <rPr>
        <b/>
        <sz val="10"/>
        <rFont val="Arial"/>
        <family val="2"/>
      </rPr>
      <t xml:space="preserve">less WMP consumption
</t>
    </r>
    <r>
      <rPr>
        <b/>
        <i/>
        <sz val="10"/>
        <rFont val="Arial"/>
        <family val="2"/>
      </rPr>
      <t>(if applicable)</t>
    </r>
  </si>
  <si>
    <r>
      <t xml:space="preserve">Total Metered </t>
    </r>
    <r>
      <rPr>
        <b/>
        <sz val="10"/>
        <color rgb="FFFF0000"/>
        <rFont val="Arial"/>
        <family val="2"/>
      </rPr>
      <t xml:space="preserve">kW </t>
    </r>
    <r>
      <rPr>
        <b/>
        <sz val="10"/>
        <rFont val="Arial"/>
        <family val="2"/>
      </rPr>
      <t xml:space="preserve">less WMP consumption 
</t>
    </r>
    <r>
      <rPr>
        <b/>
        <i/>
        <sz val="10"/>
        <rFont val="Arial"/>
        <family val="2"/>
      </rPr>
      <t>(if applicable)</t>
    </r>
  </si>
  <si>
    <r>
      <t xml:space="preserve">1595 Recovery Proportion (2009) </t>
    </r>
    <r>
      <rPr>
        <b/>
        <vertAlign val="superscript"/>
        <sz val="10"/>
        <rFont val="Arial"/>
        <family val="2"/>
      </rPr>
      <t>1</t>
    </r>
  </si>
  <si>
    <r>
      <t xml:space="preserve">1595 Recovery Proportion (2010) </t>
    </r>
    <r>
      <rPr>
        <b/>
        <vertAlign val="superscript"/>
        <sz val="10"/>
        <rFont val="Arial"/>
        <family val="2"/>
      </rPr>
      <t>1</t>
    </r>
  </si>
  <si>
    <r>
      <t xml:space="preserve">1595 Recovery Proportion (2011) </t>
    </r>
    <r>
      <rPr>
        <b/>
        <vertAlign val="superscript"/>
        <sz val="10"/>
        <rFont val="Arial"/>
        <family val="2"/>
      </rPr>
      <t>1</t>
    </r>
  </si>
  <si>
    <r>
      <t xml:space="preserve">1595 Recovery Proportion (2012) </t>
    </r>
    <r>
      <rPr>
        <b/>
        <vertAlign val="superscript"/>
        <sz val="10"/>
        <rFont val="Arial"/>
        <family val="2"/>
      </rPr>
      <t>1</t>
    </r>
  </si>
  <si>
    <r>
      <t xml:space="preserve">1595 Recovery Proportion (2013) </t>
    </r>
    <r>
      <rPr>
        <b/>
        <vertAlign val="superscript"/>
        <sz val="10"/>
        <rFont val="Arial"/>
        <family val="2"/>
      </rPr>
      <t>1</t>
    </r>
  </si>
  <si>
    <r>
      <t xml:space="preserve">1595 Recovery Proportion (2014) </t>
    </r>
    <r>
      <rPr>
        <b/>
        <vertAlign val="superscript"/>
        <sz val="10"/>
        <rFont val="Arial"/>
        <family val="2"/>
      </rPr>
      <t>1</t>
    </r>
  </si>
  <si>
    <r>
      <t xml:space="preserve">1595 Recovery Proportion (2015) </t>
    </r>
    <r>
      <rPr>
        <b/>
        <vertAlign val="superscript"/>
        <sz val="10"/>
        <rFont val="Arial"/>
        <family val="2"/>
      </rPr>
      <t>1</t>
    </r>
  </si>
  <si>
    <r>
      <t xml:space="preserve">1595 Recovery Proportion (2016) </t>
    </r>
    <r>
      <rPr>
        <b/>
        <vertAlign val="superscript"/>
        <sz val="10"/>
        <rFont val="Arial"/>
        <family val="2"/>
      </rPr>
      <t>1</t>
    </r>
  </si>
  <si>
    <r>
      <t xml:space="preserve">1595 Recovery Proportion (2017) </t>
    </r>
    <r>
      <rPr>
        <b/>
        <vertAlign val="superscript"/>
        <sz val="10"/>
        <rFont val="Arial"/>
        <family val="2"/>
      </rPr>
      <t>1</t>
    </r>
  </si>
  <si>
    <r>
      <t xml:space="preserve">1568 LRAM Variance Account Class Allocation                           </t>
    </r>
    <r>
      <rPr>
        <b/>
        <sz val="10"/>
        <color rgb="FFFF0000"/>
        <rFont val="Arial"/>
        <family val="2"/>
      </rPr>
      <t>($ amounts)</t>
    </r>
  </si>
  <si>
    <r>
      <t>Number of Customers for Residential and GS&lt;50 classes</t>
    </r>
    <r>
      <rPr>
        <b/>
        <vertAlign val="superscript"/>
        <sz val="11"/>
        <color theme="1"/>
        <rFont val="Calibri"/>
        <family val="2"/>
        <scheme val="minor"/>
      </rPr>
      <t>3</t>
    </r>
  </si>
  <si>
    <t>Rate Class</t>
  </si>
  <si>
    <t>Unit</t>
  </si>
  <si>
    <t>RESIDENTIAL</t>
  </si>
  <si>
    <t>kWh</t>
  </si>
  <si>
    <t>GENERAL SERVICE LESS THAN 50 KW</t>
  </si>
  <si>
    <t>GENERAL SERVICE 50 TO 4,999 KW</t>
  </si>
  <si>
    <t>kW</t>
  </si>
  <si>
    <t>LARGE USE (1)</t>
  </si>
  <si>
    <t>LARGE USE (2)</t>
  </si>
  <si>
    <t>UNMETERED SCATTERED LOAD</t>
  </si>
  <si>
    <t>SENTINEL LIGHTING</t>
  </si>
  <si>
    <t>STREET LIGHTING</t>
  </si>
  <si>
    <t>Total</t>
  </si>
  <si>
    <t>Threshold Test</t>
  </si>
  <si>
    <t>1568 Account Balance from Continuity Schedule</t>
  </si>
  <si>
    <t>Total Claim per Continuity (including Account 1568)</t>
  </si>
  <si>
    <t>Total Claim for Threshold Test (All Group 1 Accounts)</t>
  </si>
  <si>
    <r>
      <t xml:space="preserve">Threshold Test (Total claim per kWh) </t>
    </r>
    <r>
      <rPr>
        <b/>
        <vertAlign val="superscript"/>
        <sz val="10"/>
        <color theme="1"/>
        <rFont val="Arial"/>
        <family val="2"/>
      </rPr>
      <t>2</t>
    </r>
  </si>
  <si>
    <t>Exceeds Threshold?</t>
  </si>
  <si>
    <t>ELECT TO DISPOSE of the Group 1 Account Balances?</t>
  </si>
  <si>
    <t xml:space="preserve">As per Section 3.2.5 of the 2017 Filing Requirements for Electricity Distribution Rate Applications, an applicant may elect to dispose of the Group 1 account balances below the threshold. </t>
  </si>
  <si>
    <r>
      <t>1</t>
    </r>
    <r>
      <rPr>
        <sz val="10"/>
        <color theme="1"/>
        <rFont val="Calibri"/>
        <family val="2"/>
        <scheme val="minor"/>
      </rPr>
      <t xml:space="preserve"> Residual Account balance to be allocated to rate classes in proportion to the recovery share as established when rate riders were implemented.</t>
    </r>
  </si>
  <si>
    <r>
      <t>2</t>
    </r>
    <r>
      <rPr>
        <sz val="10"/>
        <color theme="1"/>
        <rFont val="Calibri"/>
        <family val="2"/>
        <scheme val="minor"/>
      </rPr>
      <t xml:space="preserve"> The Threshold Test does not include the amount in 1568.</t>
    </r>
  </si>
  <si>
    <r>
      <t>3</t>
    </r>
    <r>
      <rPr>
        <sz val="10"/>
        <color theme="1"/>
        <rFont val="Calibri"/>
        <family val="2"/>
        <scheme val="minor"/>
      </rPr>
      <t xml:space="preserve"> The proportion of customers for the Residential and GS&lt;50 Classes will be used to allocate Account 1551.</t>
    </r>
  </si>
  <si>
    <t>No input required.  This workshseet allocates the deferral/variance account balances (Group 1 and 1568) to the appropriate classes as per EDDVAR dated July 31, 2009</t>
  </si>
  <si>
    <t>Allocation of Group 1 Accounts (including Account 1568)</t>
  </si>
  <si>
    <r>
      <t xml:space="preserve">% of  Total </t>
    </r>
    <r>
      <rPr>
        <b/>
        <sz val="11"/>
        <color theme="3"/>
        <rFont val="Calibri"/>
        <family val="2"/>
        <scheme val="minor"/>
      </rPr>
      <t>kWh</t>
    </r>
  </si>
  <si>
    <r>
      <t xml:space="preserve">% of  Total </t>
    </r>
    <r>
      <rPr>
        <b/>
        <sz val="11"/>
        <color theme="3"/>
        <rFont val="Calibri"/>
        <family val="2"/>
        <scheme val="minor"/>
      </rPr>
      <t>non-RPP kWh</t>
    </r>
  </si>
  <si>
    <t>% of Customer Numbers **</t>
  </si>
  <si>
    <r>
      <t xml:space="preserve">% of  Total </t>
    </r>
    <r>
      <rPr>
        <b/>
        <sz val="11"/>
        <color theme="3"/>
        <rFont val="Calibri"/>
        <family val="2"/>
        <scheme val="minor"/>
      </rPr>
      <t xml:space="preserve">kWh </t>
    </r>
    <r>
      <rPr>
        <b/>
        <sz val="11"/>
        <rFont val="Calibri"/>
        <family val="2"/>
        <scheme val="minor"/>
      </rPr>
      <t>adjusted for WMP</t>
    </r>
  </si>
  <si>
    <t>allocated based on Total less WMP</t>
  </si>
  <si>
    <t>1595_(2009)</t>
  </si>
  <si>
    <t>1595_(2010)</t>
  </si>
  <si>
    <t>1595_(2011)</t>
  </si>
  <si>
    <t>1595_(2012)</t>
  </si>
  <si>
    <t>1595_(2013)</t>
  </si>
  <si>
    <t>1595_(2014)</t>
  </si>
  <si>
    <t>1595_(2015)</t>
  </si>
  <si>
    <t>1595_(2017)</t>
  </si>
  <si>
    <t>1580 (Class A)</t>
  </si>
  <si>
    <t>1580 (Class B)</t>
  </si>
  <si>
    <t>** Used to allocate Account 1551 as this account records the variances arising from the Smart Metering Entity Charges to Residential and GS&lt;50 customers.</t>
  </si>
  <si>
    <r>
      <t xml:space="preserve">The purpose of this tab is to calculate the GA rate riders for all current Class B customers of the distributor.
</t>
    </r>
    <r>
      <rPr>
        <b/>
        <sz val="11"/>
        <rFont val="Arial"/>
        <family val="2"/>
      </rPr>
      <t>Identify the total billed consumption for former Class B customers prior to becoming Class A customers in  Column G.</t>
    </r>
    <r>
      <rPr>
        <sz val="11"/>
        <color theme="1"/>
        <rFont val="Arial"/>
        <family val="2"/>
      </rPr>
      <t xml:space="preserve">
Effective January 2017, the billing determinant and all rate riders for the disposition of GA balances will be calculated on an energy basis (kWhs) regardless of the billing determinant used for distribution rates for the particular class (see Chapter 3, Filing Requirements, section 3.2.5.2)</t>
    </r>
  </si>
  <si>
    <t>Total Metered Non-RPP consumption minus WMP</t>
  </si>
  <si>
    <t>Total  Metered Class A Consumption in 2017 (partial and/or full year Class A customers)*</t>
  </si>
  <si>
    <t xml:space="preserve">Total Metered Consumption for New Class A customer(s) in the period prior to becoming Class A (i.e. Jan. 1 - June 30, 2017) </t>
  </si>
  <si>
    <t xml:space="preserve">Total Metered Consumption for New Class B customer(s) in the period after becoming Class B (i.e. Jul 1 - Dec 31, 2017) </t>
  </si>
  <si>
    <r>
      <t>Metered Consumption for Current Class B Customers (</t>
    </r>
    <r>
      <rPr>
        <b/>
        <sz val="10"/>
        <rFont val="Arial"/>
        <family val="2"/>
      </rPr>
      <t>Non-RPP consumption LESS WMP, Class A and new Class A's former Class B consumption if applicable)</t>
    </r>
  </si>
  <si>
    <t>% of total kWh</t>
  </si>
  <si>
    <t>Total GA $ allocated to Current Class B Customers</t>
  </si>
  <si>
    <t>GA Rate Rider</t>
  </si>
  <si>
    <t>Revenue Reconciliation</t>
  </si>
  <si>
    <t>Variance</t>
  </si>
  <si>
    <t>kwh</t>
  </si>
  <si>
    <t>from Sheet 6B</t>
  </si>
  <si>
    <t>NOTE: if rate rider is at 5 decimal places, then the balance dispostion is in full</t>
  </si>
  <si>
    <t>*For new Class A customers (who became Class A in 2017), add their consumption only related to July to December period.</t>
  </si>
  <si>
    <t>This tab allocates the GA balance to former Class B customers who contributed to the current GA balance but are now Class A customers. The tables below calculate specific amounts for each customer who made the change. Consistent with both decisions for 2016 rates and EDDVAR, distributors are generally expected to settle the amount through 12 equal adjustments to bills. A one-time settlement is acceptable if the affected customer has expressed a clear preference for this approach. (see Filing Requirements section 3.2.5.2)</t>
  </si>
  <si>
    <t>Year of Group 1 Account Balance Last Disposed</t>
  </si>
  <si>
    <t>(e.g. If in the 2017 EDR process, you received approval to dispose the GA variance account balance as of December 31, 2014, please enter 2014 in cell C16.)</t>
  </si>
  <si>
    <t>Allocation of total Non-RPP consumption (kWh) between Class B and New Class A (Former Class B) customers</t>
  </si>
  <si>
    <t>Total Class B Consumption for Years Since Last Disposition (Non-RPP consumption LESS WMP and Class A)</t>
  </si>
  <si>
    <t>A</t>
  </si>
  <si>
    <t>New Class A Customer(s)' Former Class B Consumption</t>
  </si>
  <si>
    <t>B</t>
  </si>
  <si>
    <t>Portion of Consumption of Former Class B Customers</t>
  </si>
  <si>
    <t>C=B/A</t>
  </si>
  <si>
    <t>Allocation of Total GA Balance $</t>
  </si>
  <si>
    <t>Total GA Balance</t>
  </si>
  <si>
    <t>D</t>
  </si>
  <si>
    <t>New Class A Customer(s)' Former Class B Portion of GA Balance</t>
  </si>
  <si>
    <t>E=C*D</t>
  </si>
  <si>
    <r>
      <t xml:space="preserve">GA Balance to be disposed to Current Class B Customers </t>
    </r>
    <r>
      <rPr>
        <b/>
        <sz val="10"/>
        <color theme="1"/>
        <rFont val="Arial"/>
        <family val="2"/>
      </rPr>
      <t>(if no Class A to Class  B Transition Customers)</t>
    </r>
  </si>
  <si>
    <t>F=D-E</t>
  </si>
  <si>
    <t>s</t>
  </si>
  <si>
    <t>Allocation of GA Balances to Former Class B Customers</t>
  </si>
  <si>
    <t># of Former Class B customer(s)</t>
  </si>
  <si>
    <t>Customer</t>
  </si>
  <si>
    <t>Total Metered kWh Consumption for each new Class A customer for the period prior to becoming Class A</t>
  </si>
  <si>
    <t>Metered kWh Consumption for each new Class A customer for the period prior to becoming Class A in 2016</t>
  </si>
  <si>
    <t>Metered kWh Consumption for each new Class A customer for the period prior to becoming Class A in 2015</t>
  </si>
  <si>
    <t>Metered kWh Consumption for each new Class A customer for the period prior to becoming Class A in 2014</t>
  </si>
  <si>
    <t>Metered kWh Consumption for each new Class A customer for the period prior to becoming Class A in 2013</t>
  </si>
  <si>
    <t>Metered kWh Consumption for each new Class A customer for the period prior to becoming Class A in 2012</t>
  </si>
  <si>
    <t>% of kWh</t>
  </si>
  <si>
    <t>Customer specific GA allocation for the period prior to becoming Class A</t>
  </si>
  <si>
    <t>Monthly Equal Payments</t>
  </si>
  <si>
    <t>Customer 1</t>
  </si>
  <si>
    <t>Customer 2</t>
  </si>
  <si>
    <t>Customer 3</t>
  </si>
  <si>
    <t>Customer 4</t>
  </si>
  <si>
    <t>Customer 5</t>
  </si>
  <si>
    <t>Customer 6</t>
  </si>
  <si>
    <t>Customer 7</t>
  </si>
  <si>
    <t>Customer 8</t>
  </si>
  <si>
    <t>Customer 9</t>
  </si>
  <si>
    <t>Customer 10</t>
  </si>
  <si>
    <t>Customer 11</t>
  </si>
  <si>
    <t>Customer 12</t>
  </si>
  <si>
    <t>Customer 13</t>
  </si>
  <si>
    <t>Customer 14</t>
  </si>
  <si>
    <t>Customer 15</t>
  </si>
  <si>
    <t>Customer 16</t>
  </si>
  <si>
    <t>Customer 17</t>
  </si>
  <si>
    <t>Customer 18</t>
  </si>
  <si>
    <t>Customer 19</t>
  </si>
  <si>
    <t>Customer 20</t>
  </si>
  <si>
    <t>Customer 21</t>
  </si>
  <si>
    <t>Customer 22</t>
  </si>
  <si>
    <t>Customer 23</t>
  </si>
  <si>
    <t>These two accounts (Bartek) are now combined - adjustment to be made to account 219286</t>
  </si>
  <si>
    <t>Customer 24</t>
  </si>
  <si>
    <t>Account 219454 (Bartek) now combined with above account number</t>
  </si>
  <si>
    <t>Customer 25</t>
  </si>
  <si>
    <t>This customer account shut down and left premise/ premise now occupied by Class B customer.  Should this credit be removed and allocated to the remainder of the Class A customers?</t>
  </si>
  <si>
    <t>Customer 26</t>
  </si>
  <si>
    <t>Customer 27</t>
  </si>
  <si>
    <t>Customer 28</t>
  </si>
  <si>
    <t>Customer 29</t>
  </si>
  <si>
    <t>Customer 30</t>
  </si>
  <si>
    <t>Customer 31</t>
  </si>
  <si>
    <t>Customer 32</t>
  </si>
  <si>
    <t>Customer 33</t>
  </si>
  <si>
    <t>Customer 34</t>
  </si>
  <si>
    <t>Customer 35</t>
  </si>
  <si>
    <t>Customer 36</t>
  </si>
  <si>
    <t>This tab allocates the GA balance to former Class A customers who contributed to the current Class B GA balance once switched to Class B customers. The tables below calculate specific amounts for each customer who made the transition. Consistent with both decisions for 2016 rates and EDDVAR, distributors are generally expected to settle the amount through 12 equal adjustments to bills. A one-time settlement is acceptable if the affected customer has expressed a clear preference for this approach. (see Filing Requirements section 3.2.5.2)</t>
  </si>
  <si>
    <t>Allocation of total Non-RPP consumption (kWh) between Class B and New Class B (Former Class A) customers</t>
  </si>
  <si>
    <t>New Class B Customer(s)'  Consumption</t>
  </si>
  <si>
    <t>Portion of Consumption of New Class B Customers</t>
  </si>
  <si>
    <t>Total GA Calss B Balance adjusted for Class A</t>
  </si>
  <si>
    <t>New Class B Customer(s)' Former Class A Portion of GA Balance attributable to Class B</t>
  </si>
  <si>
    <t>F=Sheet 6A</t>
  </si>
  <si>
    <t>GA Balance to be disposed to Current Class B Customers</t>
  </si>
  <si>
    <t>G=D-E-F</t>
  </si>
  <si>
    <t>Input into Sheet 6. GA Calculation</t>
  </si>
  <si>
    <t>Allocation of GA Balances to Former Class A Customers</t>
  </si>
  <si>
    <t>Total Metered kWh Consumption for each new Class B customer for the period after becoming Class B</t>
  </si>
  <si>
    <t>Metered kWh Consumption for each new Class B customer for the period after becoming Class B in 2016</t>
  </si>
  <si>
    <t>Metered kWh Consumption for each new Class B customer for the period prior to becoming Class B in 2015</t>
  </si>
  <si>
    <t>Metered kWh Consumption for each new Class B customer for the period prior to becoming Class B in 2014</t>
  </si>
  <si>
    <t>Metered kWh Consumption for each new Class B customer for the period prior to becoming Class B in 2013</t>
  </si>
  <si>
    <t>Metered kWh Consumption for each new Class B customer for the period prior to becoming Class B in 2012</t>
  </si>
  <si>
    <t>Customer specific GA allocation for the period after becoming Class B</t>
  </si>
  <si>
    <r>
      <t xml:space="preserve">The purpose of this tab is to calculate the CBR rate riders for all current Class B customers of the distributor.
</t>
    </r>
    <r>
      <rPr>
        <b/>
        <sz val="11"/>
        <rFont val="Arial"/>
        <family val="2"/>
      </rPr>
      <t>Identify and input the total billed consumption for former Class B customers prior to becoming Class A customers in  Column H.</t>
    </r>
    <r>
      <rPr>
        <sz val="11"/>
        <color theme="1"/>
        <rFont val="Arial"/>
        <family val="2"/>
      </rPr>
      <t xml:space="preserve">
</t>
    </r>
    <r>
      <rPr>
        <b/>
        <sz val="11"/>
        <color theme="1"/>
        <rFont val="Arial"/>
        <family val="2"/>
      </rPr>
      <t>Identify and input the total billed consumption for former Class A customers after becoming  Class B customers in  Column H.</t>
    </r>
  </si>
  <si>
    <t>Account 1580</t>
  </si>
  <si>
    <t>Total Metered LESS WMP</t>
  </si>
  <si>
    <t>Total  Metered Class A 
Consumption/Demand in  2016  (partial 
and/or full year Class A customers)*</t>
  </si>
  <si>
    <t xml:space="preserve">Total Metered Consumption/Demand
for New Class A customer(s)
 in the period prior to becoming
 Class A (i.e. Jan 1 - Jun 30, 2016) </t>
  </si>
  <si>
    <t xml:space="preserve">Total Metered Consumption for New Class B customer(s) in the period after becoming Class B (i.e. Jul 1 - Dec 31, 2016) </t>
  </si>
  <si>
    <r>
      <t>Metered Consumption for Current Class B Customers (</t>
    </r>
    <r>
      <rPr>
        <b/>
        <sz val="10"/>
        <rFont val="Arial"/>
        <family val="2"/>
      </rPr>
      <t>metered consumption/demand LESS WMP, Class A and new Class A's former Class B, if applicable)</t>
    </r>
  </si>
  <si>
    <t>Total CBR $ allocated to Current Class B Customers</t>
  </si>
  <si>
    <t>CBR Rate Rider</t>
  </si>
  <si>
    <t>Calculated CBR Rate Rider</t>
  </si>
  <si>
    <t>R_CBR19</t>
  </si>
  <si>
    <t>GSL_CBR19</t>
  </si>
  <si>
    <t>GSG_CBR19</t>
  </si>
  <si>
    <t>LU_CBR19</t>
  </si>
  <si>
    <t>LUDA_CBR19</t>
  </si>
  <si>
    <t>USL_CBR19</t>
  </si>
  <si>
    <t>SEN_CBR19</t>
  </si>
  <si>
    <t>SL_CBR19</t>
  </si>
  <si>
    <t>from Sheet 7B</t>
  </si>
  <si>
    <t>*For new Class A customers (who became Class A in 2016), add their consumption only related to July to December period.</t>
  </si>
  <si>
    <t>If the allocated Account 1580 sub-account CBR Class B amount does not produce a rate rider in one or more rate class (except for the Standby rate class), a distributor is to transfer the entire OEB-approved CBR Class B amount into Account 1580 WMS control account to be disposed through the general purpose Group 1 DVA rate riders. (see Accounting Guidance, Capacity Based Recovery xxxxx, 2018)</t>
  </si>
  <si>
    <t>This tab allocates the CBR balance to former Class B customers who contributed to the current CBR balance but are now Class A customers. The tables below calculate specific amounts for each customer who made the change. Consistent with both decisions for 2016 rates and EDDVAR, distributors are generally expected to settle the amount through 12 equal adjustments to bills. A one-time settlement is acceptable if the affected customer has expressed a clear preference for this approach. (see Filing Requirements section 3.2.5.2)</t>
  </si>
  <si>
    <t>Total MeteredConsumption for Years Since Last Disposition (consumption LESS WMP and Class A)</t>
  </si>
  <si>
    <t>Allocation of Total CBR Class B Balance $</t>
  </si>
  <si>
    <t>Total CBR-Class B Balance</t>
  </si>
  <si>
    <t>New Class A Customer(s)' Former Class B Portion of CBR-Class B Balance</t>
  </si>
  <si>
    <r>
      <t xml:space="preserve">CBR-Class B Balance to be disposed to Current Class B Customers </t>
    </r>
    <r>
      <rPr>
        <b/>
        <sz val="10"/>
        <color theme="1"/>
        <rFont val="Arial"/>
        <family val="2"/>
      </rPr>
      <t>(if no Class A to Class  B Transition Customers)</t>
    </r>
  </si>
  <si>
    <t>Allocation of CBR Class B Balances to Former Class B Customers</t>
  </si>
  <si>
    <t>Customer specific CBR-Class B allocation for the period prior to becoming Class A</t>
  </si>
  <si>
    <t>This tab allocates the CBR-Class B balance to former Class A customers who contributed to the current CBR-Class B balance once switched to Class B customers. The tables below calculate specific amounts for each customer who made the transition. Consistent with both decisions for 2016 rates and EDDVAR, distributors are generally expected to settle the amount through 12 equal adjustments to bills. A one-time settlement is acceptable if the affected customer has expressed a clear preference for this approach. (see Filing Requirements section 3.2.5.2)</t>
  </si>
  <si>
    <t>Allocation of Total CBR-Class B Balance $</t>
  </si>
  <si>
    <t>Total CBR-Class B Balance adjusted for Class A</t>
  </si>
  <si>
    <t>New Class B Customer(s)' Former Class A Portion of CBR-Class B Balance attributable to Class B</t>
  </si>
  <si>
    <t>CBR-Class B Balance to be disposed to Current Class B Customers</t>
  </si>
  <si>
    <t>Input into Sheet 7. CBR Calculation</t>
  </si>
  <si>
    <t>Allocation of CBR-Class B Balances to Former Class A Customers</t>
  </si>
  <si>
    <t>Customer specific CBR-Class B allocation for the period after becoming Class B</t>
  </si>
  <si>
    <r>
      <rPr>
        <b/>
        <sz val="11"/>
        <color theme="1"/>
        <rFont val="Arial"/>
        <family val="2"/>
      </rPr>
      <t>Input required at cell D13 only.</t>
    </r>
    <r>
      <rPr>
        <sz val="11"/>
        <color theme="1"/>
        <rFont val="Arial"/>
        <family val="2"/>
      </rPr>
      <t xml:space="preserve">  This workshseet calculates rate riders related to the Deferral/Variance Account Disposition (if applicable) and rate riders for Account 1568.  Rate Riders will not be generated for the microFIT class.</t>
    </r>
  </si>
  <si>
    <t>Default Rate Rider Recovery Period (in months)</t>
  </si>
  <si>
    <t>Proposed Rate Rider Recovery Period (in months)</t>
  </si>
  <si>
    <t>Total Metered kWh</t>
  </si>
  <si>
    <t>Metered kW 
or kVA</t>
  </si>
  <si>
    <r>
      <t xml:space="preserve">Total Metered </t>
    </r>
    <r>
      <rPr>
        <b/>
        <sz val="10"/>
        <color rgb="FFFF0000"/>
        <rFont val="Arial"/>
        <family val="2"/>
      </rPr>
      <t xml:space="preserve">kWh </t>
    </r>
    <r>
      <rPr>
        <b/>
        <sz val="10"/>
        <rFont val="Arial"/>
        <family val="2"/>
      </rPr>
      <t xml:space="preserve">less WMP consumption </t>
    </r>
  </si>
  <si>
    <r>
      <t xml:space="preserve">Total Metered </t>
    </r>
    <r>
      <rPr>
        <b/>
        <sz val="10"/>
        <color rgb="FFFF0000"/>
        <rFont val="Arial"/>
        <family val="2"/>
      </rPr>
      <t xml:space="preserve">kW </t>
    </r>
    <r>
      <rPr>
        <b/>
        <sz val="10"/>
        <rFont val="Arial"/>
        <family val="2"/>
      </rPr>
      <t xml:space="preserve">less WMP consumption </t>
    </r>
  </si>
  <si>
    <r>
      <t xml:space="preserve">Allocation of Group 1 Account Balances to All Classes </t>
    </r>
    <r>
      <rPr>
        <b/>
        <vertAlign val="superscript"/>
        <sz val="10"/>
        <rFont val="Arial"/>
        <family val="2"/>
      </rPr>
      <t>2</t>
    </r>
  </si>
  <si>
    <r>
      <t xml:space="preserve">Allocation of Group 1 Account Balances to Non-WMP Classes Only 
(if Applicable) </t>
    </r>
    <r>
      <rPr>
        <b/>
        <vertAlign val="superscript"/>
        <sz val="10"/>
        <rFont val="Arial"/>
        <family val="2"/>
      </rPr>
      <t>2</t>
    </r>
  </si>
  <si>
    <r>
      <t xml:space="preserve">Deferral/Variance Account Rate Rider </t>
    </r>
    <r>
      <rPr>
        <b/>
        <vertAlign val="superscript"/>
        <sz val="10"/>
        <rFont val="Arial"/>
        <family val="2"/>
      </rPr>
      <t>2</t>
    </r>
  </si>
  <si>
    <r>
      <t xml:space="preserve">Deferral/Variance Account Rate Rider for Non-WMP 
(if applicable) </t>
    </r>
    <r>
      <rPr>
        <b/>
        <vertAlign val="superscript"/>
        <sz val="10"/>
        <rFont val="Arial"/>
        <family val="2"/>
      </rPr>
      <t>2</t>
    </r>
  </si>
  <si>
    <t>Account 1568 Rate Rider</t>
  </si>
  <si>
    <t>Revenue Reconciliation:</t>
  </si>
  <si>
    <r>
      <t xml:space="preserve">Revenue
 Reconcilation </t>
    </r>
    <r>
      <rPr>
        <b/>
        <vertAlign val="superscript"/>
        <sz val="11"/>
        <color theme="1"/>
        <rFont val="Calibri"/>
        <family val="2"/>
        <scheme val="minor"/>
      </rPr>
      <t>1</t>
    </r>
  </si>
  <si>
    <r>
      <t>1</t>
    </r>
    <r>
      <rPr>
        <sz val="9"/>
        <color theme="1"/>
        <rFont val="Calibri"/>
        <family val="2"/>
        <scheme val="minor"/>
      </rPr>
      <t xml:space="preserve"> When calculating the revenue reconciliation for distributors with Class A customers, the balances of sub-account 1580-CBR Class A and B will not be taken into consideration since the rate riders, if any, are calculated outside of the model.</t>
    </r>
  </si>
  <si>
    <r>
      <t>2</t>
    </r>
    <r>
      <rPr>
        <sz val="9"/>
        <color theme="1"/>
        <rFont val="Calibri"/>
        <family val="2"/>
        <scheme val="minor"/>
      </rPr>
      <t xml:space="preserve"> Only for rate classes with WMP customers are the Deferral/Variance Account Rate Riders for Non-WMP (column H and J) calculated separately. For all rate classes without WMP customers, balances in account 1580 and 1588 are included in column H and disposed through a combined Deferral/Variance Account and Rate Rider.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</si>
</sst>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6" formatCode="&quot;$&quot;#,##0_);[Red]\(&quot;$&quot;#,##0\)"/>
    <numFmt numFmtId="8" formatCode="&quot;$&quot;#,##0.00_);[Red]\(&quot;$&quot;#,##0.00\)"/>
    <numFmt numFmtId="44" formatCode="_(&quot;$&quot;* #,##0.00_);_(&quot;$&quot;* \(#,##0.00\);_(&quot;$&quot;* &quot;-&quot;??_);_(@_)"/>
    <numFmt numFmtId="43" formatCode="_(* #,##0.00_);_(* \(#,##0.00\);_(* &quot;-&quot;??_);_(@_)"/>
    <numFmt numFmtId="164" formatCode="&quot;$&quot;#,##0;[Red]\-&quot;$&quot;#,##0"/>
    <numFmt numFmtId="165" formatCode="_-&quot;$&quot;* #,##0.00_-;\-&quot;$&quot;* #,##0.00_-;_-&quot;$&quot;* &quot;-&quot;??_-;_-@_-"/>
    <numFmt numFmtId="166" formatCode="_-* #,##0.00_-;\-* #,##0.00_-;_-* &quot;-&quot;??_-;_-@_-"/>
    <numFmt numFmtId="167" formatCode="0.0"/>
    <numFmt numFmtId="168" formatCode="[$-F800]dddd\,\ mmmm\ dd\,\ yyyy"/>
    <numFmt numFmtId="169" formatCode="_ #,##0;[Red]\(#,##0\)"/>
    <numFmt numFmtId="170" formatCode="&quot;$&quot;#,##0;[Red]\(&quot;$&quot;#,##0\)"/>
    <numFmt numFmtId="171" formatCode="#,##0;[Red]\(#,##0\)"/>
    <numFmt numFmtId="172" formatCode="_-&quot;$&quot;* #,##0_-;\-&quot;$&quot;* #,##0_-;_-&quot;$&quot;* &quot;-&quot;??_-;_-@_-"/>
    <numFmt numFmtId="173" formatCode="0.0%"/>
    <numFmt numFmtId="174" formatCode="&quot;$&quot;#,##0"/>
    <numFmt numFmtId="175" formatCode="_-* #,##0_-;\-* #,##0_-;_-* &quot;-&quot;??_-;_-@_-"/>
    <numFmt numFmtId="176" formatCode="_-* #,##0.0000_-;\-* #,##0.0000_-;_-* &quot;-&quot;??_-;_-@_-"/>
    <numFmt numFmtId="177" formatCode="_ #,##0.0000;[Red]\(#,##0.0000\)"/>
    <numFmt numFmtId="178" formatCode="_ #,##0.00;[Red]\(#,##0.00\)"/>
    <numFmt numFmtId="179" formatCode="&quot;$&quot;0.0000"/>
    <numFmt numFmtId="180" formatCode="&quot;$&quot;#,##0.0000;[Red]\(&quot;$&quot;#,##0.0000\)"/>
    <numFmt numFmtId="181" formatCode="0.0000%"/>
    <numFmt numFmtId="182" formatCode="0.000%"/>
    <numFmt numFmtId="183" formatCode="&quot;$&quot;0.00000"/>
    <numFmt numFmtId="184" formatCode="&quot;$&quot;#,##0.00000"/>
    <numFmt numFmtId="185" formatCode="&quot;$&quot;#,##0.000_);[Red]\(&quot;$&quot;#,##0.000\)"/>
  </numFmts>
  <fonts count="70" x14ac:knownFonts="1">
    <font>
      <sz val="11"/>
      <color theme="1"/>
      <name val="Calibri"/>
      <family val="2"/>
      <scheme val="minor"/>
    </font>
    <font>
      <sz val="11"/>
      <color theme="1"/>
      <name val="Arial"/>
      <family val="2"/>
    </font>
    <font>
      <sz val="11"/>
      <color theme="1"/>
      <name val="Calibri"/>
      <family val="2"/>
      <scheme val="minor"/>
    </font>
    <font>
      <b/>
      <sz val="11"/>
      <color theme="3"/>
      <name val="Calibri"/>
      <family val="2"/>
      <scheme val="minor"/>
    </font>
    <font>
      <b/>
      <sz val="11"/>
      <color theme="1"/>
      <name val="Calibri"/>
      <family val="2"/>
      <scheme val="minor"/>
    </font>
    <font>
      <sz val="11"/>
      <color theme="0"/>
      <name val="Calibri"/>
      <family val="2"/>
      <scheme val="minor"/>
    </font>
    <font>
      <b/>
      <sz val="11"/>
      <color theme="1"/>
      <name val="Arial"/>
      <family val="2"/>
    </font>
    <font>
      <sz val="11"/>
      <color theme="1"/>
      <name val="Arial"/>
      <family val="2"/>
    </font>
    <font>
      <b/>
      <vertAlign val="superscript"/>
      <sz val="11"/>
      <color theme="1"/>
      <name val="Arial"/>
      <family val="2"/>
    </font>
    <font>
      <b/>
      <u/>
      <sz val="10"/>
      <name val="Arial"/>
      <family val="2"/>
    </font>
    <font>
      <sz val="10"/>
      <name val="Arial"/>
      <family val="2"/>
    </font>
    <font>
      <b/>
      <sz val="11"/>
      <name val="Arial"/>
      <family val="2"/>
    </font>
    <font>
      <b/>
      <sz val="11"/>
      <color rgb="FFFF0000"/>
      <name val="Arial"/>
      <family val="2"/>
    </font>
    <font>
      <b/>
      <sz val="22"/>
      <name val="Book Antiqua"/>
      <family val="1"/>
    </font>
    <font>
      <sz val="22"/>
      <name val="Book Antiqua"/>
      <family val="1"/>
    </font>
    <font>
      <b/>
      <sz val="10"/>
      <name val="Book Antiqua"/>
      <family val="1"/>
    </font>
    <font>
      <b/>
      <vertAlign val="superscript"/>
      <sz val="10"/>
      <name val="Book Antiqua"/>
      <family val="1"/>
    </font>
    <font>
      <b/>
      <i/>
      <sz val="10"/>
      <name val="Book Antiqua"/>
      <family val="1"/>
    </font>
    <font>
      <sz val="10"/>
      <name val="Book Antiqua"/>
      <family val="1"/>
    </font>
    <font>
      <b/>
      <sz val="18"/>
      <name val="Arial"/>
      <family val="2"/>
    </font>
    <font>
      <sz val="11"/>
      <name val="Arial"/>
      <family val="2"/>
    </font>
    <font>
      <vertAlign val="superscript"/>
      <sz val="11"/>
      <name val="Arial"/>
      <family val="2"/>
    </font>
    <font>
      <b/>
      <sz val="11"/>
      <color indexed="12"/>
      <name val="Arial"/>
      <family val="2"/>
    </font>
    <font>
      <sz val="11"/>
      <name val="Calibri"/>
      <family val="2"/>
      <scheme val="minor"/>
    </font>
    <font>
      <b/>
      <sz val="10"/>
      <name val="Arial"/>
      <family val="2"/>
    </font>
    <font>
      <strike/>
      <sz val="10"/>
      <name val="Arial"/>
      <family val="2"/>
    </font>
    <font>
      <sz val="9"/>
      <name val="Arial"/>
      <family val="2"/>
    </font>
    <font>
      <b/>
      <i/>
      <sz val="11"/>
      <color theme="1"/>
      <name val="Arial"/>
      <family val="2"/>
    </font>
    <font>
      <sz val="10"/>
      <color theme="1"/>
      <name val="Arial"/>
      <family val="2"/>
    </font>
    <font>
      <b/>
      <sz val="10"/>
      <color rgb="FFFF0000"/>
      <name val="Arial"/>
      <family val="2"/>
    </font>
    <font>
      <b/>
      <i/>
      <sz val="10"/>
      <name val="Arial"/>
      <family val="2"/>
    </font>
    <font>
      <b/>
      <vertAlign val="superscript"/>
      <sz val="10"/>
      <name val="Arial"/>
      <family val="2"/>
    </font>
    <font>
      <b/>
      <vertAlign val="superscript"/>
      <sz val="11"/>
      <color theme="1"/>
      <name val="Calibri"/>
      <family val="2"/>
      <scheme val="minor"/>
    </font>
    <font>
      <b/>
      <sz val="10"/>
      <color theme="1"/>
      <name val="Arial"/>
      <family val="2"/>
    </font>
    <font>
      <vertAlign val="superscript"/>
      <sz val="11"/>
      <color theme="1"/>
      <name val="Calibri"/>
      <family val="2"/>
      <scheme val="minor"/>
    </font>
    <font>
      <b/>
      <sz val="14"/>
      <color indexed="10"/>
      <name val="Arial"/>
      <family val="2"/>
    </font>
    <font>
      <sz val="12"/>
      <name val="Arial"/>
      <family val="2"/>
    </font>
    <font>
      <sz val="8"/>
      <name val="Arial"/>
      <family val="2"/>
    </font>
    <font>
      <sz val="12"/>
      <color theme="1"/>
      <name val="Calibri"/>
      <family val="2"/>
      <scheme val="minor"/>
    </font>
    <font>
      <b/>
      <sz val="12"/>
      <name val="Arial"/>
      <family val="2"/>
    </font>
    <font>
      <i/>
      <sz val="11"/>
      <color theme="1"/>
      <name val="Calibri"/>
      <family val="2"/>
      <scheme val="minor"/>
    </font>
    <font>
      <b/>
      <sz val="11"/>
      <color rgb="FFFF0000"/>
      <name val="Calibri"/>
      <family val="2"/>
      <scheme val="minor"/>
    </font>
    <font>
      <sz val="10"/>
      <color theme="1"/>
      <name val="Calibri"/>
      <family val="2"/>
      <scheme val="minor"/>
    </font>
    <font>
      <sz val="9"/>
      <color theme="1"/>
      <name val="Calibri"/>
      <family val="2"/>
      <scheme val="minor"/>
    </font>
    <font>
      <sz val="10"/>
      <name val="Verdana"/>
      <family val="2"/>
    </font>
    <font>
      <sz val="11"/>
      <color theme="1"/>
      <name val="Verdana"/>
      <family val="2"/>
    </font>
    <font>
      <b/>
      <sz val="24"/>
      <name val="Verdana"/>
      <family val="2"/>
    </font>
    <font>
      <b/>
      <sz val="20"/>
      <name val="Verdana"/>
      <family val="2"/>
    </font>
    <font>
      <b/>
      <sz val="8"/>
      <color theme="1"/>
      <name val="Arial"/>
      <family val="2"/>
    </font>
    <font>
      <sz val="8"/>
      <color theme="1"/>
      <name val="Calibri"/>
      <family val="2"/>
      <scheme val="minor"/>
    </font>
    <font>
      <b/>
      <sz val="14"/>
      <color theme="1"/>
      <name val="Calibri"/>
      <family val="2"/>
      <scheme val="minor"/>
    </font>
    <font>
      <vertAlign val="superscript"/>
      <sz val="14"/>
      <color theme="1"/>
      <name val="Calibri"/>
      <family val="2"/>
      <scheme val="minor"/>
    </font>
    <font>
      <b/>
      <u/>
      <sz val="10"/>
      <color theme="1"/>
      <name val="Arial"/>
      <family val="2"/>
    </font>
    <font>
      <b/>
      <vertAlign val="superscript"/>
      <sz val="10"/>
      <color theme="1"/>
      <name val="Arial"/>
      <family val="2"/>
    </font>
    <font>
      <b/>
      <vertAlign val="superscript"/>
      <sz val="14"/>
      <color rgb="FFFF0000"/>
      <name val="Calibri"/>
      <family val="2"/>
      <scheme val="minor"/>
    </font>
    <font>
      <vertAlign val="superscript"/>
      <sz val="10"/>
      <color theme="1"/>
      <name val="Calibri"/>
      <family val="2"/>
      <scheme val="minor"/>
    </font>
    <font>
      <sz val="8"/>
      <color indexed="81"/>
      <name val="Tahoma"/>
      <family val="2"/>
    </font>
    <font>
      <b/>
      <sz val="8"/>
      <color indexed="81"/>
      <name val="Tahoma"/>
      <family val="2"/>
    </font>
    <font>
      <b/>
      <sz val="11"/>
      <name val="Calibri"/>
      <family val="2"/>
      <scheme val="minor"/>
    </font>
    <font>
      <u/>
      <sz val="10"/>
      <color indexed="12"/>
      <name val="Arial"/>
      <family val="2"/>
    </font>
    <font>
      <vertAlign val="superscript"/>
      <sz val="9"/>
      <color theme="1"/>
      <name val="Calibri"/>
      <family val="2"/>
      <scheme val="minor"/>
    </font>
    <font>
      <b/>
      <sz val="8"/>
      <color theme="1"/>
      <name val="Calibri"/>
      <family val="2"/>
      <scheme val="minor"/>
    </font>
    <font>
      <sz val="11"/>
      <color rgb="FF000000"/>
      <name val="Arial"/>
      <family val="2"/>
    </font>
    <font>
      <sz val="16"/>
      <name val="Book Antiqua"/>
      <family val="1"/>
    </font>
    <font>
      <u/>
      <sz val="20"/>
      <color indexed="12"/>
      <name val="Arial"/>
      <family val="2"/>
    </font>
    <font>
      <sz val="11"/>
      <name val="Calibri"/>
      <family val="2"/>
    </font>
    <font>
      <sz val="11"/>
      <color rgb="FF0000FF"/>
      <name val="Arial Narrow"/>
      <family val="2"/>
    </font>
    <font>
      <sz val="11"/>
      <color rgb="FF0000FF"/>
      <name val="Calibri"/>
      <family val="2"/>
      <scheme val="minor"/>
    </font>
    <font>
      <sz val="8"/>
      <color rgb="FF0070C0"/>
      <name val="Arial"/>
      <family val="2"/>
    </font>
    <font>
      <sz val="12"/>
      <color theme="1"/>
      <name val="Arial"/>
      <family val="2"/>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4" tint="0.79995117038483843"/>
        <bgColor indexed="64"/>
      </patternFill>
    </fill>
    <fill>
      <patternFill patternType="solid">
        <fgColor theme="2"/>
        <bgColor indexed="64"/>
      </patternFill>
    </fill>
    <fill>
      <patternFill patternType="solid">
        <fgColor theme="6" tint="0.79995117038483843"/>
        <bgColor indexed="64"/>
      </patternFill>
    </fill>
    <fill>
      <patternFill patternType="solid">
        <fgColor theme="0" tint="-0.14999847407452621"/>
        <bgColor indexed="64"/>
      </patternFill>
    </fill>
    <fill>
      <gradientFill degree="90">
        <stop position="0">
          <color theme="0"/>
        </stop>
        <stop position="0.5">
          <color rgb="FFCCFF99"/>
        </stop>
        <stop position="1">
          <color theme="0"/>
        </stop>
      </gradientFill>
    </fill>
    <fill>
      <patternFill patternType="solid">
        <fgColor rgb="FFCCFFCC"/>
        <bgColor indexed="64"/>
      </patternFill>
    </fill>
    <fill>
      <patternFill patternType="solid">
        <fgColor rgb="FF99FF66"/>
        <bgColor indexed="64"/>
      </patternFill>
    </fill>
    <fill>
      <patternFill patternType="gray0625">
        <bgColor theme="6" tint="0.79992065187536243"/>
      </patternFill>
    </fill>
    <fill>
      <patternFill patternType="solid">
        <fgColor rgb="FFFFFF00"/>
        <bgColor indexed="64"/>
      </patternFill>
    </fill>
    <fill>
      <patternFill patternType="solid">
        <fgColor rgb="FF00B0F0"/>
        <bgColor indexed="64"/>
      </patternFill>
    </fill>
  </fills>
  <borders count="68">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thick">
        <color theme="0" tint="-0.34998626667073579"/>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style="medium">
        <color indexed="9"/>
      </left>
      <right style="medium">
        <color indexed="9"/>
      </right>
      <top style="medium">
        <color indexed="9"/>
      </top>
      <bottom/>
      <diagonal/>
    </border>
    <border>
      <left/>
      <right/>
      <top style="medium">
        <color theme="0"/>
      </top>
      <bottom style="medium">
        <color theme="0"/>
      </bottom>
      <diagonal/>
    </border>
    <border>
      <left/>
      <right style="thin">
        <color indexed="64"/>
      </right>
      <top/>
      <bottom/>
      <diagonal/>
    </border>
    <border>
      <left style="medium">
        <color indexed="64"/>
      </left>
      <right style="medium">
        <color indexed="9"/>
      </right>
      <top/>
      <bottom/>
      <diagonal/>
    </border>
    <border>
      <left style="medium">
        <color indexed="9"/>
      </left>
      <right/>
      <top/>
      <bottom/>
      <diagonal/>
    </border>
    <border>
      <left/>
      <right/>
      <top/>
      <bottom style="medium">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indexed="64"/>
      </right>
      <top/>
      <bottom style="medium">
        <color indexed="64"/>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diagonal/>
    </border>
    <border>
      <left style="medium">
        <color theme="0"/>
      </left>
      <right style="medium">
        <color theme="0"/>
      </right>
      <top style="medium">
        <color theme="0"/>
      </top>
      <bottom/>
      <diagonal/>
    </border>
    <border>
      <left/>
      <right style="medium">
        <color theme="0"/>
      </right>
      <top/>
      <bottom/>
      <diagonal/>
    </border>
    <border>
      <left/>
      <right style="medium">
        <color theme="0"/>
      </right>
      <top style="medium">
        <color theme="0"/>
      </top>
      <bottom style="medium">
        <color theme="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theme="0"/>
      </left>
      <right/>
      <top/>
      <bottom/>
      <diagonal/>
    </border>
    <border>
      <left style="medium">
        <color indexed="9"/>
      </left>
      <right style="medium">
        <color indexed="9"/>
      </right>
      <top style="medium">
        <color indexed="9"/>
      </top>
      <bottom style="medium">
        <color indexed="9"/>
      </bottom>
      <diagonal/>
    </border>
    <border>
      <left/>
      <right/>
      <top style="medium">
        <color indexed="9"/>
      </top>
      <bottom style="medium">
        <color indexed="9"/>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9"/>
      </right>
      <top style="medium">
        <color indexed="9"/>
      </top>
      <bottom style="medium">
        <color indexed="9"/>
      </bottom>
      <diagonal/>
    </border>
    <border>
      <left style="medium">
        <color indexed="64"/>
      </left>
      <right/>
      <top style="medium">
        <color indexed="9"/>
      </top>
      <bottom style="medium">
        <color indexed="9"/>
      </bottom>
      <diagonal/>
    </border>
    <border>
      <left style="medium">
        <color indexed="64"/>
      </left>
      <right style="medium">
        <color indexed="9"/>
      </right>
      <top style="medium">
        <color indexed="9"/>
      </top>
      <bottom style="medium">
        <color indexed="9"/>
      </bottom>
      <diagonal/>
    </border>
    <border>
      <left style="medium">
        <color indexed="9"/>
      </left>
      <right style="medium">
        <color indexed="64"/>
      </right>
      <top style="medium">
        <color indexed="9"/>
      </top>
      <bottom style="medium">
        <color indexed="9"/>
      </bottom>
      <diagonal/>
    </border>
    <border>
      <left style="medium">
        <color auto="1"/>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auto="1"/>
      </left>
      <right/>
      <top style="medium">
        <color auto="1"/>
      </top>
      <bottom/>
      <diagonal/>
    </border>
    <border>
      <left/>
      <right style="medium">
        <color auto="1"/>
      </right>
      <top style="medium">
        <color auto="1"/>
      </top>
      <bottom/>
      <diagonal/>
    </border>
    <border>
      <left style="medium">
        <color theme="0"/>
      </left>
      <right style="medium">
        <color theme="0"/>
      </right>
      <top style="medium">
        <color auto="1"/>
      </top>
      <bottom style="medium">
        <color theme="0"/>
      </bottom>
      <diagonal/>
    </border>
    <border>
      <left/>
      <right style="medium">
        <color theme="0"/>
      </right>
      <top style="medium">
        <color auto="1"/>
      </top>
      <bottom style="medium">
        <color theme="0"/>
      </bottom>
      <diagonal/>
    </border>
    <border>
      <left/>
      <right/>
      <top style="medium">
        <color auto="1"/>
      </top>
      <bottom/>
      <diagonal/>
    </border>
    <border>
      <left style="medium">
        <color indexed="64"/>
      </left>
      <right style="medium">
        <color indexed="64"/>
      </right>
      <top style="medium">
        <color indexed="64"/>
      </top>
      <bottom style="medium">
        <color indexed="64"/>
      </bottom>
      <diagonal/>
    </border>
  </borders>
  <cellStyleXfs count="21">
    <xf numFmtId="0" fontId="0" fillId="0" borderId="0"/>
    <xf numFmtId="165" fontId="2" fillId="0" borderId="0" applyFont="0" applyFill="0" applyBorder="0" applyAlignment="0" applyProtection="0"/>
    <xf numFmtId="9" fontId="2" fillId="0" borderId="0" applyFont="0" applyFill="0" applyBorder="0" applyAlignment="0" applyProtection="0"/>
    <xf numFmtId="0" fontId="10" fillId="0" borderId="0"/>
    <xf numFmtId="0" fontId="10" fillId="0" borderId="0"/>
    <xf numFmtId="0" fontId="10" fillId="0" borderId="0"/>
    <xf numFmtId="0" fontId="10" fillId="0" borderId="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59" fillId="0" borderId="0" applyNumberFormat="0" applyFill="0" applyBorder="0" applyAlignment="0" applyProtection="0">
      <alignment vertical="top"/>
      <protection locked="0"/>
    </xf>
    <xf numFmtId="9" fontId="10" fillId="0" borderId="0" applyFont="0" applyFill="0" applyBorder="0" applyAlignment="0" applyProtection="0"/>
    <xf numFmtId="0" fontId="7" fillId="0" borderId="0"/>
    <xf numFmtId="0" fontId="2" fillId="0" borderId="0"/>
    <xf numFmtId="0" fontId="10" fillId="0" borderId="0"/>
    <xf numFmtId="166" fontId="2" fillId="0" borderId="0" applyFont="0" applyFill="0" applyBorder="0" applyAlignment="0" applyProtection="0"/>
    <xf numFmtId="9" fontId="2" fillId="0" borderId="0" applyFont="0" applyFill="0" applyBorder="0" applyAlignment="0" applyProtection="0"/>
    <xf numFmtId="44" fontId="7" fillId="0" borderId="0" applyFont="0" applyFill="0" applyBorder="0" applyAlignment="0" applyProtection="0"/>
    <xf numFmtId="166" fontId="10" fillId="0" borderId="0" applyFont="0" applyFill="0" applyBorder="0" applyAlignment="0" applyProtection="0"/>
  </cellStyleXfs>
  <cellXfs count="476">
    <xf numFmtId="0" fontId="0" fillId="0" borderId="0" xfId="0"/>
    <xf numFmtId="0" fontId="0" fillId="0" borderId="0" xfId="0" applyProtection="1">
      <protection locked="0"/>
    </xf>
    <xf numFmtId="0" fontId="0" fillId="2" borderId="0" xfId="0" applyFill="1" applyAlignment="1" applyProtection="1">
      <alignment horizontal="left"/>
      <protection locked="0"/>
    </xf>
    <xf numFmtId="0" fontId="10" fillId="0" borderId="0" xfId="3"/>
    <xf numFmtId="8" fontId="0" fillId="0" borderId="0" xfId="0" applyNumberFormat="1" applyProtection="1">
      <protection locked="0"/>
    </xf>
    <xf numFmtId="0" fontId="10" fillId="0" borderId="0" xfId="3" applyProtection="1">
      <protection locked="0"/>
    </xf>
    <xf numFmtId="0" fontId="11" fillId="0" borderId="0" xfId="0" applyFont="1"/>
    <xf numFmtId="0" fontId="11" fillId="0" borderId="0" xfId="0" applyFont="1" applyAlignment="1">
      <alignment wrapText="1"/>
    </xf>
    <xf numFmtId="0" fontId="14" fillId="0" borderId="10" xfId="0" applyFont="1" applyBorder="1"/>
    <xf numFmtId="6" fontId="20" fillId="0" borderId="0" xfId="0" applyNumberFormat="1" applyFont="1"/>
    <xf numFmtId="169" fontId="0" fillId="0" borderId="0" xfId="0" applyNumberFormat="1" applyAlignment="1">
      <alignment wrapText="1"/>
    </xf>
    <xf numFmtId="169" fontId="11" fillId="0" borderId="11" xfId="0" applyNumberFormat="1" applyFont="1" applyBorder="1" applyAlignment="1">
      <alignment horizontal="center" vertical="center" wrapText="1"/>
    </xf>
    <xf numFmtId="169" fontId="20" fillId="0" borderId="6" xfId="0" applyNumberFormat="1" applyFont="1" applyBorder="1"/>
    <xf numFmtId="169" fontId="20" fillId="0" borderId="0" xfId="0" applyNumberFormat="1" applyFont="1"/>
    <xf numFmtId="6" fontId="0" fillId="0" borderId="0" xfId="0" applyNumberFormat="1" applyAlignment="1">
      <alignment wrapText="1"/>
    </xf>
    <xf numFmtId="6" fontId="11" fillId="0" borderId="11" xfId="0" applyNumberFormat="1" applyFont="1" applyBorder="1" applyAlignment="1">
      <alignment horizontal="center" vertical="center" wrapText="1"/>
    </xf>
    <xf numFmtId="6" fontId="20" fillId="0" borderId="6" xfId="0" applyNumberFormat="1" applyFont="1" applyBorder="1"/>
    <xf numFmtId="6" fontId="11" fillId="0" borderId="0" xfId="0" applyNumberFormat="1" applyFont="1" applyAlignment="1">
      <alignment horizontal="center" vertical="center" wrapText="1"/>
    </xf>
    <xf numFmtId="6" fontId="0" fillId="0" borderId="6" xfId="0" applyNumberFormat="1" applyBorder="1"/>
    <xf numFmtId="6" fontId="0" fillId="0" borderId="0" xfId="0" applyNumberFormat="1"/>
    <xf numFmtId="0" fontId="20" fillId="0" borderId="6" xfId="0" applyFont="1" applyBorder="1"/>
    <xf numFmtId="0" fontId="20" fillId="0" borderId="11" xfId="0" applyFont="1" applyBorder="1" applyAlignment="1">
      <alignment horizontal="center"/>
    </xf>
    <xf numFmtId="169" fontId="20" fillId="0" borderId="11" xfId="0" applyNumberFormat="1" applyFont="1" applyBorder="1" applyProtection="1">
      <protection locked="0"/>
    </xf>
    <xf numFmtId="169" fontId="20" fillId="0" borderId="11" xfId="0" applyNumberFormat="1" applyFont="1" applyBorder="1"/>
    <xf numFmtId="169" fontId="20" fillId="4" borderId="13" xfId="0" applyNumberFormat="1" applyFont="1" applyFill="1" applyBorder="1" applyProtection="1">
      <protection locked="0"/>
    </xf>
    <xf numFmtId="169" fontId="20" fillId="4" borderId="14" xfId="0" applyNumberFormat="1" applyFont="1" applyFill="1" applyBorder="1" applyProtection="1">
      <protection locked="0"/>
    </xf>
    <xf numFmtId="170" fontId="20" fillId="0" borderId="6" xfId="0" applyNumberFormat="1" applyFont="1" applyBorder="1"/>
    <xf numFmtId="0" fontId="20" fillId="0" borderId="6" xfId="0" applyFont="1" applyBorder="1" applyAlignment="1">
      <alignment horizontal="left"/>
    </xf>
    <xf numFmtId="0" fontId="20" fillId="0" borderId="6" xfId="3" applyFont="1" applyBorder="1" applyAlignment="1">
      <alignment horizontal="left" wrapText="1"/>
    </xf>
    <xf numFmtId="6" fontId="20" fillId="0" borderId="0" xfId="0" applyNumberFormat="1" applyFont="1" applyProtection="1">
      <protection locked="0"/>
    </xf>
    <xf numFmtId="6" fontId="20" fillId="0" borderId="11" xfId="0" applyNumberFormat="1" applyFont="1" applyBorder="1" applyProtection="1">
      <protection locked="0"/>
    </xf>
    <xf numFmtId="6" fontId="20" fillId="0" borderId="6" xfId="0" applyNumberFormat="1" applyFont="1" applyBorder="1" applyProtection="1">
      <protection locked="0"/>
    </xf>
    <xf numFmtId="169" fontId="20" fillId="0" borderId="6" xfId="0" applyNumberFormat="1" applyFont="1" applyBorder="1" applyProtection="1">
      <protection locked="0"/>
    </xf>
    <xf numFmtId="169" fontId="20" fillId="0" borderId="0" xfId="0" applyNumberFormat="1" applyFont="1" applyProtection="1">
      <protection locked="0"/>
    </xf>
    <xf numFmtId="6" fontId="0" fillId="0" borderId="6" xfId="0" applyNumberFormat="1" applyBorder="1" applyProtection="1">
      <protection locked="0"/>
    </xf>
    <xf numFmtId="6" fontId="0" fillId="0" borderId="0" xfId="0" applyNumberFormat="1" applyProtection="1">
      <protection locked="0"/>
    </xf>
    <xf numFmtId="169" fontId="0" fillId="0" borderId="0" xfId="0" applyNumberFormat="1"/>
    <xf numFmtId="0" fontId="11" fillId="0" borderId="6" xfId="0" applyFont="1" applyBorder="1" applyAlignment="1">
      <alignment horizontal="left"/>
    </xf>
    <xf numFmtId="0" fontId="11" fillId="0" borderId="11" xfId="0" applyFont="1" applyBorder="1" applyAlignment="1">
      <alignment horizontal="center"/>
    </xf>
    <xf numFmtId="0" fontId="11" fillId="0" borderId="6" xfId="0" applyFont="1" applyBorder="1"/>
    <xf numFmtId="6" fontId="0" fillId="0" borderId="11" xfId="0" applyNumberFormat="1" applyBorder="1"/>
    <xf numFmtId="0" fontId="20" fillId="0" borderId="11" xfId="0" applyFont="1" applyBorder="1"/>
    <xf numFmtId="6" fontId="0" fillId="0" borderId="11" xfId="0" applyNumberFormat="1" applyBorder="1" applyProtection="1">
      <protection locked="0"/>
    </xf>
    <xf numFmtId="169" fontId="0" fillId="0" borderId="0" xfId="0" applyNumberFormat="1" applyProtection="1">
      <protection locked="0"/>
    </xf>
    <xf numFmtId="0" fontId="22" fillId="0" borderId="6" xfId="3" applyFont="1" applyBorder="1"/>
    <xf numFmtId="0" fontId="22" fillId="0" borderId="11" xfId="3" applyFont="1" applyBorder="1" applyAlignment="1">
      <alignment horizontal="center"/>
    </xf>
    <xf numFmtId="6" fontId="23" fillId="7" borderId="0" xfId="0" applyNumberFormat="1" applyFont="1" applyFill="1" applyProtection="1">
      <protection locked="0"/>
    </xf>
    <xf numFmtId="6" fontId="23" fillId="7" borderId="11" xfId="0" applyNumberFormat="1" applyFont="1" applyFill="1" applyBorder="1" applyProtection="1">
      <protection locked="0"/>
    </xf>
    <xf numFmtId="169" fontId="20" fillId="4" borderId="17" xfId="0" applyNumberFormat="1" applyFont="1" applyFill="1" applyBorder="1" applyProtection="1">
      <protection locked="0"/>
    </xf>
    <xf numFmtId="169" fontId="20" fillId="4" borderId="12" xfId="0" applyNumberFormat="1" applyFont="1" applyFill="1" applyBorder="1" applyProtection="1">
      <protection locked="0"/>
    </xf>
    <xf numFmtId="169" fontId="20" fillId="4" borderId="18" xfId="3" applyNumberFormat="1" applyFont="1" applyFill="1" applyBorder="1" applyProtection="1">
      <protection locked="0"/>
    </xf>
    <xf numFmtId="0" fontId="0" fillId="0" borderId="19" xfId="0" applyBorder="1"/>
    <xf numFmtId="0" fontId="11" fillId="0" borderId="20" xfId="0" applyFont="1" applyBorder="1"/>
    <xf numFmtId="0" fontId="20" fillId="0" borderId="21" xfId="0" applyFont="1" applyBorder="1"/>
    <xf numFmtId="169" fontId="20" fillId="0" borderId="21" xfId="0" applyNumberFormat="1" applyFont="1" applyBorder="1"/>
    <xf numFmtId="169" fontId="20" fillId="0" borderId="20" xfId="0" applyNumberFormat="1" applyFont="1" applyBorder="1"/>
    <xf numFmtId="6" fontId="0" fillId="0" borderId="7" xfId="0" applyNumberFormat="1" applyBorder="1"/>
    <xf numFmtId="0" fontId="20" fillId="0" borderId="0" xfId="0" applyFont="1"/>
    <xf numFmtId="8" fontId="0" fillId="0" borderId="0" xfId="0" applyNumberFormat="1" applyAlignment="1" applyProtection="1">
      <alignment vertical="top"/>
      <protection locked="0"/>
    </xf>
    <xf numFmtId="0" fontId="25" fillId="0" borderId="0" xfId="3" applyFont="1"/>
    <xf numFmtId="0" fontId="10" fillId="0" borderId="0" xfId="0" applyFont="1" applyAlignment="1" applyProtection="1">
      <alignment horizontal="left" vertical="top" wrapText="1"/>
      <protection locked="0"/>
    </xf>
    <xf numFmtId="8" fontId="0" fillId="0" borderId="0" xfId="0" applyNumberFormat="1"/>
    <xf numFmtId="0" fontId="0" fillId="2" borderId="0" xfId="0" applyFill="1"/>
    <xf numFmtId="0" fontId="0" fillId="2" borderId="0" xfId="0" applyFill="1" applyProtection="1">
      <protection locked="0"/>
    </xf>
    <xf numFmtId="0" fontId="0" fillId="2" borderId="23" xfId="0" applyFill="1" applyBorder="1"/>
    <xf numFmtId="0" fontId="0" fillId="2" borderId="24" xfId="0" applyFill="1" applyBorder="1"/>
    <xf numFmtId="0" fontId="0" fillId="2" borderId="25" xfId="0" applyFill="1" applyBorder="1"/>
    <xf numFmtId="0" fontId="0" fillId="2" borderId="0" xfId="0" applyFill="1" applyAlignment="1">
      <alignment horizontal="center" vertical="center"/>
    </xf>
    <xf numFmtId="0" fontId="0" fillId="2" borderId="24" xfId="0" applyFill="1" applyBorder="1" applyAlignment="1">
      <alignment vertical="top" wrapText="1"/>
    </xf>
    <xf numFmtId="0" fontId="28" fillId="0" borderId="0" xfId="0" applyFont="1"/>
    <xf numFmtId="0" fontId="24" fillId="0" borderId="0" xfId="4" applyFont="1" applyAlignment="1">
      <alignment horizontal="left" vertical="center"/>
    </xf>
    <xf numFmtId="0" fontId="24" fillId="0" borderId="28" xfId="4" applyFont="1" applyBorder="1" applyAlignment="1">
      <alignment horizontal="center" vertical="center"/>
    </xf>
    <xf numFmtId="0" fontId="34" fillId="0" borderId="0" xfId="0" applyFont="1"/>
    <xf numFmtId="0" fontId="35" fillId="0" borderId="0" xfId="5" applyFont="1" applyAlignment="1">
      <alignment horizontal="left" vertical="top"/>
    </xf>
    <xf numFmtId="0" fontId="38" fillId="0" borderId="0" xfId="0" applyFont="1"/>
    <xf numFmtId="0" fontId="0" fillId="0" borderId="0" xfId="0" applyAlignment="1">
      <alignment horizontal="left" vertical="top"/>
    </xf>
    <xf numFmtId="0" fontId="0" fillId="0" borderId="0" xfId="0" applyAlignment="1">
      <alignment horizontal="center"/>
    </xf>
    <xf numFmtId="0" fontId="4" fillId="0" borderId="0" xfId="0" applyFont="1"/>
    <xf numFmtId="0" fontId="4" fillId="0" borderId="0" xfId="0" applyFont="1" applyAlignment="1">
      <alignment horizontal="center"/>
    </xf>
    <xf numFmtId="0" fontId="24" fillId="2" borderId="33" xfId="6" applyFont="1" applyFill="1" applyBorder="1" applyAlignment="1">
      <alignment horizontal="center"/>
    </xf>
    <xf numFmtId="0" fontId="0" fillId="0" borderId="0" xfId="0" applyAlignment="1">
      <alignment vertical="top"/>
    </xf>
    <xf numFmtId="0" fontId="24" fillId="4" borderId="33" xfId="6" applyFont="1" applyFill="1" applyBorder="1" applyAlignment="1" applyProtection="1">
      <alignment horizontal="center"/>
      <protection locked="0"/>
    </xf>
    <xf numFmtId="0" fontId="41" fillId="0" borderId="0" xfId="0" applyFont="1"/>
    <xf numFmtId="0" fontId="0" fillId="0" borderId="0" xfId="0" applyAlignment="1">
      <alignment horizontal="center" vertical="center"/>
    </xf>
    <xf numFmtId="0" fontId="0" fillId="0" borderId="0" xfId="0" applyAlignment="1">
      <alignment wrapText="1"/>
    </xf>
    <xf numFmtId="0" fontId="33" fillId="0" borderId="0" xfId="0" applyFont="1"/>
    <xf numFmtId="0" fontId="5" fillId="2" borderId="0" xfId="0" applyFont="1" applyFill="1" applyAlignment="1" applyProtection="1">
      <alignment horizontal="center" vertical="center"/>
      <protection locked="0"/>
    </xf>
    <xf numFmtId="0" fontId="4" fillId="2" borderId="0" xfId="0" applyFont="1" applyFill="1" applyProtection="1">
      <protection locked="0"/>
    </xf>
    <xf numFmtId="167" fontId="3" fillId="2" borderId="0" xfId="0" applyNumberFormat="1" applyFont="1" applyFill="1" applyAlignment="1" applyProtection="1">
      <alignment horizontal="left"/>
      <protection locked="0"/>
    </xf>
    <xf numFmtId="0" fontId="6" fillId="2" borderId="0" xfId="0" applyFont="1" applyFill="1" applyAlignment="1" applyProtection="1">
      <alignment horizontal="right" vertical="center"/>
      <protection locked="0"/>
    </xf>
    <xf numFmtId="0" fontId="0" fillId="2" borderId="0" xfId="0" applyFill="1" applyAlignment="1" applyProtection="1">
      <alignment horizontal="right" vertical="center"/>
      <protection locked="0"/>
    </xf>
    <xf numFmtId="0" fontId="0" fillId="2" borderId="0" xfId="0" applyFill="1" applyAlignment="1" applyProtection="1">
      <alignment vertical="center"/>
      <protection locked="0"/>
    </xf>
    <xf numFmtId="0" fontId="6" fillId="2" borderId="0" xfId="0" applyFont="1" applyFill="1" applyAlignment="1" applyProtection="1">
      <alignment horizontal="right" vertical="center" indent="1"/>
      <protection locked="0"/>
    </xf>
    <xf numFmtId="168" fontId="0" fillId="2" borderId="0" xfId="0" applyNumberFormat="1" applyFill="1" applyProtection="1">
      <protection locked="0"/>
    </xf>
    <xf numFmtId="0" fontId="6" fillId="2" borderId="0" xfId="0" applyFont="1" applyFill="1" applyAlignment="1" applyProtection="1">
      <alignment horizontal="right" vertical="center" indent="2"/>
      <protection locked="0"/>
    </xf>
    <xf numFmtId="0" fontId="9" fillId="2" borderId="0" xfId="0" applyFont="1" applyFill="1" applyProtection="1">
      <protection locked="0"/>
    </xf>
    <xf numFmtId="0" fontId="0" fillId="2" borderId="5" xfId="0" applyFill="1" applyBorder="1" applyProtection="1">
      <protection locked="0"/>
    </xf>
    <xf numFmtId="0" fontId="10" fillId="2" borderId="0" xfId="0" applyFont="1" applyFill="1" applyAlignment="1" applyProtection="1">
      <alignment horizontal="left" vertical="top" wrapText="1"/>
      <protection locked="0"/>
    </xf>
    <xf numFmtId="0" fontId="24" fillId="0" borderId="0" xfId="3" applyFont="1"/>
    <xf numFmtId="0" fontId="21" fillId="0" borderId="0" xfId="3" applyFont="1"/>
    <xf numFmtId="0" fontId="21" fillId="0" borderId="0" xfId="3" applyFont="1" applyAlignment="1">
      <alignment horizontal="right"/>
    </xf>
    <xf numFmtId="0" fontId="21" fillId="0" borderId="0" xfId="3" applyFont="1" applyAlignment="1">
      <alignment vertical="top"/>
    </xf>
    <xf numFmtId="0" fontId="44" fillId="0" borderId="0" xfId="3" applyFont="1"/>
    <xf numFmtId="8" fontId="45" fillId="0" borderId="0" xfId="0" applyNumberFormat="1" applyFont="1" applyProtection="1">
      <protection locked="0"/>
    </xf>
    <xf numFmtId="0" fontId="44" fillId="0" borderId="0" xfId="3" applyFont="1" applyProtection="1">
      <protection locked="0"/>
    </xf>
    <xf numFmtId="6" fontId="0" fillId="0" borderId="6" xfId="0" applyNumberFormat="1" applyBorder="1" applyAlignment="1">
      <alignment wrapText="1"/>
    </xf>
    <xf numFmtId="6" fontId="0" fillId="0" borderId="11" xfId="0" applyNumberFormat="1" applyBorder="1" applyAlignment="1">
      <alignment wrapText="1"/>
    </xf>
    <xf numFmtId="0" fontId="49" fillId="0" borderId="0" xfId="0" applyFont="1"/>
    <xf numFmtId="0" fontId="0" fillId="9" borderId="23" xfId="0" applyFill="1" applyBorder="1" applyAlignment="1" applyProtection="1">
      <alignment horizontal="center" vertical="center"/>
      <protection locked="0"/>
    </xf>
    <xf numFmtId="0" fontId="0" fillId="2" borderId="0" xfId="0" applyFill="1" applyAlignment="1">
      <alignment horizontal="center"/>
    </xf>
    <xf numFmtId="171" fontId="0" fillId="11" borderId="29" xfId="0" applyNumberFormat="1" applyFill="1" applyBorder="1" applyProtection="1">
      <protection locked="0"/>
    </xf>
    <xf numFmtId="171" fontId="0" fillId="2" borderId="29" xfId="0" applyNumberFormat="1" applyFill="1" applyBorder="1"/>
    <xf numFmtId="9" fontId="0" fillId="11" borderId="29" xfId="2" applyFont="1" applyFill="1" applyBorder="1" applyProtection="1">
      <protection locked="0"/>
    </xf>
    <xf numFmtId="0" fontId="27" fillId="0" borderId="15" xfId="0" applyFont="1" applyBorder="1" applyAlignment="1">
      <alignment vertical="center" wrapText="1"/>
    </xf>
    <xf numFmtId="3" fontId="0" fillId="5" borderId="25" xfId="0" applyNumberFormat="1" applyFill="1" applyBorder="1"/>
    <xf numFmtId="174" fontId="0" fillId="11" borderId="29" xfId="0" applyNumberFormat="1" applyFill="1" applyBorder="1" applyProtection="1">
      <protection locked="0"/>
    </xf>
    <xf numFmtId="0" fontId="41" fillId="0" borderId="0" xfId="0" applyFont="1" applyAlignment="1">
      <alignment vertical="center"/>
    </xf>
    <xf numFmtId="0" fontId="51" fillId="0" borderId="0" xfId="0" applyFont="1"/>
    <xf numFmtId="0" fontId="52" fillId="0" borderId="0" xfId="0" applyFont="1"/>
    <xf numFmtId="0" fontId="54" fillId="0" borderId="0" xfId="0" applyFont="1"/>
    <xf numFmtId="3" fontId="0" fillId="0" borderId="0" xfId="0" applyNumberFormat="1"/>
    <xf numFmtId="0" fontId="29" fillId="0" borderId="0" xfId="0" applyFont="1"/>
    <xf numFmtId="174" fontId="48" fillId="5" borderId="38" xfId="0" applyNumberFormat="1" applyFont="1" applyFill="1" applyBorder="1"/>
    <xf numFmtId="0" fontId="55" fillId="0" borderId="0" xfId="0" applyFont="1"/>
    <xf numFmtId="0" fontId="33" fillId="0" borderId="0" xfId="0" applyFont="1" applyAlignment="1">
      <alignment horizontal="center"/>
    </xf>
    <xf numFmtId="0" fontId="33" fillId="4" borderId="35" xfId="0" applyFont="1" applyFill="1" applyBorder="1" applyAlignment="1" applyProtection="1">
      <alignment horizontal="center" vertical="center"/>
      <protection locked="0"/>
    </xf>
    <xf numFmtId="173" fontId="0" fillId="0" borderId="0" xfId="2" applyNumberFormat="1" applyFont="1"/>
    <xf numFmtId="175" fontId="0" fillId="0" borderId="0" xfId="7" applyNumberFormat="1" applyFont="1"/>
    <xf numFmtId="0" fontId="0" fillId="5" borderId="0" xfId="0" applyFill="1" applyAlignment="1">
      <alignment horizontal="left" vertical="top"/>
    </xf>
    <xf numFmtId="169" fontId="20" fillId="4" borderId="0" xfId="0" applyNumberFormat="1" applyFont="1" applyFill="1" applyProtection="1">
      <protection locked="0"/>
    </xf>
    <xf numFmtId="0" fontId="14" fillId="0" borderId="5" xfId="0" applyFont="1" applyBorder="1" applyAlignment="1">
      <alignment horizontal="center"/>
    </xf>
    <xf numFmtId="6" fontId="0" fillId="5" borderId="40" xfId="0" applyNumberFormat="1" applyFill="1" applyBorder="1"/>
    <xf numFmtId="169" fontId="20" fillId="5" borderId="40" xfId="0" applyNumberFormat="1" applyFont="1" applyFill="1" applyBorder="1"/>
    <xf numFmtId="169" fontId="20" fillId="5" borderId="22" xfId="0" applyNumberFormat="1" applyFont="1" applyFill="1" applyBorder="1"/>
    <xf numFmtId="0" fontId="6" fillId="0" borderId="0" xfId="0" applyFont="1" applyAlignment="1">
      <alignment horizontal="left" wrapText="1"/>
    </xf>
    <xf numFmtId="0" fontId="6" fillId="0" borderId="0" xfId="0" applyFont="1" applyAlignment="1">
      <alignment horizontal="left" vertical="center" wrapText="1"/>
    </xf>
    <xf numFmtId="0" fontId="0" fillId="0" borderId="0" xfId="0" applyAlignment="1">
      <alignment horizontal="left"/>
    </xf>
    <xf numFmtId="0" fontId="4" fillId="0" borderId="0" xfId="0" applyFont="1" applyAlignment="1">
      <alignment horizontal="left" wrapText="1"/>
    </xf>
    <xf numFmtId="0" fontId="4" fillId="0" borderId="42" xfId="0" applyFont="1" applyBorder="1" applyAlignment="1">
      <alignment horizontal="center" wrapText="1"/>
    </xf>
    <xf numFmtId="0" fontId="4" fillId="0" borderId="33" xfId="0" applyFont="1" applyBorder="1" applyAlignment="1">
      <alignment horizontal="center"/>
    </xf>
    <xf numFmtId="0" fontId="4" fillId="0" borderId="43" xfId="0" applyFont="1" applyBorder="1" applyAlignment="1">
      <alignment horizontal="center"/>
    </xf>
    <xf numFmtId="0" fontId="28" fillId="0" borderId="33" xfId="0" applyFont="1" applyBorder="1" applyAlignment="1">
      <alignment wrapText="1"/>
    </xf>
    <xf numFmtId="0" fontId="28" fillId="0" borderId="44" xfId="0" applyFont="1" applyBorder="1" applyAlignment="1">
      <alignment horizontal="center" wrapText="1"/>
    </xf>
    <xf numFmtId="175" fontId="2" fillId="4" borderId="45" xfId="8" applyNumberFormat="1" applyFill="1" applyBorder="1"/>
    <xf numFmtId="175" fontId="2" fillId="4" borderId="46" xfId="8" applyNumberFormat="1" applyFill="1" applyBorder="1"/>
    <xf numFmtId="175" fontId="2" fillId="4" borderId="33" xfId="8" applyNumberFormat="1" applyFill="1" applyBorder="1"/>
    <xf numFmtId="175" fontId="2" fillId="0" borderId="43" xfId="8" applyNumberFormat="1" applyBorder="1"/>
    <xf numFmtId="175" fontId="2" fillId="0" borderId="33" xfId="8" applyNumberFormat="1" applyBorder="1"/>
    <xf numFmtId="0" fontId="33" fillId="0" borderId="33" xfId="0" applyFont="1" applyBorder="1" applyAlignment="1">
      <alignment horizontal="left" wrapText="1"/>
    </xf>
    <xf numFmtId="0" fontId="28" fillId="0" borderId="44" xfId="0" quotePrefix="1" applyFont="1" applyBorder="1" applyAlignment="1">
      <alignment horizontal="center" wrapText="1"/>
    </xf>
    <xf numFmtId="10" fontId="4" fillId="0" borderId="43" xfId="2" applyNumberFormat="1" applyFont="1" applyBorder="1"/>
    <xf numFmtId="10" fontId="4" fillId="0" borderId="33" xfId="2" applyNumberFormat="1" applyFont="1" applyBorder="1"/>
    <xf numFmtId="175" fontId="2" fillId="0" borderId="0" xfId="8" applyNumberFormat="1"/>
    <xf numFmtId="9" fontId="2" fillId="0" borderId="0" xfId="2"/>
    <xf numFmtId="175" fontId="0" fillId="0" borderId="0" xfId="0" applyNumberFormat="1"/>
    <xf numFmtId="0" fontId="28" fillId="0" borderId="32" xfId="0" applyFont="1" applyBorder="1"/>
    <xf numFmtId="0" fontId="28" fillId="0" borderId="46" xfId="0" applyFont="1" applyBorder="1"/>
    <xf numFmtId="176" fontId="2" fillId="0" borderId="0" xfId="8" applyNumberFormat="1"/>
    <xf numFmtId="0" fontId="33" fillId="0" borderId="42" xfId="0" applyFont="1" applyBorder="1" applyAlignment="1">
      <alignment vertical="center" wrapText="1"/>
    </xf>
    <xf numFmtId="171" fontId="0" fillId="11" borderId="48" xfId="0" applyNumberFormat="1" applyFill="1" applyBorder="1"/>
    <xf numFmtId="171" fontId="0" fillId="11" borderId="41" xfId="0" applyNumberFormat="1" applyFill="1" applyBorder="1"/>
    <xf numFmtId="171" fontId="0" fillId="0" borderId="44" xfId="0" applyNumberFormat="1" applyBorder="1"/>
    <xf numFmtId="0" fontId="59" fillId="0" borderId="0" xfId="12" applyAlignment="1" applyProtection="1"/>
    <xf numFmtId="0" fontId="59" fillId="2" borderId="0" xfId="12" applyFill="1" applyAlignment="1">
      <protection locked="0"/>
    </xf>
    <xf numFmtId="0" fontId="59" fillId="2" borderId="0" xfId="12" applyFill="1" applyAlignment="1" applyProtection="1"/>
    <xf numFmtId="0" fontId="59" fillId="0" borderId="0" xfId="12" applyAlignment="1" applyProtection="1">
      <alignment horizontal="left" vertical="top"/>
    </xf>
    <xf numFmtId="169" fontId="0" fillId="0" borderId="0" xfId="0" applyNumberFormat="1" applyAlignment="1">
      <alignment horizontal="right" vertical="top"/>
    </xf>
    <xf numFmtId="0" fontId="4" fillId="2" borderId="0" xfId="0" applyFont="1" applyFill="1" applyAlignment="1">
      <alignment horizontal="center" wrapText="1"/>
    </xf>
    <xf numFmtId="0" fontId="34" fillId="2" borderId="0" xfId="0" applyFont="1" applyFill="1"/>
    <xf numFmtId="180" fontId="33" fillId="0" borderId="0" xfId="0" applyNumberFormat="1" applyFont="1" applyAlignment="1">
      <alignment horizontal="center"/>
    </xf>
    <xf numFmtId="173" fontId="0" fillId="0" borderId="0" xfId="0" applyNumberFormat="1"/>
    <xf numFmtId="9" fontId="0" fillId="0" borderId="0" xfId="2" applyFont="1" applyAlignment="1">
      <alignment horizontal="right" vertical="top"/>
    </xf>
    <xf numFmtId="173" fontId="0" fillId="11" borderId="29" xfId="2" applyNumberFormat="1" applyFont="1" applyFill="1" applyBorder="1" applyProtection="1">
      <protection locked="0"/>
    </xf>
    <xf numFmtId="170" fontId="28" fillId="0" borderId="0" xfId="0" applyNumberFormat="1" applyFont="1" applyAlignment="1">
      <alignment horizontal="center"/>
    </xf>
    <xf numFmtId="0" fontId="28" fillId="0" borderId="47" xfId="0" applyFont="1" applyBorder="1" applyAlignment="1">
      <alignment horizontal="center"/>
    </xf>
    <xf numFmtId="0" fontId="6" fillId="4" borderId="33" xfId="0" applyFont="1" applyFill="1" applyBorder="1" applyAlignment="1">
      <alignment horizontal="center" vertical="center" wrapText="1"/>
    </xf>
    <xf numFmtId="0" fontId="42" fillId="2" borderId="0" xfId="0" applyFont="1" applyFill="1"/>
    <xf numFmtId="0" fontId="24" fillId="2" borderId="0" xfId="6" applyFont="1" applyFill="1"/>
    <xf numFmtId="0" fontId="24" fillId="2" borderId="0" xfId="6" applyFont="1" applyFill="1" applyAlignment="1">
      <alignment horizontal="center"/>
    </xf>
    <xf numFmtId="0" fontId="0" fillId="2" borderId="0" xfId="0" applyFill="1" applyAlignment="1">
      <alignment horizontal="left" vertical="top" wrapText="1"/>
    </xf>
    <xf numFmtId="0" fontId="0" fillId="2" borderId="0" xfId="0" applyFill="1" applyAlignment="1">
      <alignment horizontal="center" vertical="top"/>
    </xf>
    <xf numFmtId="169" fontId="0" fillId="2" borderId="0" xfId="0" applyNumberFormat="1" applyFill="1" applyAlignment="1">
      <alignment horizontal="right" vertical="top"/>
    </xf>
    <xf numFmtId="169" fontId="0" fillId="2" borderId="0" xfId="0" applyNumberFormat="1" applyFill="1" applyAlignment="1">
      <alignment horizontal="center" vertical="center"/>
    </xf>
    <xf numFmtId="0" fontId="24" fillId="2" borderId="0" xfId="6" applyFont="1" applyFill="1" applyAlignment="1">
      <alignment wrapText="1"/>
    </xf>
    <xf numFmtId="0" fontId="24" fillId="2" borderId="30" xfId="6" applyFont="1" applyFill="1" applyBorder="1" applyAlignment="1">
      <alignment wrapText="1"/>
    </xf>
    <xf numFmtId="0" fontId="24" fillId="2" borderId="28" xfId="6" applyFont="1" applyFill="1" applyBorder="1" applyAlignment="1">
      <alignment wrapText="1"/>
    </xf>
    <xf numFmtId="0" fontId="24" fillId="2" borderId="50" xfId="6" applyFont="1" applyFill="1" applyBorder="1" applyAlignment="1">
      <alignment wrapText="1"/>
    </xf>
    <xf numFmtId="10" fontId="0" fillId="2" borderId="0" xfId="2" applyNumberFormat="1" applyFont="1" applyFill="1" applyAlignment="1">
      <alignment horizontal="center" vertical="center"/>
    </xf>
    <xf numFmtId="177" fontId="0" fillId="2" borderId="0" xfId="0" applyNumberFormat="1" applyFill="1" applyAlignment="1">
      <alignment horizontal="center" vertical="center"/>
    </xf>
    <xf numFmtId="178" fontId="0" fillId="2" borderId="0" xfId="0" applyNumberFormat="1" applyFill="1" applyAlignment="1">
      <alignment horizontal="right" vertical="center"/>
    </xf>
    <xf numFmtId="169" fontId="4" fillId="2" borderId="0" xfId="0" applyNumberFormat="1" applyFont="1" applyFill="1"/>
    <xf numFmtId="169" fontId="0" fillId="2" borderId="0" xfId="0" applyNumberFormat="1" applyFill="1"/>
    <xf numFmtId="0" fontId="0" fillId="2" borderId="24" xfId="0" applyFill="1" applyBorder="1" applyAlignment="1">
      <alignment horizontal="left" vertical="top" wrapText="1"/>
    </xf>
    <xf numFmtId="0" fontId="0" fillId="3" borderId="5" xfId="0" applyFill="1" applyBorder="1" applyProtection="1">
      <protection locked="0"/>
    </xf>
    <xf numFmtId="0" fontId="0" fillId="12" borderId="5" xfId="0" applyFill="1" applyBorder="1" applyProtection="1">
      <protection locked="0"/>
    </xf>
    <xf numFmtId="0" fontId="60" fillId="2" borderId="0" xfId="0" applyFont="1" applyFill="1"/>
    <xf numFmtId="171" fontId="0" fillId="5" borderId="0" xfId="0" applyNumberFormat="1" applyFill="1"/>
    <xf numFmtId="171" fontId="0" fillId="5" borderId="0" xfId="0" applyNumberFormat="1" applyFill="1" applyProtection="1">
      <protection locked="0"/>
    </xf>
    <xf numFmtId="0" fontId="4" fillId="2" borderId="0" xfId="0" applyFont="1" applyFill="1"/>
    <xf numFmtId="0" fontId="33" fillId="2" borderId="32" xfId="0" applyFont="1" applyFill="1" applyBorder="1" applyAlignment="1">
      <alignment horizontal="center" wrapText="1"/>
    </xf>
    <xf numFmtId="0" fontId="0" fillId="2" borderId="32" xfId="0" applyFill="1" applyBorder="1" applyAlignment="1">
      <alignment horizontal="center" wrapText="1"/>
    </xf>
    <xf numFmtId="0" fontId="33" fillId="2" borderId="32" xfId="0" applyFont="1" applyFill="1" applyBorder="1" applyAlignment="1">
      <alignment horizontal="center"/>
    </xf>
    <xf numFmtId="0" fontId="41" fillId="2" borderId="0" xfId="0" applyFont="1" applyFill="1" applyAlignment="1">
      <alignment horizontal="center"/>
    </xf>
    <xf numFmtId="171" fontId="0" fillId="2" borderId="0" xfId="0" applyNumberFormat="1" applyFill="1"/>
    <xf numFmtId="173" fontId="0" fillId="2" borderId="0" xfId="2" applyNumberFormat="1" applyFont="1" applyFill="1" applyAlignment="1">
      <alignment horizontal="right"/>
    </xf>
    <xf numFmtId="170" fontId="0" fillId="2" borderId="0" xfId="0" applyNumberFormat="1" applyFill="1"/>
    <xf numFmtId="179" fontId="0" fillId="2" borderId="0" xfId="1" applyNumberFormat="1" applyFont="1" applyFill="1"/>
    <xf numFmtId="0" fontId="49" fillId="2" borderId="0" xfId="0" applyFont="1" applyFill="1"/>
    <xf numFmtId="0" fontId="49" fillId="2" borderId="0" xfId="0" applyFont="1" applyFill="1" applyAlignment="1">
      <alignment horizontal="center" vertical="center"/>
    </xf>
    <xf numFmtId="0" fontId="61" fillId="0" borderId="0" xfId="0" applyFont="1"/>
    <xf numFmtId="0" fontId="49" fillId="0" borderId="0" xfId="0" applyFont="1" applyAlignment="1">
      <alignment horizontal="center"/>
    </xf>
    <xf numFmtId="0" fontId="36" fillId="2" borderId="0" xfId="5" applyFont="1" applyFill="1" applyAlignment="1">
      <alignment horizontal="left" vertical="top"/>
    </xf>
    <xf numFmtId="0" fontId="10" fillId="2" borderId="0" xfId="5" applyFill="1" applyAlignment="1">
      <alignment horizontal="center"/>
    </xf>
    <xf numFmtId="0" fontId="37" fillId="2" borderId="0" xfId="5" applyFont="1" applyFill="1" applyAlignment="1">
      <alignment horizontal="center" wrapText="1"/>
    </xf>
    <xf numFmtId="0" fontId="39" fillId="2" borderId="32" xfId="5" applyFont="1" applyFill="1" applyBorder="1" applyAlignment="1">
      <alignment horizontal="left" vertical="top"/>
    </xf>
    <xf numFmtId="0" fontId="24" fillId="2" borderId="32" xfId="5" applyFont="1" applyFill="1" applyBorder="1" applyAlignment="1">
      <alignment horizontal="center"/>
    </xf>
    <xf numFmtId="0" fontId="0" fillId="2" borderId="0" xfId="0" applyFill="1" applyAlignment="1">
      <alignment horizontal="left" vertical="top"/>
    </xf>
    <xf numFmtId="173" fontId="0" fillId="2" borderId="0" xfId="2" applyNumberFormat="1" applyFont="1" applyFill="1"/>
    <xf numFmtId="0" fontId="4" fillId="2" borderId="0" xfId="0" applyFont="1" applyFill="1" applyAlignment="1">
      <alignment horizontal="left" vertical="top"/>
    </xf>
    <xf numFmtId="0" fontId="10" fillId="0" borderId="0" xfId="0" applyFont="1"/>
    <xf numFmtId="0" fontId="40" fillId="2" borderId="0" xfId="0" applyFont="1" applyFill="1" applyAlignment="1">
      <alignment horizontal="left" vertical="top"/>
    </xf>
    <xf numFmtId="173" fontId="23" fillId="2" borderId="0" xfId="2" applyNumberFormat="1" applyFont="1" applyFill="1" applyAlignment="1">
      <alignment horizontal="center"/>
    </xf>
    <xf numFmtId="0" fontId="33" fillId="15" borderId="32" xfId="0" applyFont="1" applyFill="1" applyBorder="1" applyAlignment="1">
      <alignment horizontal="center"/>
    </xf>
    <xf numFmtId="0" fontId="0" fillId="15" borderId="0" xfId="0" applyFill="1" applyAlignment="1">
      <alignment horizontal="center"/>
    </xf>
    <xf numFmtId="0" fontId="0" fillId="15" borderId="0" xfId="0" applyFill="1"/>
    <xf numFmtId="179" fontId="0" fillId="15" borderId="0" xfId="1" applyNumberFormat="1" applyFont="1" applyFill="1"/>
    <xf numFmtId="10" fontId="0" fillId="11" borderId="29" xfId="2" applyNumberFormat="1" applyFont="1" applyFill="1" applyBorder="1" applyProtection="1">
      <protection locked="0"/>
    </xf>
    <xf numFmtId="171" fontId="0" fillId="16" borderId="41" xfId="0" applyNumberFormat="1" applyFill="1" applyBorder="1"/>
    <xf numFmtId="172" fontId="28" fillId="14" borderId="0" xfId="1" applyNumberFormat="1" applyFont="1" applyFill="1"/>
    <xf numFmtId="0" fontId="33" fillId="2" borderId="42" xfId="0" applyFont="1" applyFill="1" applyBorder="1"/>
    <xf numFmtId="0" fontId="33" fillId="2" borderId="42" xfId="0" applyFont="1" applyFill="1" applyBorder="1" applyAlignment="1">
      <alignment vertical="center" wrapText="1"/>
    </xf>
    <xf numFmtId="0" fontId="0" fillId="2" borderId="48" xfId="0" applyFill="1" applyBorder="1"/>
    <xf numFmtId="171" fontId="0" fillId="2" borderId="42" xfId="0" applyNumberFormat="1" applyFill="1" applyBorder="1"/>
    <xf numFmtId="0" fontId="0" fillId="2" borderId="41" xfId="0" applyFill="1" applyBorder="1"/>
    <xf numFmtId="171" fontId="0" fillId="2" borderId="49" xfId="0" applyNumberFormat="1" applyFill="1" applyBorder="1"/>
    <xf numFmtId="0" fontId="0" fillId="2" borderId="44" xfId="0" applyFill="1" applyBorder="1"/>
    <xf numFmtId="171" fontId="0" fillId="2" borderId="44" xfId="0" applyNumberFormat="1" applyFill="1" applyBorder="1"/>
    <xf numFmtId="0" fontId="0" fillId="2" borderId="42" xfId="0" applyFill="1" applyBorder="1"/>
    <xf numFmtId="0" fontId="4" fillId="2" borderId="42" xfId="0" applyFont="1" applyFill="1" applyBorder="1" applyAlignment="1">
      <alignment horizontal="center" wrapText="1"/>
    </xf>
    <xf numFmtId="0" fontId="33" fillId="2" borderId="42" xfId="0" applyFont="1" applyFill="1" applyBorder="1" applyAlignment="1">
      <alignment wrapText="1"/>
    </xf>
    <xf numFmtId="10" fontId="0" fillId="2" borderId="48" xfId="0" applyNumberFormat="1" applyFill="1" applyBorder="1"/>
    <xf numFmtId="172" fontId="0" fillId="2" borderId="48" xfId="0" applyNumberFormat="1" applyFill="1" applyBorder="1"/>
    <xf numFmtId="172" fontId="0" fillId="2" borderId="42" xfId="0" applyNumberFormat="1" applyFill="1" applyBorder="1"/>
    <xf numFmtId="10" fontId="0" fillId="2" borderId="41" xfId="0" applyNumberFormat="1" applyFill="1" applyBorder="1"/>
    <xf numFmtId="172" fontId="0" fillId="2" borderId="41" xfId="0" applyNumberFormat="1" applyFill="1" applyBorder="1"/>
    <xf numFmtId="172" fontId="0" fillId="2" borderId="49" xfId="0" applyNumberFormat="1" applyFill="1" applyBorder="1"/>
    <xf numFmtId="10" fontId="0" fillId="2" borderId="44" xfId="0" applyNumberFormat="1" applyFill="1" applyBorder="1"/>
    <xf numFmtId="172" fontId="0" fillId="2" borderId="44" xfId="0" applyNumberFormat="1" applyFill="1" applyBorder="1"/>
    <xf numFmtId="172" fontId="0" fillId="2" borderId="33" xfId="0" applyNumberFormat="1" applyFill="1" applyBorder="1"/>
    <xf numFmtId="0" fontId="0" fillId="4" borderId="34" xfId="0" applyFill="1" applyBorder="1"/>
    <xf numFmtId="0" fontId="0" fillId="4" borderId="43" xfId="0" applyFill="1" applyBorder="1"/>
    <xf numFmtId="0" fontId="0" fillId="4" borderId="33" xfId="0" applyFill="1" applyBorder="1" applyAlignment="1">
      <alignment horizontal="center"/>
    </xf>
    <xf numFmtId="0" fontId="66" fillId="0" borderId="0" xfId="0" applyFont="1"/>
    <xf numFmtId="0" fontId="67" fillId="2" borderId="0" xfId="0" applyFont="1" applyFill="1" applyAlignment="1">
      <alignment horizontal="center"/>
    </xf>
    <xf numFmtId="170" fontId="4" fillId="0" borderId="0" xfId="0" applyNumberFormat="1" applyFont="1"/>
    <xf numFmtId="181" fontId="0" fillId="2" borderId="0" xfId="2" applyNumberFormat="1" applyFont="1" applyFill="1" applyAlignment="1">
      <alignment horizontal="right"/>
    </xf>
    <xf numFmtId="0" fontId="33" fillId="0" borderId="33" xfId="0" applyFont="1" applyBorder="1" applyAlignment="1">
      <alignment wrapText="1"/>
    </xf>
    <xf numFmtId="0" fontId="33" fillId="0" borderId="44" xfId="0" applyFont="1" applyBorder="1" applyAlignment="1">
      <alignment horizontal="center" wrapText="1"/>
    </xf>
    <xf numFmtId="171" fontId="0" fillId="2" borderId="0" xfId="0" applyNumberFormat="1" applyFill="1" applyProtection="1">
      <protection locked="0"/>
    </xf>
    <xf numFmtId="0" fontId="6" fillId="0" borderId="32" xfId="0" applyFont="1" applyBorder="1" applyAlignment="1">
      <alignment horizontal="left" wrapText="1"/>
    </xf>
    <xf numFmtId="173" fontId="0" fillId="2" borderId="0" xfId="2" applyNumberFormat="1" applyFont="1" applyFill="1" applyAlignment="1">
      <alignment horizontal="center"/>
    </xf>
    <xf numFmtId="182" fontId="0" fillId="2" borderId="0" xfId="2" applyNumberFormat="1" applyFont="1" applyFill="1" applyAlignment="1">
      <alignment horizontal="center"/>
    </xf>
    <xf numFmtId="0" fontId="6" fillId="0" borderId="41" xfId="0" applyFont="1" applyBorder="1" applyAlignment="1">
      <alignment vertical="center" wrapText="1"/>
    </xf>
    <xf numFmtId="0" fontId="6" fillId="0" borderId="0" xfId="0" applyFont="1" applyAlignment="1">
      <alignment vertical="center" wrapText="1"/>
    </xf>
    <xf numFmtId="0" fontId="10" fillId="17" borderId="0" xfId="3" applyFill="1"/>
    <xf numFmtId="0" fontId="10" fillId="17" borderId="0" xfId="3" applyFill="1" applyProtection="1">
      <protection locked="0"/>
    </xf>
    <xf numFmtId="164" fontId="20" fillId="4" borderId="51" xfId="0" applyNumberFormat="1" applyFont="1" applyFill="1" applyBorder="1" applyProtection="1">
      <protection locked="0"/>
    </xf>
    <xf numFmtId="164" fontId="20" fillId="7" borderId="51" xfId="0" applyNumberFormat="1" applyFont="1" applyFill="1" applyBorder="1"/>
    <xf numFmtId="164" fontId="20" fillId="4" borderId="13" xfId="0" applyNumberFormat="1" applyFont="1" applyFill="1" applyBorder="1" applyProtection="1">
      <protection locked="0"/>
    </xf>
    <xf numFmtId="169" fontId="20" fillId="0" borderId="52" xfId="0" applyNumberFormat="1" applyFont="1" applyBorder="1"/>
    <xf numFmtId="0" fontId="33" fillId="0" borderId="33" xfId="0" applyFont="1" applyBorder="1" applyAlignment="1">
      <alignment vertical="center" wrapText="1"/>
    </xf>
    <xf numFmtId="171" fontId="0" fillId="0" borderId="0" xfId="0" applyNumberFormat="1"/>
    <xf numFmtId="171" fontId="0" fillId="0" borderId="0" xfId="0" applyNumberFormat="1" applyAlignment="1" applyProtection="1">
      <alignment horizontal="center"/>
      <protection locked="0"/>
    </xf>
    <xf numFmtId="0" fontId="33" fillId="2" borderId="33" xfId="0" applyFont="1" applyFill="1" applyBorder="1" applyAlignment="1">
      <alignment vertical="center" wrapText="1"/>
    </xf>
    <xf numFmtId="0" fontId="0" fillId="12" borderId="0" xfId="0" applyFill="1"/>
    <xf numFmtId="169" fontId="0" fillId="2" borderId="0" xfId="0" applyNumberFormat="1" applyFill="1" applyAlignment="1">
      <alignment horizontal="right" vertical="center"/>
    </xf>
    <xf numFmtId="169" fontId="4" fillId="2" borderId="0" xfId="0" applyNumberFormat="1" applyFont="1" applyFill="1" applyAlignment="1">
      <alignment horizontal="center"/>
    </xf>
    <xf numFmtId="179" fontId="0" fillId="0" borderId="0" xfId="0" applyNumberFormat="1"/>
    <xf numFmtId="183" fontId="0" fillId="0" borderId="0" xfId="0" applyNumberFormat="1"/>
    <xf numFmtId="184" fontId="0" fillId="0" borderId="0" xfId="0" applyNumberFormat="1"/>
    <xf numFmtId="176" fontId="0" fillId="2" borderId="0" xfId="7" applyNumberFormat="1" applyFont="1" applyFill="1" applyAlignment="1">
      <alignment horizontal="right" vertical="top"/>
    </xf>
    <xf numFmtId="0" fontId="33" fillId="0" borderId="34" xfId="0" applyFont="1" applyBorder="1" applyAlignment="1">
      <alignment horizontal="left" wrapText="1"/>
    </xf>
    <xf numFmtId="0" fontId="6" fillId="0" borderId="0" xfId="0" applyFont="1" applyAlignment="1">
      <alignment horizontal="left"/>
    </xf>
    <xf numFmtId="169" fontId="20" fillId="6" borderId="6" xfId="0" applyNumberFormat="1" applyFont="1" applyFill="1" applyBorder="1"/>
    <xf numFmtId="169" fontId="20" fillId="6" borderId="0" xfId="0" applyNumberFormat="1" applyFont="1" applyFill="1"/>
    <xf numFmtId="169" fontId="20" fillId="4" borderId="0" xfId="3" applyNumberFormat="1" applyFont="1" applyFill="1" applyProtection="1">
      <protection locked="0"/>
    </xf>
    <xf numFmtId="185" fontId="0" fillId="0" borderId="0" xfId="0" applyNumberFormat="1" applyProtection="1">
      <protection locked="0"/>
    </xf>
    <xf numFmtId="172" fontId="2" fillId="0" borderId="0" xfId="9" applyNumberFormat="1"/>
    <xf numFmtId="171" fontId="0" fillId="2" borderId="48" xfId="0" applyNumberFormat="1" applyFill="1" applyBorder="1"/>
    <xf numFmtId="171" fontId="0" fillId="2" borderId="41" xfId="0" applyNumberFormat="1" applyFill="1" applyBorder="1"/>
    <xf numFmtId="0" fontId="33" fillId="2" borderId="42" xfId="0" applyFont="1" applyFill="1" applyBorder="1" applyAlignment="1">
      <alignment horizontal="center" vertical="center" wrapText="1"/>
    </xf>
    <xf numFmtId="171" fontId="0" fillId="17" borderId="41" xfId="0" applyNumberFormat="1" applyFill="1" applyBorder="1"/>
    <xf numFmtId="171" fontId="0" fillId="18" borderId="41" xfId="0" applyNumberFormat="1" applyFill="1" applyBorder="1"/>
    <xf numFmtId="172" fontId="4" fillId="0" borderId="0" xfId="9" applyNumberFormat="1" applyFont="1"/>
    <xf numFmtId="0" fontId="33" fillId="2" borderId="33" xfId="0" applyFont="1" applyFill="1" applyBorder="1" applyAlignment="1">
      <alignment horizontal="center" vertical="center" wrapText="1"/>
    </xf>
    <xf numFmtId="0" fontId="4" fillId="4" borderId="33" xfId="0" applyFont="1" applyFill="1" applyBorder="1" applyAlignment="1">
      <alignment horizontal="center"/>
    </xf>
    <xf numFmtId="166" fontId="0" fillId="0" borderId="0" xfId="7" applyFont="1"/>
    <xf numFmtId="166" fontId="0" fillId="0" borderId="0" xfId="0" applyNumberFormat="1"/>
    <xf numFmtId="169" fontId="1" fillId="0" borderId="0" xfId="0" applyNumberFormat="1" applyFont="1"/>
    <xf numFmtId="0" fontId="68" fillId="0" borderId="0" xfId="0" applyFont="1"/>
    <xf numFmtId="0" fontId="1" fillId="2" borderId="0" xfId="0" applyFont="1" applyFill="1" applyProtection="1">
      <protection locked="0"/>
    </xf>
    <xf numFmtId="0" fontId="1" fillId="2" borderId="0" xfId="0" applyFont="1" applyFill="1" applyAlignment="1" applyProtection="1">
      <alignment horizontal="right" vertical="center"/>
      <protection locked="0"/>
    </xf>
    <xf numFmtId="8" fontId="0" fillId="0" borderId="19" xfId="0" applyNumberFormat="1" applyBorder="1" applyProtection="1">
      <protection locked="0"/>
    </xf>
    <xf numFmtId="0" fontId="11" fillId="0" borderId="19" xfId="3" applyFont="1" applyBorder="1" applyAlignment="1" applyProtection="1">
      <alignment horizontal="center" vertical="center" wrapText="1"/>
      <protection locked="0"/>
    </xf>
    <xf numFmtId="0" fontId="19" fillId="0" borderId="53" xfId="0" applyFont="1" applyBorder="1" applyAlignment="1">
      <alignment vertical="center"/>
    </xf>
    <xf numFmtId="0" fontId="20" fillId="0" borderId="55" xfId="0" applyFont="1" applyBorder="1"/>
    <xf numFmtId="169" fontId="20" fillId="4" borderId="56" xfId="0" applyNumberFormat="1" applyFont="1" applyFill="1" applyBorder="1" applyProtection="1">
      <protection locked="0"/>
    </xf>
    <xf numFmtId="169" fontId="20" fillId="4" borderId="51" xfId="0" applyNumberFormat="1" applyFont="1" applyFill="1" applyBorder="1" applyProtection="1">
      <protection locked="0"/>
    </xf>
    <xf numFmtId="169" fontId="20" fillId="6" borderId="57" xfId="0" applyNumberFormat="1" applyFont="1" applyFill="1" applyBorder="1"/>
    <xf numFmtId="169" fontId="20" fillId="6" borderId="58" xfId="0" applyNumberFormat="1" applyFont="1" applyFill="1" applyBorder="1" applyProtection="1">
      <protection locked="0"/>
    </xf>
    <xf numFmtId="169" fontId="20" fillId="6" borderId="51" xfId="0" applyNumberFormat="1" applyFont="1" applyFill="1" applyBorder="1"/>
    <xf numFmtId="169" fontId="20" fillId="6" borderId="58" xfId="0" applyNumberFormat="1" applyFont="1" applyFill="1" applyBorder="1"/>
    <xf numFmtId="169" fontId="20" fillId="4" borderId="51" xfId="3" applyNumberFormat="1" applyFont="1" applyFill="1" applyBorder="1" applyProtection="1">
      <protection locked="0"/>
    </xf>
    <xf numFmtId="169" fontId="20" fillId="4" borderId="58" xfId="3" applyNumberFormat="1" applyFont="1" applyFill="1" applyBorder="1" applyProtection="1">
      <protection locked="0"/>
    </xf>
    <xf numFmtId="169" fontId="20" fillId="6" borderId="59" xfId="0" applyNumberFormat="1" applyFont="1" applyFill="1" applyBorder="1"/>
    <xf numFmtId="169" fontId="20" fillId="4" borderId="60" xfId="3" applyNumberFormat="1" applyFont="1" applyFill="1" applyBorder="1" applyProtection="1">
      <protection locked="0"/>
    </xf>
    <xf numFmtId="169" fontId="20" fillId="0" borderId="61" xfId="0" applyNumberFormat="1" applyFont="1" applyBorder="1"/>
    <xf numFmtId="169" fontId="1" fillId="5" borderId="40" xfId="0" applyNumberFormat="1" applyFont="1" applyFill="1" applyBorder="1"/>
    <xf numFmtId="169" fontId="1" fillId="0" borderId="11" xfId="0" applyNumberFormat="1" applyFont="1" applyBorder="1"/>
    <xf numFmtId="164" fontId="20" fillId="4" borderId="14" xfId="0" applyNumberFormat="1" applyFont="1" applyFill="1" applyBorder="1" applyProtection="1">
      <protection locked="0"/>
    </xf>
    <xf numFmtId="169" fontId="20" fillId="0" borderId="58" xfId="0" applyNumberFormat="1" applyFont="1" applyBorder="1"/>
    <xf numFmtId="169" fontId="20" fillId="0" borderId="51" xfId="0" applyNumberFormat="1" applyFont="1" applyBorder="1"/>
    <xf numFmtId="169" fontId="20" fillId="4" borderId="61" xfId="3" applyNumberFormat="1" applyFont="1" applyFill="1" applyBorder="1" applyProtection="1">
      <protection locked="0"/>
    </xf>
    <xf numFmtId="6" fontId="1" fillId="5" borderId="40" xfId="0" applyNumberFormat="1" applyFont="1" applyFill="1" applyBorder="1"/>
    <xf numFmtId="169" fontId="20" fillId="6" borderId="60" xfId="0" applyNumberFormat="1" applyFont="1" applyFill="1" applyBorder="1"/>
    <xf numFmtId="169" fontId="1" fillId="0" borderId="0" xfId="0" applyNumberFormat="1" applyFont="1" applyProtection="1">
      <protection locked="0"/>
    </xf>
    <xf numFmtId="169" fontId="1" fillId="0" borderId="11" xfId="0" applyNumberFormat="1" applyFont="1" applyBorder="1" applyProtection="1">
      <protection locked="0"/>
    </xf>
    <xf numFmtId="169" fontId="1" fillId="0" borderId="16" xfId="0" applyNumberFormat="1" applyFont="1" applyBorder="1" applyProtection="1">
      <protection locked="0"/>
    </xf>
    <xf numFmtId="169" fontId="1" fillId="0" borderId="6" xfId="0" applyNumberFormat="1" applyFont="1" applyBorder="1" applyProtection="1">
      <protection locked="0"/>
    </xf>
    <xf numFmtId="6" fontId="1" fillId="0" borderId="6" xfId="0" applyNumberFormat="1" applyFont="1" applyBorder="1" applyProtection="1">
      <protection locked="0"/>
    </xf>
    <xf numFmtId="6" fontId="1" fillId="0" borderId="0" xfId="0" applyNumberFormat="1" applyFont="1" applyProtection="1">
      <protection locked="0"/>
    </xf>
    <xf numFmtId="6" fontId="1" fillId="0" borderId="0" xfId="0" applyNumberFormat="1" applyFont="1"/>
    <xf numFmtId="6" fontId="1" fillId="0" borderId="11" xfId="0" applyNumberFormat="1" applyFont="1" applyBorder="1"/>
    <xf numFmtId="169" fontId="20" fillId="6" borderId="56" xfId="0" applyNumberFormat="1" applyFont="1" applyFill="1" applyBorder="1" applyProtection="1">
      <protection locked="0"/>
    </xf>
    <xf numFmtId="169" fontId="20" fillId="0" borderId="19" xfId="0" applyNumberFormat="1" applyFont="1" applyBorder="1"/>
    <xf numFmtId="6" fontId="0" fillId="0" borderId="19" xfId="0" applyNumberFormat="1" applyBorder="1"/>
    <xf numFmtId="171" fontId="4" fillId="0" borderId="64" xfId="0" applyNumberFormat="1" applyFont="1" applyBorder="1" applyProtection="1">
      <protection locked="0"/>
    </xf>
    <xf numFmtId="171" fontId="4" fillId="0" borderId="64" xfId="0" applyNumberFormat="1" applyFont="1" applyBorder="1"/>
    <xf numFmtId="9" fontId="4" fillId="0" borderId="64" xfId="2" applyFont="1" applyBorder="1" applyProtection="1">
      <protection locked="0"/>
    </xf>
    <xf numFmtId="174" fontId="4" fillId="0" borderId="64" xfId="0" applyNumberFormat="1" applyFont="1" applyBorder="1" applyProtection="1">
      <protection locked="0"/>
    </xf>
    <xf numFmtId="3" fontId="4" fillId="0" borderId="65" xfId="0" applyNumberFormat="1" applyFont="1" applyBorder="1"/>
    <xf numFmtId="173" fontId="65" fillId="2" borderId="66" xfId="2" applyNumberFormat="1" applyFont="1" applyFill="1" applyBorder="1" applyAlignment="1">
      <alignment horizontal="center"/>
    </xf>
    <xf numFmtId="169" fontId="4" fillId="2" borderId="66" xfId="0" applyNumberFormat="1" applyFont="1" applyFill="1" applyBorder="1"/>
    <xf numFmtId="169" fontId="0" fillId="0" borderId="66" xfId="0" applyNumberFormat="1" applyBorder="1"/>
    <xf numFmtId="175" fontId="4" fillId="2" borderId="66" xfId="7" applyNumberFormat="1" applyFont="1" applyFill="1" applyBorder="1"/>
    <xf numFmtId="0" fontId="4" fillId="2" borderId="66" xfId="0" applyFont="1" applyFill="1" applyBorder="1"/>
    <xf numFmtId="173" fontId="4" fillId="2" borderId="66" xfId="2" applyNumberFormat="1" applyFont="1" applyFill="1" applyBorder="1" applyAlignment="1">
      <alignment horizontal="right"/>
    </xf>
    <xf numFmtId="175" fontId="2" fillId="0" borderId="67" xfId="8" applyNumberFormat="1" applyBorder="1"/>
    <xf numFmtId="10" fontId="4" fillId="0" borderId="67" xfId="2" applyNumberFormat="1" applyFont="1" applyBorder="1"/>
    <xf numFmtId="172" fontId="2" fillId="0" borderId="67" xfId="9" applyNumberFormat="1" applyBorder="1"/>
    <xf numFmtId="172" fontId="4" fillId="0" borderId="67" xfId="9" applyNumberFormat="1" applyFont="1" applyBorder="1"/>
    <xf numFmtId="0" fontId="1" fillId="0" borderId="0" xfId="0" applyFont="1" applyAlignment="1">
      <alignment wrapText="1"/>
    </xf>
    <xf numFmtId="0" fontId="1" fillId="0" borderId="0" xfId="0" applyFont="1"/>
    <xf numFmtId="171" fontId="1" fillId="0" borderId="0" xfId="0" applyNumberFormat="1" applyFont="1"/>
    <xf numFmtId="173" fontId="4" fillId="2" borderId="66" xfId="2" applyNumberFormat="1" applyFont="1" applyFill="1" applyBorder="1" applyAlignment="1">
      <alignment horizontal="center"/>
    </xf>
    <xf numFmtId="0" fontId="1" fillId="0" borderId="0" xfId="0" applyFont="1" applyAlignment="1">
      <alignment vertical="top" wrapText="1"/>
    </xf>
    <xf numFmtId="0" fontId="47" fillId="13" borderId="0" xfId="3" applyFont="1" applyFill="1" applyAlignment="1" applyProtection="1">
      <alignment horizontal="center" vertical="center"/>
      <protection locked="0"/>
    </xf>
    <xf numFmtId="0" fontId="59" fillId="2" borderId="1" xfId="12" applyFill="1" applyBorder="1" applyAlignment="1">
      <alignment horizontal="left" vertical="center"/>
      <protection locked="0"/>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pplyProtection="1">
      <alignment horizontal="left" vertical="center"/>
      <protection locked="0"/>
    </xf>
    <xf numFmtId="0" fontId="0" fillId="2" borderId="0" xfId="0" applyFill="1" applyAlignment="1" applyProtection="1">
      <alignment horizontal="left" vertical="center" wrapText="1"/>
      <protection locked="0"/>
    </xf>
    <xf numFmtId="168" fontId="1" fillId="2" borderId="1" xfId="0" applyNumberFormat="1" applyFont="1" applyFill="1" applyBorder="1" applyAlignment="1" applyProtection="1">
      <alignment horizontal="center" vertical="center"/>
      <protection locked="0"/>
    </xf>
    <xf numFmtId="168" fontId="1" fillId="2" borderId="2"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0" xfId="0" applyFont="1" applyFill="1" applyAlignment="1" applyProtection="1">
      <alignment horizontal="right" vertical="center" wrapText="1" indent="2"/>
      <protection locked="0"/>
    </xf>
    <xf numFmtId="0" fontId="6" fillId="2" borderId="4" xfId="0" applyFont="1" applyFill="1" applyBorder="1" applyAlignment="1" applyProtection="1">
      <alignment horizontal="right" vertical="center" wrapText="1" indent="2"/>
      <protection locked="0"/>
    </xf>
    <xf numFmtId="0" fontId="10" fillId="2" borderId="6" xfId="0" applyFont="1" applyFill="1" applyBorder="1" applyAlignment="1" applyProtection="1">
      <alignment horizontal="left" vertical="top" wrapText="1"/>
      <protection locked="0"/>
    </xf>
    <xf numFmtId="0" fontId="10" fillId="2" borderId="0" xfId="0" applyFont="1" applyFill="1" applyAlignment="1" applyProtection="1">
      <alignment horizontal="left" vertical="top" wrapText="1"/>
      <protection locked="0"/>
    </xf>
    <xf numFmtId="0" fontId="10" fillId="2" borderId="0" xfId="0" applyFont="1" applyFill="1" applyAlignment="1" applyProtection="1">
      <alignment horizontal="left" wrapText="1"/>
      <protection locked="0"/>
    </xf>
    <xf numFmtId="0" fontId="0" fillId="2" borderId="0" xfId="0" applyFill="1" applyAlignment="1" applyProtection="1">
      <alignment horizontal="left" wrapText="1"/>
      <protection locked="0"/>
    </xf>
    <xf numFmtId="8" fontId="15" fillId="0" borderId="54" xfId="0" applyNumberFormat="1" applyFont="1" applyBorder="1" applyAlignment="1">
      <alignment horizontal="center" vertical="center" wrapText="1"/>
    </xf>
    <xf numFmtId="8" fontId="18" fillId="0" borderId="0" xfId="0" applyNumberFormat="1" applyFont="1" applyAlignment="1">
      <alignment horizontal="center" vertical="center" wrapText="1"/>
    </xf>
    <xf numFmtId="8" fontId="18" fillId="0" borderId="19" xfId="0" applyNumberFormat="1" applyFont="1" applyBorder="1" applyAlignment="1">
      <alignment horizontal="center" vertical="center" wrapText="1"/>
    </xf>
    <xf numFmtId="8" fontId="15" fillId="0" borderId="0" xfId="0" applyNumberFormat="1" applyFont="1" applyAlignment="1">
      <alignment horizontal="center" vertical="center" wrapText="1"/>
    </xf>
    <xf numFmtId="8" fontId="15" fillId="0" borderId="19" xfId="0" applyNumberFormat="1" applyFont="1" applyBorder="1" applyAlignment="1">
      <alignment horizontal="center"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8" fontId="15" fillId="0" borderId="53" xfId="0" applyNumberFormat="1" applyFont="1" applyBorder="1" applyAlignment="1">
      <alignment horizontal="center" vertical="center" wrapText="1"/>
    </xf>
    <xf numFmtId="8" fontId="15" fillId="0" borderId="6" xfId="0" applyNumberFormat="1" applyFont="1" applyBorder="1" applyAlignment="1">
      <alignment horizontal="center" vertical="center" wrapText="1"/>
    </xf>
    <xf numFmtId="8" fontId="15" fillId="0" borderId="20" xfId="0" applyNumberFormat="1" applyFont="1" applyBorder="1" applyAlignment="1">
      <alignment horizontal="center" vertical="center" wrapText="1"/>
    </xf>
    <xf numFmtId="8" fontId="15" fillId="0" borderId="55" xfId="0" applyNumberFormat="1" applyFont="1" applyBorder="1" applyAlignment="1">
      <alignment horizontal="center" vertical="center" wrapText="1"/>
    </xf>
    <xf numFmtId="8" fontId="15" fillId="0" borderId="11" xfId="0" applyNumberFormat="1" applyFont="1" applyBorder="1" applyAlignment="1">
      <alignment horizontal="center" vertical="center" wrapText="1"/>
    </xf>
    <xf numFmtId="8" fontId="15" fillId="0" borderId="21" xfId="0" applyNumberFormat="1" applyFont="1" applyBorder="1" applyAlignment="1">
      <alignment horizontal="center" vertical="center" wrapText="1"/>
    </xf>
    <xf numFmtId="8" fontId="15" fillId="0" borderId="39" xfId="0" applyNumberFormat="1" applyFont="1" applyBorder="1" applyAlignment="1">
      <alignment horizontal="center" vertical="center" wrapText="1"/>
    </xf>
    <xf numFmtId="8" fontId="15" fillId="0" borderId="40" xfId="0" applyNumberFormat="1" applyFont="1" applyBorder="1" applyAlignment="1">
      <alignment horizontal="center" vertical="center" wrapText="1"/>
    </xf>
    <xf numFmtId="8" fontId="15" fillId="0" borderId="22" xfId="0" applyNumberFormat="1" applyFont="1" applyBorder="1" applyAlignment="1">
      <alignment horizontal="center" vertical="center" wrapText="1"/>
    </xf>
    <xf numFmtId="0" fontId="46" fillId="13" borderId="0" xfId="3" applyFont="1" applyFill="1" applyAlignment="1" applyProtection="1">
      <alignment horizontal="center" vertical="center"/>
      <protection locked="0"/>
    </xf>
    <xf numFmtId="169" fontId="15" fillId="0" borderId="53" xfId="0" applyNumberFormat="1" applyFont="1" applyBorder="1" applyAlignment="1">
      <alignment horizontal="center" vertical="center" wrapText="1"/>
    </xf>
    <xf numFmtId="169" fontId="15" fillId="0" borderId="6" xfId="0" applyNumberFormat="1" applyFont="1" applyBorder="1" applyAlignment="1">
      <alignment horizontal="center" vertical="center" wrapText="1"/>
    </xf>
    <xf numFmtId="169" fontId="15" fillId="0" borderId="20" xfId="0" applyNumberFormat="1" applyFont="1" applyBorder="1" applyAlignment="1">
      <alignment horizontal="center" vertical="center" wrapText="1"/>
    </xf>
    <xf numFmtId="0" fontId="63" fillId="0" borderId="8" xfId="0" applyFont="1" applyBorder="1" applyAlignment="1">
      <alignment horizontal="center"/>
    </xf>
    <xf numFmtId="0" fontId="63" fillId="0" borderId="9" xfId="0" applyFont="1" applyBorder="1" applyAlignment="1">
      <alignment horizontal="center"/>
    </xf>
    <xf numFmtId="0" fontId="63" fillId="0" borderId="54" xfId="0" applyFont="1" applyBorder="1" applyAlignment="1">
      <alignment horizontal="center"/>
    </xf>
    <xf numFmtId="0" fontId="15" fillId="0" borderId="53" xfId="0" applyFont="1" applyBorder="1" applyAlignment="1">
      <alignment horizontal="left" vertical="center"/>
    </xf>
    <xf numFmtId="0" fontId="15" fillId="0" borderId="6" xfId="0" applyFont="1" applyBorder="1" applyAlignment="1">
      <alignment horizontal="left" vertical="center"/>
    </xf>
    <xf numFmtId="0" fontId="15" fillId="0" borderId="55" xfId="0" applyFont="1" applyBorder="1" applyAlignment="1">
      <alignment horizontal="center" vertical="center" wrapText="1"/>
    </xf>
    <xf numFmtId="0" fontId="15" fillId="0" borderId="11" xfId="0" applyFont="1" applyBorder="1" applyAlignment="1">
      <alignment horizontal="center" vertical="center" wrapText="1"/>
    </xf>
    <xf numFmtId="169" fontId="15" fillId="0" borderId="54" xfId="0" applyNumberFormat="1" applyFont="1" applyBorder="1" applyAlignment="1">
      <alignment horizontal="center" vertical="center" wrapText="1"/>
    </xf>
    <xf numFmtId="169" fontId="18" fillId="0" borderId="0" xfId="0" applyNumberFormat="1" applyFont="1" applyAlignment="1">
      <alignment horizontal="center" vertical="center" wrapText="1"/>
    </xf>
    <xf numFmtId="169" fontId="18" fillId="0" borderId="19" xfId="0" applyNumberFormat="1" applyFont="1" applyBorder="1" applyAlignment="1">
      <alignment horizontal="center" vertical="center" wrapText="1"/>
    </xf>
    <xf numFmtId="169" fontId="15" fillId="0" borderId="0" xfId="0" applyNumberFormat="1" applyFont="1" applyAlignment="1">
      <alignment horizontal="center" vertical="center" wrapText="1"/>
    </xf>
    <xf numFmtId="169" fontId="15" fillId="0" borderId="19" xfId="0" applyNumberFormat="1" applyFont="1" applyBorder="1" applyAlignment="1">
      <alignment horizontal="center" vertical="center" wrapText="1"/>
    </xf>
    <xf numFmtId="0" fontId="62" fillId="0" borderId="62" xfId="0" applyFont="1" applyBorder="1" applyAlignment="1">
      <alignment horizontal="left" vertical="center" wrapText="1"/>
    </xf>
    <xf numFmtId="0" fontId="62" fillId="0" borderId="63" xfId="0" applyFont="1" applyBorder="1" applyAlignment="1">
      <alignment horizontal="left" vertical="center" wrapText="1"/>
    </xf>
    <xf numFmtId="0" fontId="62" fillId="0" borderId="20" xfId="0" applyFont="1" applyBorder="1" applyAlignment="1">
      <alignment horizontal="left" vertical="center" wrapText="1"/>
    </xf>
    <xf numFmtId="0" fontId="62" fillId="0" borderId="21" xfId="0" applyFont="1" applyBorder="1" applyAlignment="1">
      <alignment horizontal="left" vertical="center" wrapText="1"/>
    </xf>
    <xf numFmtId="0" fontId="11" fillId="0" borderId="0" xfId="3" applyFont="1" applyAlignment="1">
      <alignment horizontal="left" vertical="top" wrapText="1"/>
    </xf>
    <xf numFmtId="0" fontId="26" fillId="0" borderId="0" xfId="3" applyFont="1" applyAlignment="1">
      <alignment horizontal="left" vertical="top" wrapText="1"/>
    </xf>
    <xf numFmtId="0" fontId="11" fillId="8" borderId="0" xfId="3" applyFont="1" applyFill="1" applyAlignment="1">
      <alignment horizontal="left" vertical="top" wrapText="1"/>
    </xf>
    <xf numFmtId="169" fontId="15" fillId="0" borderId="55" xfId="0" applyNumberFormat="1" applyFont="1" applyBorder="1" applyAlignment="1">
      <alignment horizontal="center" vertical="center" wrapText="1"/>
    </xf>
    <xf numFmtId="169" fontId="15" fillId="0" borderId="11" xfId="0" applyNumberFormat="1" applyFont="1" applyBorder="1" applyAlignment="1">
      <alignment horizontal="center" vertical="center" wrapText="1"/>
    </xf>
    <xf numFmtId="169" fontId="15" fillId="0" borderId="21" xfId="0" applyNumberFormat="1" applyFont="1" applyBorder="1" applyAlignment="1">
      <alignment horizontal="center" vertical="center" wrapText="1"/>
    </xf>
    <xf numFmtId="0" fontId="64" fillId="13" borderId="0" xfId="12" applyFont="1" applyFill="1" applyAlignment="1">
      <alignment horizontal="center" vertical="center"/>
      <protection locked="0"/>
    </xf>
    <xf numFmtId="0" fontId="4" fillId="2" borderId="25" xfId="0" applyFont="1" applyFill="1" applyBorder="1" applyAlignment="1">
      <alignment horizontal="center" vertical="center" wrapText="1"/>
    </xf>
    <xf numFmtId="0" fontId="4" fillId="0" borderId="30" xfId="0" applyFont="1" applyBorder="1" applyAlignment="1">
      <alignment wrapText="1"/>
    </xf>
    <xf numFmtId="171" fontId="24" fillId="2" borderId="27" xfId="4" applyNumberFormat="1" applyFont="1" applyFill="1" applyBorder="1" applyAlignment="1">
      <alignment horizontal="center" vertical="center" wrapText="1"/>
    </xf>
    <xf numFmtId="171" fontId="24" fillId="2" borderId="29" xfId="4" applyNumberFormat="1" applyFont="1" applyFill="1" applyBorder="1" applyAlignment="1">
      <alignment horizontal="center" vertical="center" wrapText="1"/>
    </xf>
    <xf numFmtId="10" fontId="24" fillId="2" borderId="27" xfId="4" applyNumberFormat="1" applyFont="1" applyFill="1" applyBorder="1" applyAlignment="1">
      <alignment horizontal="center" vertical="center" wrapText="1"/>
    </xf>
    <xf numFmtId="10" fontId="24" fillId="2" borderId="29" xfId="4" applyNumberFormat="1" applyFont="1" applyFill="1" applyBorder="1" applyAlignment="1">
      <alignment horizontal="center" vertical="center" wrapText="1"/>
    </xf>
    <xf numFmtId="0" fontId="50" fillId="2" borderId="26" xfId="0" applyFont="1" applyFill="1" applyBorder="1" applyAlignment="1">
      <alignment horizontal="left" vertical="top" wrapText="1"/>
    </xf>
    <xf numFmtId="0" fontId="50" fillId="2" borderId="24" xfId="0" applyFont="1" applyFill="1" applyBorder="1" applyAlignment="1">
      <alignment horizontal="left" vertical="top" wrapText="1"/>
    </xf>
    <xf numFmtId="0" fontId="27" fillId="0" borderId="24" xfId="0" applyFont="1" applyBorder="1" applyAlignment="1">
      <alignment horizontal="center" vertical="top" wrapText="1"/>
    </xf>
    <xf numFmtId="0" fontId="27" fillId="0" borderId="26"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31" xfId="0" applyFont="1" applyBorder="1" applyAlignment="1">
      <alignment horizontal="center" vertical="center" wrapText="1"/>
    </xf>
    <xf numFmtId="0" fontId="48" fillId="5" borderId="36" xfId="0" applyFont="1" applyFill="1" applyBorder="1" applyAlignment="1">
      <alignment horizontal="center"/>
    </xf>
    <xf numFmtId="0" fontId="48" fillId="5" borderId="37" xfId="0" applyFont="1" applyFill="1" applyBorder="1" applyAlignment="1">
      <alignment horizontal="center"/>
    </xf>
    <xf numFmtId="0" fontId="48" fillId="5" borderId="36" xfId="0" applyFont="1" applyFill="1" applyBorder="1" applyAlignment="1">
      <alignment horizontal="center" vertical="top" wrapText="1"/>
    </xf>
    <xf numFmtId="0" fontId="48" fillId="5" borderId="37" xfId="0" applyFont="1" applyFill="1" applyBorder="1" applyAlignment="1">
      <alignment horizontal="center" vertical="top" wrapText="1"/>
    </xf>
    <xf numFmtId="0" fontId="48" fillId="5" borderId="38" xfId="0" applyFont="1" applyFill="1" applyBorder="1" applyAlignment="1">
      <alignment horizontal="center" vertical="top" wrapText="1"/>
    </xf>
    <xf numFmtId="0" fontId="24" fillId="2" borderId="26" xfId="4" applyFont="1" applyFill="1" applyBorder="1" applyAlignment="1">
      <alignment horizontal="center" vertical="center" wrapText="1"/>
    </xf>
    <xf numFmtId="0" fontId="24" fillId="2" borderId="23" xfId="4" applyFont="1" applyFill="1" applyBorder="1" applyAlignment="1">
      <alignment horizontal="center" vertical="center" wrapText="1"/>
    </xf>
    <xf numFmtId="0" fontId="59" fillId="13" borderId="0" xfId="12" applyFill="1" applyAlignment="1">
      <alignment horizontal="center" vertical="center"/>
      <protection locked="0"/>
    </xf>
    <xf numFmtId="0" fontId="24" fillId="2" borderId="0" xfId="5" applyFont="1" applyFill="1" applyAlignment="1">
      <alignment horizontal="center" wrapText="1"/>
    </xf>
    <xf numFmtId="0" fontId="0" fillId="2" borderId="32" xfId="0" applyFill="1" applyBorder="1" applyAlignment="1">
      <alignment horizontal="center" wrapText="1"/>
    </xf>
    <xf numFmtId="0" fontId="1" fillId="0" borderId="0" xfId="0" applyFont="1" applyAlignment="1">
      <alignment horizontal="left" vertical="top" wrapText="1"/>
    </xf>
    <xf numFmtId="0" fontId="58" fillId="2" borderId="0" xfId="5" applyFont="1" applyFill="1" applyAlignment="1">
      <alignment horizontal="center" wrapText="1"/>
    </xf>
    <xf numFmtId="0" fontId="58" fillId="2" borderId="32" xfId="5" applyFont="1" applyFill="1" applyBorder="1" applyAlignment="1">
      <alignment horizontal="center" wrapText="1"/>
    </xf>
    <xf numFmtId="0" fontId="58" fillId="2" borderId="0" xfId="5" applyFont="1" applyFill="1" applyAlignment="1">
      <alignment horizontal="right" wrapText="1"/>
    </xf>
    <xf numFmtId="0" fontId="58" fillId="2" borderId="32" xfId="5" applyFont="1" applyFill="1" applyBorder="1" applyAlignment="1">
      <alignment horizontal="right" wrapText="1"/>
    </xf>
    <xf numFmtId="0" fontId="1" fillId="0" borderId="0" xfId="0" applyFont="1" applyAlignment="1">
      <alignment wrapText="1"/>
    </xf>
    <xf numFmtId="0" fontId="1" fillId="0" borderId="0" xfId="0" applyFont="1" applyAlignment="1"/>
    <xf numFmtId="0" fontId="33" fillId="0" borderId="44" xfId="0" applyFont="1" applyBorder="1" applyAlignment="1">
      <alignment horizontal="left" wrapText="1"/>
    </xf>
    <xf numFmtId="0" fontId="33" fillId="0" borderId="34" xfId="0" applyFont="1" applyBorder="1" applyAlignment="1">
      <alignment horizontal="left" wrapText="1"/>
    </xf>
    <xf numFmtId="0" fontId="6" fillId="0" borderId="0" xfId="0" applyFont="1" applyAlignment="1">
      <alignment horizontal="left" wrapText="1"/>
    </xf>
    <xf numFmtId="0" fontId="1" fillId="0" borderId="0" xfId="0" applyFont="1" applyAlignment="1">
      <alignment horizontal="left" wrapText="1"/>
    </xf>
    <xf numFmtId="0" fontId="0" fillId="0" borderId="0" xfId="0" applyAlignment="1">
      <alignment wrapText="1"/>
    </xf>
    <xf numFmtId="0" fontId="6" fillId="0" borderId="41" xfId="0" applyFont="1" applyBorder="1" applyAlignment="1">
      <alignment horizontal="left" vertical="center" wrapText="1" indent="1"/>
    </xf>
    <xf numFmtId="0" fontId="6" fillId="0" borderId="0" xfId="0" applyFont="1" applyAlignment="1">
      <alignment horizontal="left" vertical="center" wrapText="1" indent="1"/>
    </xf>
    <xf numFmtId="0" fontId="6" fillId="0" borderId="0" xfId="0" applyFont="1" applyAlignment="1">
      <alignment horizontal="left"/>
    </xf>
    <xf numFmtId="0" fontId="6" fillId="0" borderId="32" xfId="0" applyFont="1" applyBorder="1" applyAlignment="1">
      <alignment horizontal="left" wrapText="1"/>
    </xf>
    <xf numFmtId="0" fontId="69" fillId="5" borderId="62" xfId="0" applyFont="1" applyFill="1" applyBorder="1" applyAlignment="1">
      <alignment horizontal="center" vertical="center" wrapText="1"/>
    </xf>
    <xf numFmtId="0" fontId="69" fillId="5" borderId="66" xfId="0" applyFont="1" applyFill="1" applyBorder="1" applyAlignment="1">
      <alignment horizontal="center" vertical="center" wrapText="1"/>
    </xf>
    <xf numFmtId="0" fontId="69" fillId="5" borderId="63" xfId="0" applyFont="1" applyFill="1" applyBorder="1" applyAlignment="1">
      <alignment horizontal="center" vertical="center" wrapText="1"/>
    </xf>
    <xf numFmtId="0" fontId="69" fillId="5" borderId="6" xfId="0" applyFont="1" applyFill="1" applyBorder="1" applyAlignment="1">
      <alignment horizontal="center" vertical="center" wrapText="1"/>
    </xf>
    <xf numFmtId="0" fontId="69" fillId="5" borderId="0" xfId="0" applyFont="1" applyFill="1" applyAlignment="1">
      <alignment horizontal="center" vertical="center" wrapText="1"/>
    </xf>
    <xf numFmtId="0" fontId="69" fillId="5" borderId="11" xfId="0" applyFont="1" applyFill="1" applyBorder="1" applyAlignment="1">
      <alignment horizontal="center" vertical="center" wrapText="1"/>
    </xf>
    <xf numFmtId="0" fontId="69" fillId="5" borderId="20" xfId="0" applyFont="1" applyFill="1" applyBorder="1" applyAlignment="1">
      <alignment horizontal="center" vertical="center" wrapText="1"/>
    </xf>
    <xf numFmtId="0" fontId="69" fillId="5" borderId="19" xfId="0" applyFont="1" applyFill="1" applyBorder="1" applyAlignment="1">
      <alignment horizontal="center" vertical="center" wrapText="1"/>
    </xf>
    <xf numFmtId="0" fontId="69" fillId="5" borderId="21" xfId="0" applyFont="1" applyFill="1" applyBorder="1" applyAlignment="1">
      <alignment horizontal="center" vertical="center" wrapText="1"/>
    </xf>
    <xf numFmtId="0" fontId="33" fillId="2" borderId="32" xfId="0" applyFont="1" applyFill="1" applyBorder="1" applyAlignment="1">
      <alignment horizontal="center" wrapText="1"/>
    </xf>
    <xf numFmtId="0" fontId="24" fillId="10" borderId="0" xfId="6" applyFont="1" applyFill="1" applyAlignment="1">
      <alignment horizontal="center" wrapText="1"/>
    </xf>
    <xf numFmtId="0" fontId="4" fillId="0" borderId="0" xfId="0" applyFont="1" applyAlignment="1">
      <alignment horizontal="center"/>
    </xf>
    <xf numFmtId="0" fontId="0" fillId="0" borderId="0" xfId="0" applyAlignment="1">
      <alignment horizontal="center"/>
    </xf>
    <xf numFmtId="0" fontId="24" fillId="0" borderId="0" xfId="6" applyFont="1" applyAlignment="1">
      <alignment horizontal="right" vertical="top" indent="2"/>
    </xf>
    <xf numFmtId="0" fontId="24" fillId="0" borderId="16" xfId="6" applyFont="1" applyBorder="1" applyAlignment="1">
      <alignment horizontal="right" vertical="top" indent="2"/>
    </xf>
    <xf numFmtId="0" fontId="24" fillId="2" borderId="0" xfId="6" applyFont="1" applyFill="1" applyAlignment="1">
      <alignment horizontal="right" wrapText="1"/>
    </xf>
    <xf numFmtId="0" fontId="24" fillId="2" borderId="30" xfId="6" applyFont="1" applyFill="1" applyBorder="1" applyAlignment="1">
      <alignment horizontal="right" wrapText="1"/>
    </xf>
    <xf numFmtId="0" fontId="24" fillId="2" borderId="0" xfId="6" applyFont="1" applyFill="1" applyAlignment="1">
      <alignment horizontal="center" wrapText="1"/>
    </xf>
  </cellXfs>
  <cellStyles count="21">
    <cellStyle name="Comma" xfId="7" builtinId="3"/>
    <cellStyle name="Comma 2 2" xfId="8"/>
    <cellStyle name="Comma 32" xfId="20"/>
    <cellStyle name="Comma 4" xfId="11"/>
    <cellStyle name="Comma 4 6" xfId="17"/>
    <cellStyle name="Currency" xfId="1" builtinId="4"/>
    <cellStyle name="Currency 2" xfId="10"/>
    <cellStyle name="Currency 3" xfId="19"/>
    <cellStyle name="Currency 4" xfId="9"/>
    <cellStyle name="Hyperlink" xfId="12" builtinId="8"/>
    <cellStyle name="Normal" xfId="0" builtinId="0"/>
    <cellStyle name="Normal 13 6" xfId="15"/>
    <cellStyle name="Normal 15" xfId="16"/>
    <cellStyle name="Normal 2" xfId="3"/>
    <cellStyle name="Normal 6" xfId="14"/>
    <cellStyle name="Normal_6. Cost Allocation for Def-Var" xfId="4"/>
    <cellStyle name="Normal_Sheet6" xfId="5"/>
    <cellStyle name="Normal_Sheet7" xfId="6"/>
    <cellStyle name="Percent" xfId="2" builtinId="5"/>
    <cellStyle name="Percent 13 6" xfId="18"/>
    <cellStyle name="Percent 2" xfId="13"/>
  </cellStyles>
  <dxfs count="0"/>
  <tableStyles count="0" defaultTableStyle="TableStyleMedium2" defaultPivotStyle="PivotStyleLight16"/>
  <colors>
    <mruColors>
      <color rgb="FF99FF66"/>
      <color rgb="FFCCFF99"/>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microsoft.com/office/2006/relationships/vbaProject" Target="vbaProject.bin"/></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blackwe/AppData/Local/Microsoft/Windows/INetCache/Content.Outlook/S1IFQDS1/Guelph_2017_IRM_RateGen_draft%20decision_2016112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tes%20Group/2018%20IRM/Models/2017%20Models/2017_IRM_RateGen_Mode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xlFile://Root/Users/sblackwe/AppData/Local/Microsoft/Windows/INetCache/Content.Outlook/S1IFQDS1/Guelph_2017_IRM_RateGen_draft%20decision_201611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 val="Model Spe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09">
          <cell r="F109">
            <v>11479816.310810002</v>
          </cell>
        </row>
        <row r="113">
          <cell r="P113">
            <v>9032995.6378579997</v>
          </cell>
        </row>
      </sheetData>
      <sheetData sheetId="17" refreshError="1">
        <row r="109">
          <cell r="F109">
            <v>11479513.595760001</v>
          </cell>
        </row>
        <row r="113">
          <cell r="P113">
            <v>9032831.5454239994</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Sheet1"/>
      <sheetName val="2. Current Tariff Schedule"/>
      <sheetName val="3. Continuity Schedule"/>
      <sheetName val="2016 List"/>
      <sheetName val="4. Billing Det. for Def-Var"/>
      <sheetName val="2 1 5 TotalConsumptionData_Dist"/>
      <sheetName val="5. Allocating Def-Var Balances"/>
      <sheetName val="6. GA calculation"/>
      <sheetName val="6.a GA allocation_Class A"/>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12_Total_Connection_RollUp"/>
      <sheetName val="2.1.7 Filing"/>
      <sheetName val="20. HIDDEN"/>
      <sheetName val="20. Bill Impacts hidden"/>
      <sheetName val="2016 Database"/>
      <sheetName val="lists"/>
      <sheetName val="Sheet2"/>
      <sheetName val="Sheet3"/>
      <sheetName val="INDEX"/>
      <sheetName val="Model Specs"/>
      <sheetName val="6A. GA Allocation_Class A"/>
      <sheetName val="6B. GA Allocation_new Class B "/>
      <sheetName val="8. STS-Tax Change"/>
      <sheetName val="9. Shared Tax - RR"/>
      <sheetName val="10. RTSR - Current Rates"/>
      <sheetName val="11. RTSR-UTRs &amp; Sub-Tx"/>
      <sheetName val="12. RTSR-Historic Wholesale"/>
      <sheetName val="13. RTSR-Current Wholesale"/>
      <sheetName val="14. RTSR-Forecast Wholesale"/>
      <sheetName val="15. RTSR-Rates to Forecast"/>
      <sheetName val="16. Rev2Cost-GDPIPI"/>
      <sheetName val="BoD Reporting"/>
      <sheetName val="RATES"/>
      <sheetName val="CBR 1580 Sub-Account"/>
    </sheetNames>
    <sheetDataSet>
      <sheetData sheetId="0"/>
      <sheetData sheetId="1"/>
      <sheetData sheetId="2"/>
      <sheetData sheetId="3"/>
      <sheetData sheetId="4">
        <row r="10">
          <cell r="C10" t="str">
            <v>For Former Lakeland Power Service Area</v>
          </cell>
        </row>
        <row r="11">
          <cell r="C11" t="str">
            <v>For Former Parry Sound Service Area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10">
          <cell r="C10">
            <v>2</v>
          </cell>
        </row>
      </sheetData>
      <sheetData sheetId="4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Spec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dy.butany@alectrautilities.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V58"/>
  <sheetViews>
    <sheetView view="pageBreakPreview" topLeftCell="A7" zoomScale="85" zoomScaleNormal="85" zoomScaleSheetLayoutView="85" workbookViewId="0">
      <selection activeCell="B2" sqref="B2:O9"/>
    </sheetView>
  </sheetViews>
  <sheetFormatPr defaultColWidth="9.140625" defaultRowHeight="15" x14ac:dyDescent="0.25"/>
  <cols>
    <col min="1" max="1" width="12.42578125" style="207" bestFit="1" customWidth="1"/>
    <col min="2" max="2" width="13.28515625" style="62" customWidth="1"/>
    <col min="3" max="3" width="3.42578125" style="62" customWidth="1"/>
    <col min="4" max="5" width="9.140625" style="62"/>
    <col min="6" max="6" width="9.140625" style="62" customWidth="1"/>
    <col min="7" max="13" width="9.140625" style="62"/>
    <col min="14" max="14" width="13.42578125" style="62" customWidth="1"/>
    <col min="15" max="15" width="3.7109375" style="62" bestFit="1" customWidth="1"/>
    <col min="16" max="27" width="9.140625" style="62"/>
    <col min="28" max="28" width="9.140625" style="62" customWidth="1"/>
    <col min="29" max="16384" width="9.140625" style="62"/>
  </cols>
  <sheetData>
    <row r="1" spans="1:74" ht="14.45" x14ac:dyDescent="0.3">
      <c r="A1" s="164" t="s">
        <v>0</v>
      </c>
      <c r="B1" s="163"/>
      <c r="C1" s="63"/>
      <c r="D1" s="63"/>
      <c r="E1" s="63"/>
      <c r="F1" s="63"/>
      <c r="G1" s="63"/>
      <c r="H1" s="63"/>
      <c r="I1" s="63"/>
      <c r="J1" s="63"/>
      <c r="K1" s="63"/>
      <c r="L1" s="63"/>
      <c r="M1" s="63"/>
      <c r="N1" s="63"/>
      <c r="O1" s="63"/>
      <c r="P1" s="63"/>
      <c r="Q1" s="63"/>
      <c r="R1" s="63"/>
      <c r="S1" s="63"/>
      <c r="T1" s="63"/>
      <c r="U1" s="63"/>
      <c r="V1" s="86" t="s">
        <v>1</v>
      </c>
      <c r="W1" s="63"/>
      <c r="X1" s="63"/>
      <c r="Y1" s="63"/>
      <c r="Z1" s="63"/>
      <c r="AA1" s="63"/>
      <c r="BV1" s="63"/>
    </row>
    <row r="2" spans="1:74" ht="15" customHeight="1" x14ac:dyDescent="0.25">
      <c r="B2" s="356" t="s">
        <v>2</v>
      </c>
      <c r="C2" s="356"/>
      <c r="D2" s="356"/>
      <c r="E2" s="356"/>
      <c r="F2" s="356"/>
      <c r="G2" s="356"/>
      <c r="H2" s="356"/>
      <c r="I2" s="356"/>
      <c r="J2" s="356"/>
      <c r="K2" s="356"/>
      <c r="L2" s="356"/>
      <c r="M2" s="356"/>
      <c r="N2" s="356"/>
      <c r="O2" s="356"/>
      <c r="P2" s="63"/>
      <c r="Q2" s="63"/>
      <c r="R2" s="63"/>
      <c r="S2" s="63"/>
      <c r="T2" s="63"/>
      <c r="U2" s="63"/>
      <c r="V2" s="63"/>
      <c r="W2" s="63"/>
      <c r="X2" s="63"/>
      <c r="Y2" s="63"/>
      <c r="Z2" s="63"/>
      <c r="AA2" s="63"/>
    </row>
    <row r="3" spans="1:74" ht="15" customHeight="1" x14ac:dyDescent="0.25">
      <c r="B3" s="356"/>
      <c r="C3" s="356"/>
      <c r="D3" s="356"/>
      <c r="E3" s="356"/>
      <c r="F3" s="356"/>
      <c r="G3" s="356"/>
      <c r="H3" s="356"/>
      <c r="I3" s="356"/>
      <c r="J3" s="356"/>
      <c r="K3" s="356"/>
      <c r="L3" s="356"/>
      <c r="M3" s="356"/>
      <c r="N3" s="356"/>
      <c r="O3" s="356"/>
      <c r="P3" s="63"/>
      <c r="Q3" s="63"/>
      <c r="R3" s="63"/>
      <c r="S3" s="63"/>
      <c r="T3" s="63"/>
      <c r="U3" s="63"/>
      <c r="V3" s="63"/>
      <c r="W3" s="63"/>
      <c r="X3" s="63"/>
      <c r="Y3" s="63"/>
      <c r="Z3" s="63"/>
      <c r="AA3" s="63"/>
    </row>
    <row r="4" spans="1:74" ht="15" customHeight="1" x14ac:dyDescent="0.25">
      <c r="B4" s="356"/>
      <c r="C4" s="356"/>
      <c r="D4" s="356"/>
      <c r="E4" s="356"/>
      <c r="F4" s="356"/>
      <c r="G4" s="356"/>
      <c r="H4" s="356"/>
      <c r="I4" s="356"/>
      <c r="J4" s="356"/>
      <c r="K4" s="356"/>
      <c r="L4" s="356"/>
      <c r="M4" s="356"/>
      <c r="N4" s="356"/>
      <c r="O4" s="356"/>
      <c r="P4" s="63"/>
      <c r="Q4" s="63"/>
      <c r="R4" s="63"/>
      <c r="S4" s="63"/>
      <c r="T4" s="63"/>
      <c r="U4" s="63"/>
      <c r="V4" s="63"/>
      <c r="W4" s="63"/>
      <c r="X4" s="63"/>
      <c r="Y4" s="63"/>
      <c r="Z4" s="63"/>
      <c r="AA4" s="63"/>
    </row>
    <row r="5" spans="1:74" ht="15" customHeight="1" x14ac:dyDescent="0.25">
      <c r="B5" s="356"/>
      <c r="C5" s="356"/>
      <c r="D5" s="356"/>
      <c r="E5" s="356"/>
      <c r="F5" s="356"/>
      <c r="G5" s="356"/>
      <c r="H5" s="356"/>
      <c r="I5" s="356"/>
      <c r="J5" s="356"/>
      <c r="K5" s="356"/>
      <c r="L5" s="356"/>
      <c r="M5" s="356"/>
      <c r="N5" s="356"/>
      <c r="O5" s="356"/>
      <c r="P5" s="63"/>
      <c r="Q5" s="63"/>
      <c r="R5" s="63"/>
      <c r="S5" s="63"/>
      <c r="T5" s="63"/>
      <c r="U5" s="63"/>
      <c r="V5" s="63"/>
      <c r="W5" s="63"/>
      <c r="X5" s="63"/>
      <c r="Y5" s="63"/>
      <c r="Z5" s="63"/>
      <c r="AA5" s="63"/>
    </row>
    <row r="6" spans="1:74" ht="15" customHeight="1" x14ac:dyDescent="0.25">
      <c r="B6" s="356"/>
      <c r="C6" s="356"/>
      <c r="D6" s="356"/>
      <c r="E6" s="356"/>
      <c r="F6" s="356"/>
      <c r="G6" s="356"/>
      <c r="H6" s="356"/>
      <c r="I6" s="356"/>
      <c r="J6" s="356"/>
      <c r="K6" s="356"/>
      <c r="L6" s="356"/>
      <c r="M6" s="356"/>
      <c r="N6" s="356"/>
      <c r="O6" s="356"/>
      <c r="P6" s="63"/>
      <c r="Q6" s="63"/>
      <c r="R6" s="63"/>
      <c r="S6" s="63"/>
      <c r="T6" s="63"/>
      <c r="U6" s="63"/>
      <c r="V6" s="63"/>
      <c r="W6" s="63"/>
      <c r="X6" s="63"/>
      <c r="Y6" s="63"/>
      <c r="Z6" s="63"/>
      <c r="AA6" s="63"/>
    </row>
    <row r="7" spans="1:74" ht="15" customHeight="1" x14ac:dyDescent="0.25">
      <c r="B7" s="356"/>
      <c r="C7" s="356"/>
      <c r="D7" s="356"/>
      <c r="E7" s="356"/>
      <c r="F7" s="356"/>
      <c r="G7" s="356"/>
      <c r="H7" s="356"/>
      <c r="I7" s="356"/>
      <c r="J7" s="356"/>
      <c r="K7" s="356"/>
      <c r="L7" s="356"/>
      <c r="M7" s="356"/>
      <c r="N7" s="356"/>
      <c r="O7" s="356"/>
      <c r="P7" s="63"/>
      <c r="Q7" s="63"/>
      <c r="R7" s="63"/>
      <c r="S7" s="63"/>
      <c r="T7" s="63"/>
      <c r="U7" s="63"/>
      <c r="V7" s="63"/>
      <c r="W7" s="63"/>
      <c r="X7" s="63"/>
      <c r="Y7" s="63"/>
      <c r="Z7" s="63"/>
      <c r="AA7" s="63"/>
    </row>
    <row r="8" spans="1:74" ht="15" customHeight="1" x14ac:dyDescent="0.25">
      <c r="B8" s="356"/>
      <c r="C8" s="356"/>
      <c r="D8" s="356"/>
      <c r="E8" s="356"/>
      <c r="F8" s="356"/>
      <c r="G8" s="356"/>
      <c r="H8" s="356"/>
      <c r="I8" s="356"/>
      <c r="J8" s="356"/>
      <c r="K8" s="356"/>
      <c r="L8" s="356"/>
      <c r="M8" s="356"/>
      <c r="N8" s="356"/>
      <c r="O8" s="356"/>
      <c r="P8" s="63"/>
      <c r="Q8" s="63"/>
      <c r="R8" s="63"/>
      <c r="S8" s="63"/>
      <c r="T8" s="63"/>
      <c r="U8" s="63"/>
      <c r="V8" s="63"/>
      <c r="W8" s="63"/>
      <c r="X8" s="63"/>
      <c r="Y8" s="63"/>
      <c r="Z8" s="63"/>
      <c r="AA8" s="63"/>
    </row>
    <row r="9" spans="1:74" ht="15" customHeight="1" x14ac:dyDescent="0.25">
      <c r="B9" s="356"/>
      <c r="C9" s="356"/>
      <c r="D9" s="356"/>
      <c r="E9" s="356"/>
      <c r="F9" s="356"/>
      <c r="G9" s="356"/>
      <c r="H9" s="356"/>
      <c r="I9" s="356"/>
      <c r="J9" s="356"/>
      <c r="K9" s="356"/>
      <c r="L9" s="356"/>
      <c r="M9" s="356"/>
      <c r="N9" s="356"/>
      <c r="O9" s="356"/>
      <c r="P9" s="63"/>
      <c r="Q9" s="63"/>
      <c r="R9" s="63"/>
      <c r="S9" s="63"/>
      <c r="T9" s="63"/>
      <c r="U9" s="63"/>
      <c r="V9" s="63"/>
      <c r="W9" s="63"/>
      <c r="X9" s="63"/>
      <c r="Y9" s="63"/>
      <c r="Z9" s="63"/>
      <c r="AA9" s="63"/>
    </row>
    <row r="10" spans="1:74" ht="14.45" x14ac:dyDescent="0.3">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row>
    <row r="11" spans="1:74" ht="14.45" x14ac:dyDescent="0.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row>
    <row r="12" spans="1:74" ht="14.45" x14ac:dyDescent="0.3">
      <c r="B12" s="63"/>
      <c r="C12" s="2"/>
      <c r="D12" s="2"/>
      <c r="E12" s="2"/>
      <c r="F12" s="2"/>
      <c r="G12" s="2"/>
      <c r="H12" s="63"/>
      <c r="I12" s="63"/>
      <c r="J12" s="63"/>
      <c r="K12" s="63"/>
      <c r="L12" s="63"/>
      <c r="M12" s="63"/>
      <c r="N12" s="87" t="s">
        <v>3</v>
      </c>
      <c r="O12" s="88">
        <v>1</v>
      </c>
      <c r="P12" s="63"/>
      <c r="Q12" s="63"/>
      <c r="R12" s="63"/>
      <c r="S12" s="63"/>
      <c r="T12" s="63"/>
      <c r="U12" s="63"/>
      <c r="V12" s="63"/>
      <c r="W12" s="63"/>
      <c r="X12" s="63"/>
      <c r="Y12" s="63"/>
      <c r="Z12" s="63"/>
      <c r="AA12" s="63"/>
    </row>
    <row r="13" spans="1:74" thickBot="1" x14ac:dyDescent="0.35">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row>
    <row r="14" spans="1:74" ht="16.5" customHeight="1" thickTop="1" thickBot="1" x14ac:dyDescent="0.35">
      <c r="B14" s="63"/>
      <c r="C14" s="63"/>
      <c r="D14" s="63"/>
      <c r="E14" s="63"/>
      <c r="F14" s="89" t="s">
        <v>4</v>
      </c>
      <c r="G14" s="360" t="s">
        <v>5</v>
      </c>
      <c r="H14" s="361"/>
      <c r="I14" s="361"/>
      <c r="J14" s="361"/>
      <c r="K14" s="361"/>
      <c r="L14" s="361"/>
      <c r="M14" s="362"/>
      <c r="N14" s="63"/>
      <c r="O14" s="63"/>
      <c r="P14" s="63"/>
      <c r="Q14" s="63"/>
      <c r="R14" s="63"/>
      <c r="S14" s="63"/>
      <c r="T14" s="63"/>
      <c r="U14" s="63"/>
      <c r="V14" s="63"/>
      <c r="W14" s="63"/>
      <c r="X14" s="63"/>
      <c r="Y14" s="63"/>
      <c r="Z14" s="63"/>
      <c r="AA14" s="63"/>
    </row>
    <row r="15" spans="1:74" ht="14.45" hidden="1" x14ac:dyDescent="0.3">
      <c r="B15" s="63"/>
      <c r="C15" s="63"/>
      <c r="D15" s="63"/>
      <c r="E15" s="63"/>
      <c r="F15" s="90"/>
      <c r="G15" s="91"/>
      <c r="H15" s="91"/>
      <c r="I15" s="91"/>
      <c r="J15" s="91"/>
      <c r="K15" s="91"/>
      <c r="L15" s="63"/>
      <c r="M15" s="63"/>
      <c r="N15" s="63"/>
      <c r="O15" s="63"/>
      <c r="P15" s="63"/>
      <c r="Q15" s="63"/>
      <c r="R15" s="63"/>
      <c r="S15" s="63"/>
      <c r="T15" s="63"/>
      <c r="U15" s="63"/>
      <c r="V15" s="63"/>
      <c r="W15" s="63"/>
      <c r="X15" s="63"/>
      <c r="Y15" s="63"/>
      <c r="Z15" s="63"/>
      <c r="AA15" s="63"/>
    </row>
    <row r="16" spans="1:74" ht="15.6" hidden="1" thickTop="1" thickBot="1" x14ac:dyDescent="0.35">
      <c r="B16" s="63"/>
      <c r="C16" s="63"/>
      <c r="D16" s="63"/>
      <c r="E16" s="63"/>
      <c r="F16" s="92" t="s">
        <v>6</v>
      </c>
      <c r="G16" s="363"/>
      <c r="H16" s="358"/>
      <c r="I16" s="358"/>
      <c r="J16" s="358"/>
      <c r="K16" s="359"/>
      <c r="L16" s="63"/>
      <c r="M16" s="63"/>
      <c r="N16" s="63"/>
      <c r="O16" s="63"/>
      <c r="P16" s="63"/>
      <c r="Q16" s="63"/>
      <c r="R16" s="63"/>
      <c r="S16" s="63"/>
      <c r="T16" s="63"/>
      <c r="U16" s="63"/>
      <c r="V16" s="63"/>
      <c r="W16" s="63"/>
      <c r="X16" s="63"/>
      <c r="Y16" s="63"/>
      <c r="Z16" s="63"/>
      <c r="AA16" s="63"/>
    </row>
    <row r="17" spans="2:27" thickBot="1" x14ac:dyDescent="0.35">
      <c r="B17" s="63"/>
      <c r="C17" s="63"/>
      <c r="D17" s="63"/>
      <c r="E17" s="63"/>
      <c r="F17" s="300"/>
      <c r="G17" s="63"/>
      <c r="H17" s="63"/>
      <c r="I17" s="63"/>
      <c r="J17" s="63"/>
      <c r="K17" s="63"/>
      <c r="L17" s="63"/>
      <c r="M17" s="63"/>
      <c r="N17" s="63"/>
      <c r="O17" s="63"/>
      <c r="P17" s="63"/>
      <c r="Q17" s="63"/>
      <c r="R17" s="63"/>
      <c r="S17" s="63"/>
      <c r="T17" s="63"/>
      <c r="U17" s="63"/>
      <c r="V17" s="63"/>
      <c r="W17" s="63"/>
      <c r="X17" s="63"/>
      <c r="Y17" s="63"/>
      <c r="Z17" s="63"/>
      <c r="AA17" s="63"/>
    </row>
    <row r="18" spans="2:27" ht="15.6" thickTop="1" thickBot="1" x14ac:dyDescent="0.35">
      <c r="B18" s="63"/>
      <c r="C18" s="63"/>
      <c r="D18" s="63"/>
      <c r="E18" s="63"/>
      <c r="F18" s="92" t="s">
        <v>7</v>
      </c>
      <c r="G18" s="363" t="s">
        <v>8</v>
      </c>
      <c r="H18" s="358"/>
      <c r="I18" s="358"/>
      <c r="J18" s="63"/>
      <c r="K18" s="63"/>
      <c r="L18" s="63"/>
      <c r="M18" s="63"/>
      <c r="N18" s="63"/>
      <c r="O18" s="63"/>
      <c r="P18" s="63"/>
      <c r="Q18" s="63"/>
      <c r="R18" s="63"/>
      <c r="S18" s="63"/>
      <c r="T18" s="63"/>
      <c r="U18" s="63"/>
      <c r="V18" s="63"/>
      <c r="W18" s="63"/>
      <c r="X18" s="63"/>
      <c r="Y18" s="63"/>
      <c r="Z18" s="63"/>
      <c r="AA18" s="63"/>
    </row>
    <row r="19" spans="2:27" thickBot="1" x14ac:dyDescent="0.35">
      <c r="B19" s="63"/>
      <c r="C19" s="63"/>
      <c r="D19" s="63"/>
      <c r="E19" s="63"/>
      <c r="F19" s="300"/>
      <c r="G19" s="63"/>
      <c r="H19" s="63"/>
      <c r="I19" s="63"/>
      <c r="J19" s="63"/>
      <c r="K19" s="63"/>
      <c r="L19" s="63"/>
      <c r="M19" s="63"/>
      <c r="N19" s="63"/>
      <c r="O19" s="63"/>
      <c r="P19" s="63"/>
      <c r="Q19" s="63"/>
      <c r="R19" s="63"/>
      <c r="S19" s="63"/>
      <c r="T19" s="63"/>
      <c r="U19" s="63"/>
      <c r="V19" s="63"/>
      <c r="W19" s="63"/>
      <c r="X19" s="63"/>
      <c r="Y19" s="63"/>
      <c r="Z19" s="63"/>
      <c r="AA19" s="63"/>
    </row>
    <row r="20" spans="2:27" ht="15.6" thickTop="1" thickBot="1" x14ac:dyDescent="0.35">
      <c r="B20" s="63"/>
      <c r="C20" s="63"/>
      <c r="D20" s="63"/>
      <c r="E20" s="63"/>
      <c r="F20" s="92" t="s">
        <v>9</v>
      </c>
      <c r="G20" s="363" t="s">
        <v>10</v>
      </c>
      <c r="H20" s="358"/>
      <c r="I20" s="358"/>
      <c r="J20" s="358"/>
      <c r="K20" s="358"/>
      <c r="L20" s="358"/>
      <c r="M20" s="63"/>
      <c r="N20" s="93"/>
      <c r="O20" s="63"/>
      <c r="P20" s="63"/>
      <c r="Q20" s="63"/>
      <c r="R20" s="63"/>
      <c r="S20" s="63"/>
      <c r="T20" s="63"/>
      <c r="U20" s="63"/>
      <c r="V20" s="63"/>
      <c r="W20" s="63"/>
      <c r="X20" s="63"/>
      <c r="Y20" s="63"/>
      <c r="Z20" s="63"/>
      <c r="AA20" s="63"/>
    </row>
    <row r="21" spans="2:27" thickBot="1" x14ac:dyDescent="0.35">
      <c r="B21" s="63"/>
      <c r="C21" s="63"/>
      <c r="D21" s="63"/>
      <c r="E21" s="63"/>
      <c r="F21" s="301"/>
      <c r="G21" s="91"/>
      <c r="H21" s="91"/>
      <c r="I21" s="91"/>
      <c r="J21" s="91"/>
      <c r="K21" s="91"/>
      <c r="L21" s="63"/>
      <c r="M21" s="63"/>
      <c r="N21" s="63"/>
      <c r="O21" s="63"/>
      <c r="P21" s="63"/>
      <c r="Q21" s="63"/>
      <c r="R21" s="63"/>
      <c r="S21" s="63"/>
      <c r="T21" s="63"/>
      <c r="U21" s="63"/>
      <c r="V21" s="63"/>
      <c r="W21" s="63"/>
      <c r="X21" s="63"/>
      <c r="Y21" s="63"/>
      <c r="Z21" s="63"/>
      <c r="AA21" s="63"/>
    </row>
    <row r="22" spans="2:27" ht="15.6" thickTop="1" thickBot="1" x14ac:dyDescent="0.35">
      <c r="B22" s="63"/>
      <c r="C22" s="63"/>
      <c r="D22" s="63"/>
      <c r="E22" s="63"/>
      <c r="F22" s="89" t="s">
        <v>11</v>
      </c>
      <c r="G22" s="363" t="s">
        <v>12</v>
      </c>
      <c r="H22" s="358"/>
      <c r="I22" s="358"/>
      <c r="J22" s="63"/>
      <c r="K22" s="63"/>
      <c r="L22" s="63"/>
      <c r="M22" s="63"/>
      <c r="N22" s="63"/>
      <c r="O22" s="63"/>
      <c r="P22" s="63"/>
      <c r="Q22" s="63"/>
      <c r="R22" s="63"/>
      <c r="S22" s="63"/>
      <c r="T22" s="63"/>
      <c r="U22" s="63"/>
      <c r="V22" s="63"/>
      <c r="W22" s="63"/>
      <c r="X22" s="63"/>
      <c r="Y22" s="63"/>
      <c r="Z22" s="63"/>
      <c r="AA22" s="63"/>
    </row>
    <row r="23" spans="2:27" thickBot="1" x14ac:dyDescent="0.35">
      <c r="B23" s="63"/>
      <c r="C23" s="63"/>
      <c r="D23" s="63"/>
      <c r="E23" s="63"/>
      <c r="F23" s="301"/>
      <c r="G23" s="91"/>
      <c r="H23" s="91"/>
      <c r="I23" s="91"/>
      <c r="J23" s="91"/>
      <c r="K23" s="91"/>
      <c r="L23" s="63"/>
      <c r="M23" s="63"/>
      <c r="N23" s="63"/>
      <c r="O23" s="63"/>
      <c r="P23" s="63"/>
      <c r="Q23" s="63"/>
      <c r="R23" s="63"/>
      <c r="S23" s="63"/>
      <c r="T23" s="63"/>
      <c r="U23" s="63"/>
      <c r="V23" s="63"/>
      <c r="W23" s="63"/>
      <c r="X23" s="63"/>
      <c r="Y23" s="63"/>
      <c r="Z23" s="63"/>
      <c r="AA23" s="63"/>
    </row>
    <row r="24" spans="2:27" ht="15.6" thickTop="1" thickBot="1" x14ac:dyDescent="0.35">
      <c r="B24" s="63"/>
      <c r="C24" s="63"/>
      <c r="D24" s="63"/>
      <c r="E24" s="63"/>
      <c r="F24" s="89" t="s">
        <v>13</v>
      </c>
      <c r="G24" s="357" t="s">
        <v>14</v>
      </c>
      <c r="H24" s="358"/>
      <c r="I24" s="358"/>
      <c r="J24" s="358"/>
      <c r="K24" s="359"/>
      <c r="L24" s="63"/>
      <c r="M24" s="63"/>
      <c r="N24" s="63"/>
      <c r="O24" s="63"/>
      <c r="P24" s="63"/>
      <c r="Q24" s="63"/>
      <c r="R24" s="63"/>
      <c r="S24" s="63"/>
      <c r="T24" s="63"/>
      <c r="U24" s="63"/>
      <c r="V24" s="63"/>
      <c r="W24" s="63"/>
      <c r="X24" s="63"/>
      <c r="Y24" s="63"/>
      <c r="Z24" s="63"/>
      <c r="AA24" s="63"/>
    </row>
    <row r="25" spans="2:27" thickBot="1" x14ac:dyDescent="0.35">
      <c r="B25" s="63"/>
      <c r="C25" s="63"/>
      <c r="D25" s="63"/>
      <c r="E25" s="63"/>
      <c r="F25" s="301"/>
      <c r="G25" s="91"/>
      <c r="H25" s="91"/>
      <c r="I25" s="91"/>
      <c r="J25" s="91"/>
      <c r="K25" s="91"/>
      <c r="L25" s="63"/>
      <c r="M25" s="63"/>
      <c r="N25" s="63"/>
      <c r="O25" s="63"/>
      <c r="P25" s="63"/>
      <c r="Q25" s="63"/>
      <c r="R25" s="63"/>
      <c r="S25" s="63"/>
      <c r="T25" s="63"/>
      <c r="U25" s="63"/>
      <c r="V25" s="63"/>
      <c r="W25" s="63"/>
      <c r="X25" s="63"/>
      <c r="Y25" s="63"/>
      <c r="Z25" s="63"/>
      <c r="AA25" s="63"/>
    </row>
    <row r="26" spans="2:27" ht="15.6" thickTop="1" thickBot="1" x14ac:dyDescent="0.35">
      <c r="B26" s="63"/>
      <c r="C26" s="63"/>
      <c r="D26" s="63"/>
      <c r="E26" s="63"/>
      <c r="F26" s="89" t="s">
        <v>15</v>
      </c>
      <c r="G26" s="365">
        <v>43466</v>
      </c>
      <c r="H26" s="366"/>
      <c r="I26" s="366"/>
      <c r="J26" s="63"/>
      <c r="K26" s="63"/>
      <c r="L26" s="63"/>
      <c r="M26" s="63"/>
      <c r="N26" s="63"/>
      <c r="O26" s="63"/>
      <c r="P26" s="63"/>
      <c r="Q26" s="63"/>
      <c r="R26" s="63"/>
      <c r="S26" s="63"/>
      <c r="T26" s="63"/>
      <c r="U26" s="63"/>
      <c r="V26" s="63"/>
      <c r="W26" s="63"/>
      <c r="X26" s="63"/>
      <c r="Y26" s="63"/>
      <c r="Z26" s="63"/>
      <c r="AA26" s="63"/>
    </row>
    <row r="27" spans="2:27" thickBot="1" x14ac:dyDescent="0.35">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2:27" ht="15.6" thickTop="1" thickBot="1" x14ac:dyDescent="0.35">
      <c r="B28" s="63"/>
      <c r="C28" s="63"/>
      <c r="D28" s="63"/>
      <c r="E28" s="63"/>
      <c r="F28" s="94" t="s">
        <v>16</v>
      </c>
      <c r="G28" s="367" t="s">
        <v>17</v>
      </c>
      <c r="H28" s="368"/>
      <c r="I28" s="369"/>
      <c r="J28" s="63"/>
      <c r="K28" s="63"/>
      <c r="L28" s="63"/>
      <c r="M28" s="63"/>
      <c r="N28" s="63"/>
      <c r="O28" s="63"/>
      <c r="P28" s="63"/>
      <c r="Q28" s="63"/>
      <c r="R28" s="63"/>
      <c r="S28" s="63"/>
      <c r="T28" s="63"/>
      <c r="U28" s="63"/>
      <c r="V28" s="63"/>
      <c r="W28" s="63"/>
      <c r="X28" s="63"/>
      <c r="Y28" s="63"/>
      <c r="Z28" s="63"/>
      <c r="AA28" s="63"/>
    </row>
    <row r="29" spans="2:27" thickBot="1" x14ac:dyDescent="0.35">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row>
    <row r="30" spans="2:27" ht="28.5" customHeight="1" thickTop="1" thickBot="1" x14ac:dyDescent="0.35">
      <c r="B30" s="370" t="s">
        <v>18</v>
      </c>
      <c r="C30" s="370"/>
      <c r="D30" s="370"/>
      <c r="E30" s="370"/>
      <c r="F30" s="371"/>
      <c r="G30" s="367">
        <v>2017</v>
      </c>
      <c r="H30" s="368"/>
      <c r="I30" s="369"/>
      <c r="J30" s="63"/>
      <c r="K30" s="63"/>
      <c r="L30" s="63"/>
      <c r="M30" s="63"/>
      <c r="N30" s="63"/>
      <c r="O30" s="63"/>
      <c r="P30" s="63"/>
      <c r="Q30" s="63"/>
      <c r="R30" s="63"/>
      <c r="S30" s="63"/>
      <c r="T30" s="63"/>
      <c r="U30" s="63"/>
      <c r="V30" s="63"/>
      <c r="W30" s="63"/>
      <c r="X30" s="63"/>
      <c r="Y30" s="63"/>
      <c r="Z30" s="63"/>
      <c r="AA30" s="63"/>
    </row>
    <row r="31" spans="2:27" ht="9.75" customHeight="1" thickBot="1" x14ac:dyDescent="0.35">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row>
    <row r="32" spans="2:27" ht="28.5" customHeight="1" thickTop="1" thickBot="1" x14ac:dyDescent="0.35">
      <c r="B32" s="370" t="s">
        <v>19</v>
      </c>
      <c r="C32" s="370"/>
      <c r="D32" s="370"/>
      <c r="E32" s="370"/>
      <c r="F32" s="371"/>
      <c r="G32" s="367">
        <v>2018</v>
      </c>
      <c r="H32" s="368"/>
      <c r="I32" s="369"/>
      <c r="J32" s="63"/>
      <c r="K32" s="63"/>
      <c r="L32" s="63"/>
      <c r="M32" s="63"/>
      <c r="N32" s="63"/>
      <c r="O32" s="63"/>
      <c r="P32" s="63"/>
      <c r="Q32" s="63"/>
      <c r="R32" s="63"/>
      <c r="S32" s="63"/>
      <c r="T32" s="63"/>
      <c r="U32" s="63"/>
      <c r="V32" s="63"/>
      <c r="W32" s="63"/>
      <c r="X32" s="63"/>
      <c r="Y32" s="63"/>
      <c r="Z32" s="63"/>
      <c r="AA32" s="63"/>
    </row>
    <row r="33" spans="2:27" ht="9.75" customHeight="1" x14ac:dyDescent="0.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row>
    <row r="34" spans="2:27" ht="9.75" customHeight="1" x14ac:dyDescent="0.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row>
    <row r="35" spans="2:27" ht="14.45" x14ac:dyDescent="0.3">
      <c r="B35" s="63"/>
      <c r="C35" s="95" t="s">
        <v>20</v>
      </c>
      <c r="D35" s="63"/>
      <c r="E35" s="63"/>
      <c r="F35" s="63"/>
      <c r="G35" s="63"/>
      <c r="H35" s="63"/>
      <c r="I35" s="63"/>
      <c r="J35" s="63"/>
      <c r="K35" s="63"/>
      <c r="L35" s="63"/>
      <c r="M35" s="63"/>
      <c r="N35" s="63"/>
      <c r="O35" s="63"/>
      <c r="P35" s="63"/>
      <c r="Q35" s="63"/>
      <c r="R35" s="63"/>
      <c r="S35" s="63"/>
      <c r="T35" s="63"/>
      <c r="U35" s="63"/>
      <c r="V35" s="63"/>
      <c r="W35" s="63"/>
      <c r="X35" s="63"/>
      <c r="Y35" s="63"/>
      <c r="Z35" s="63"/>
      <c r="AA35" s="63"/>
    </row>
    <row r="36" spans="2:27" thickBot="1" x14ac:dyDescent="0.35">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row>
    <row r="37" spans="2:27" thickBot="1" x14ac:dyDescent="0.35">
      <c r="B37" s="63"/>
      <c r="C37" s="194"/>
      <c r="D37" s="372" t="s">
        <v>21</v>
      </c>
      <c r="E37" s="373"/>
      <c r="F37" s="373"/>
      <c r="G37" s="373"/>
      <c r="H37" s="373"/>
      <c r="I37" s="373"/>
      <c r="J37" s="373"/>
      <c r="K37" s="373"/>
      <c r="L37" s="373"/>
      <c r="M37" s="373"/>
      <c r="N37" s="63"/>
      <c r="O37" s="63"/>
      <c r="P37" s="63"/>
      <c r="Q37" s="63"/>
      <c r="R37" s="63"/>
      <c r="S37" s="63"/>
      <c r="T37" s="63"/>
      <c r="U37" s="63"/>
      <c r="V37" s="63"/>
      <c r="W37" s="63"/>
      <c r="X37" s="63"/>
      <c r="Y37" s="63"/>
      <c r="Z37" s="63"/>
      <c r="AA37" s="63"/>
    </row>
    <row r="38" spans="2:27" ht="15.75" thickBot="1" x14ac:dyDescent="0.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row>
    <row r="39" spans="2:27" ht="15.75" thickBot="1" x14ac:dyDescent="0.3">
      <c r="B39" s="63"/>
      <c r="C39" s="193"/>
      <c r="D39" s="372" t="s">
        <v>22</v>
      </c>
      <c r="E39" s="373"/>
      <c r="F39" s="373"/>
      <c r="G39" s="373"/>
      <c r="H39" s="373"/>
      <c r="I39" s="373"/>
      <c r="J39" s="373"/>
      <c r="K39" s="373"/>
      <c r="L39" s="373"/>
      <c r="M39" s="373"/>
      <c r="N39" s="373"/>
      <c r="O39" s="373"/>
      <c r="P39" s="63"/>
      <c r="Q39" s="63"/>
      <c r="R39" s="63"/>
      <c r="S39" s="63"/>
      <c r="T39" s="63"/>
      <c r="U39" s="63"/>
      <c r="V39" s="63"/>
      <c r="W39" s="63"/>
      <c r="X39" s="63"/>
      <c r="Y39" s="63"/>
      <c r="Z39" s="63"/>
      <c r="AA39" s="63"/>
    </row>
    <row r="40" spans="2:27" ht="15.75" thickBot="1" x14ac:dyDescent="0.3">
      <c r="B40" s="63"/>
      <c r="C40" s="63"/>
      <c r="D40" s="97"/>
      <c r="E40" s="97"/>
      <c r="F40" s="97"/>
      <c r="G40" s="97"/>
      <c r="H40" s="97"/>
      <c r="I40" s="97"/>
      <c r="J40" s="97"/>
      <c r="K40" s="97"/>
      <c r="L40" s="97"/>
      <c r="M40" s="97"/>
      <c r="N40" s="97"/>
      <c r="O40" s="97"/>
      <c r="P40" s="63"/>
      <c r="Q40" s="63"/>
      <c r="R40" s="63"/>
      <c r="S40" s="63"/>
      <c r="T40" s="63"/>
      <c r="U40" s="63"/>
      <c r="V40" s="63"/>
      <c r="W40" s="63"/>
      <c r="X40" s="63"/>
      <c r="Y40" s="63"/>
      <c r="Z40" s="63"/>
      <c r="AA40" s="63"/>
    </row>
    <row r="41" spans="2:27" ht="15.75" customHeight="1" thickBot="1" x14ac:dyDescent="0.3">
      <c r="B41" s="63"/>
      <c r="C41" s="96"/>
      <c r="D41" s="374" t="s">
        <v>23</v>
      </c>
      <c r="E41" s="375"/>
      <c r="F41" s="375"/>
      <c r="G41" s="375"/>
      <c r="H41" s="375"/>
      <c r="I41" s="375"/>
      <c r="J41" s="375"/>
      <c r="K41" s="375"/>
      <c r="L41" s="375"/>
      <c r="M41" s="375"/>
      <c r="N41" s="375"/>
      <c r="O41" s="63"/>
      <c r="P41" s="63"/>
      <c r="Q41" s="63"/>
      <c r="R41" s="63"/>
      <c r="S41" s="63"/>
      <c r="T41" s="63"/>
      <c r="U41" s="63"/>
      <c r="V41" s="63"/>
      <c r="W41" s="63"/>
      <c r="X41" s="63"/>
      <c r="Y41" s="63"/>
      <c r="Z41" s="63"/>
      <c r="AA41" s="63"/>
    </row>
    <row r="42" spans="2:27" ht="4.5" customHeight="1" x14ac:dyDescent="0.25">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row>
    <row r="43" spans="2:27" x14ac:dyDescent="0.25">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row>
    <row r="44" spans="2:27" ht="30.75" customHeight="1" x14ac:dyDescent="0.25">
      <c r="B44" s="364" t="s">
        <v>24</v>
      </c>
      <c r="C44" s="364"/>
      <c r="D44" s="364"/>
      <c r="E44" s="364"/>
      <c r="F44" s="364"/>
      <c r="G44" s="364"/>
      <c r="H44" s="364"/>
      <c r="I44" s="63"/>
      <c r="J44" s="63"/>
      <c r="K44" s="63"/>
      <c r="L44" s="63"/>
      <c r="M44" s="63"/>
      <c r="N44" s="63"/>
      <c r="O44" s="63"/>
      <c r="P44" s="63"/>
      <c r="Q44" s="63"/>
      <c r="R44" s="63"/>
      <c r="S44" s="63"/>
      <c r="T44" s="63"/>
      <c r="U44" s="63"/>
      <c r="V44" s="63"/>
      <c r="W44" s="63"/>
      <c r="X44" s="63"/>
      <c r="Y44" s="63"/>
      <c r="Z44" s="63"/>
      <c r="AA44" s="63"/>
    </row>
    <row r="45" spans="2:27" x14ac:dyDescent="0.25">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row>
    <row r="46" spans="2:27" x14ac:dyDescent="0.25">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row>
    <row r="47" spans="2:27" x14ac:dyDescent="0.25">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row>
    <row r="48" spans="2:27" x14ac:dyDescent="0.25">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row>
    <row r="49" spans="2:27" x14ac:dyDescent="0.25">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row>
    <row r="50" spans="2:27" x14ac:dyDescent="0.2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row>
    <row r="51" spans="2:27" x14ac:dyDescent="0.2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row>
    <row r="52" spans="2:27" x14ac:dyDescent="0.2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row>
    <row r="53" spans="2:27" x14ac:dyDescent="0.2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row>
    <row r="54" spans="2:27" x14ac:dyDescent="0.2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row>
    <row r="55" spans="2:27" x14ac:dyDescent="0.25">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row>
    <row r="56" spans="2:27" x14ac:dyDescent="0.2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row>
    <row r="57" spans="2:27" x14ac:dyDescent="0.25">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row>
    <row r="58" spans="2:27" x14ac:dyDescent="0.2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row>
  </sheetData>
  <mergeCells count="17">
    <mergeCell ref="B44:H44"/>
    <mergeCell ref="G26:I26"/>
    <mergeCell ref="G28:I28"/>
    <mergeCell ref="B30:F30"/>
    <mergeCell ref="G30:I30"/>
    <mergeCell ref="B32:F32"/>
    <mergeCell ref="G32:I32"/>
    <mergeCell ref="D37:M37"/>
    <mergeCell ref="D39:O39"/>
    <mergeCell ref="D41:N41"/>
    <mergeCell ref="B2:O9"/>
    <mergeCell ref="G24:K24"/>
    <mergeCell ref="G14:M14"/>
    <mergeCell ref="G16:K16"/>
    <mergeCell ref="G18:I18"/>
    <mergeCell ref="G20:L20"/>
    <mergeCell ref="G22:I22"/>
  </mergeCells>
  <dataValidations count="5">
    <dataValidation type="list" allowBlank="1" showInputMessage="1" showErrorMessage="1" sqref="G16:K16">
      <formula1>Lakeland_SA</formula1>
    </dataValidation>
    <dataValidation type="list" errorTitle="Selection Needed" error="Please select an option from the drop-down list." prompt="Use the following format eg: January 1, 2013" sqref="G32:I32">
      <formula1>"2010, 2011, 2012, 2013, 2014, 2015, 2016, 2017"</formula1>
    </dataValidation>
    <dataValidation type="list" showErrorMessage="1" errorTitle="Selection Needed" error="Please select an option from the drop-down list." prompt="Use the following format eg: January 1, 2013" sqref="G28:I28">
      <formula1>"Price Cap IR, Annual IR Index"</formula1>
    </dataValidation>
    <dataValidation allowBlank="1" showInputMessage="1" showErrorMessage="1" prompt="First and last name, title" sqref="G20"/>
    <dataValidation type="list" errorTitle="Selection Needed" error="Please select an option from the drop-down list." prompt="Use the following format eg: January 1, 2013" sqref="G30:I30">
      <formula1>" 2010, 2011, 2012, 2013, 2014, 2015, 2016, 2017"</formula1>
    </dataValidation>
  </dataValidations>
  <hyperlinks>
    <hyperlink ref="A1" location="Index" display="Back to Index"/>
    <hyperlink ref="G24" r:id="rId1"/>
  </hyperlinks>
  <pageMargins left="0.7" right="0.7" top="0.75" bottom="0.75" header="0.3" footer="0.3"/>
  <pageSetup scale="69"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'[3]Model Specs'!#REF!</xm:f>
          </x14:formula1>
          <xm:sqref>G14:M14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43"/>
  <sheetViews>
    <sheetView view="pageBreakPreview" topLeftCell="A33" zoomScale="85" zoomScaleNormal="70" zoomScaleSheetLayoutView="85" workbookViewId="0">
      <selection activeCell="D26" sqref="D26:D27"/>
    </sheetView>
  </sheetViews>
  <sheetFormatPr defaultColWidth="9.140625" defaultRowHeight="15" outlineLevelRow="1" outlineLevelCol="1" x14ac:dyDescent="0.25"/>
  <cols>
    <col min="1" max="1" width="10.5703125" style="107" bestFit="1" customWidth="1"/>
    <col min="2" max="2" width="49.42578125" customWidth="1"/>
    <col min="3" max="3" width="14" customWidth="1"/>
    <col min="4" max="5" width="28.5703125" customWidth="1"/>
    <col min="6" max="9" width="28.5703125" hidden="1" customWidth="1" outlineLevel="1"/>
    <col min="10" max="10" width="29.7109375" hidden="1" customWidth="1" outlineLevel="1"/>
    <col min="11" max="11" width="9.42578125" bestFit="1" customWidth="1" collapsed="1"/>
    <col min="12" max="13" width="20.5703125" customWidth="1"/>
    <col min="16" max="16" width="32.28515625" customWidth="1"/>
  </cols>
  <sheetData>
    <row r="1" spans="1:11" ht="14.45" x14ac:dyDescent="0.3">
      <c r="A1" s="162" t="s">
        <v>0</v>
      </c>
      <c r="B1" s="162"/>
    </row>
    <row r="2" spans="1:11" ht="15" customHeight="1" x14ac:dyDescent="0.25">
      <c r="B2" s="356" t="str">
        <f>+'1. Information Sheet'!B2</f>
        <v>INCENTIVE REGULATION MODEL FOR 2019 FILERS</v>
      </c>
      <c r="C2" s="356"/>
      <c r="D2" s="356"/>
      <c r="E2" s="356"/>
      <c r="F2" s="356"/>
      <c r="G2" s="356"/>
      <c r="H2" s="356"/>
    </row>
    <row r="3" spans="1:11" ht="15" customHeight="1" x14ac:dyDescent="0.25">
      <c r="B3" s="356"/>
      <c r="C3" s="356"/>
      <c r="D3" s="356"/>
      <c r="E3" s="356"/>
      <c r="F3" s="356"/>
      <c r="G3" s="356"/>
      <c r="H3" s="356"/>
    </row>
    <row r="4" spans="1:11" ht="15" customHeight="1" x14ac:dyDescent="0.25">
      <c r="B4" s="356"/>
      <c r="C4" s="356"/>
      <c r="D4" s="356"/>
      <c r="E4" s="356"/>
      <c r="F4" s="356"/>
      <c r="G4" s="356"/>
      <c r="H4" s="356"/>
    </row>
    <row r="5" spans="1:11" ht="15" customHeight="1" x14ac:dyDescent="0.25">
      <c r="B5" s="356"/>
      <c r="C5" s="356"/>
      <c r="D5" s="356"/>
      <c r="E5" s="356"/>
      <c r="F5" s="356"/>
      <c r="G5" s="356"/>
      <c r="H5" s="356"/>
    </row>
    <row r="6" spans="1:11" ht="15" customHeight="1" x14ac:dyDescent="0.25">
      <c r="B6" s="356"/>
      <c r="C6" s="356"/>
      <c r="D6" s="356"/>
      <c r="E6" s="356"/>
      <c r="F6" s="356"/>
      <c r="G6" s="356"/>
      <c r="H6" s="356"/>
    </row>
    <row r="7" spans="1:11" ht="15" customHeight="1" x14ac:dyDescent="0.25">
      <c r="B7" s="356"/>
      <c r="C7" s="356"/>
      <c r="D7" s="356"/>
      <c r="E7" s="356"/>
      <c r="F7" s="356"/>
      <c r="G7" s="356"/>
      <c r="H7" s="356"/>
    </row>
    <row r="8" spans="1:11" ht="15" customHeight="1" x14ac:dyDescent="0.25">
      <c r="B8" s="356"/>
      <c r="C8" s="356"/>
      <c r="D8" s="356"/>
      <c r="E8" s="356"/>
      <c r="F8" s="356"/>
      <c r="G8" s="356"/>
      <c r="H8" s="356"/>
    </row>
    <row r="9" spans="1:11" ht="15" customHeight="1" x14ac:dyDescent="0.25">
      <c r="B9" s="356"/>
      <c r="C9" s="356"/>
      <c r="D9" s="356"/>
      <c r="E9" s="356"/>
      <c r="F9" s="356"/>
      <c r="G9" s="356"/>
      <c r="H9" s="356"/>
    </row>
    <row r="12" spans="1:11" ht="78.75" customHeight="1" x14ac:dyDescent="0.3">
      <c r="B12" s="452" t="s">
        <v>338</v>
      </c>
      <c r="C12" s="452"/>
      <c r="D12" s="452"/>
      <c r="E12" s="452"/>
      <c r="F12" s="453"/>
      <c r="G12" s="453"/>
    </row>
    <row r="13" spans="1:11" ht="14.45" x14ac:dyDescent="0.3">
      <c r="B13" s="134"/>
      <c r="C13" s="134"/>
      <c r="D13" s="134"/>
      <c r="E13" s="134"/>
      <c r="F13" s="84"/>
      <c r="G13" s="84"/>
    </row>
    <row r="14" spans="1:11" ht="45.75" customHeight="1" x14ac:dyDescent="0.3">
      <c r="B14" s="135" t="s">
        <v>223</v>
      </c>
      <c r="C14" s="175">
        <v>2016</v>
      </c>
      <c r="D14" s="262"/>
      <c r="E14" s="263"/>
      <c r="F14" s="263"/>
      <c r="G14" s="263"/>
      <c r="H14" s="263"/>
      <c r="I14" s="263"/>
      <c r="J14" s="263"/>
      <c r="K14" s="263"/>
    </row>
    <row r="15" spans="1:11" ht="14.45" x14ac:dyDescent="0.3">
      <c r="B15" s="134"/>
      <c r="C15" s="134"/>
      <c r="D15" s="134"/>
      <c r="E15" s="134"/>
      <c r="F15" s="84"/>
      <c r="G15" s="84"/>
    </row>
    <row r="16" spans="1:11" ht="34.5" customHeight="1" x14ac:dyDescent="0.3">
      <c r="B16" s="451" t="s">
        <v>292</v>
      </c>
      <c r="C16" s="451"/>
      <c r="D16" s="451"/>
      <c r="E16" s="451"/>
      <c r="F16" s="451"/>
      <c r="G16" s="451"/>
      <c r="J16" s="136"/>
    </row>
    <row r="17" spans="1:16" ht="17.25" customHeight="1" thickBot="1" x14ac:dyDescent="0.35">
      <c r="C17" s="137"/>
      <c r="D17" s="138" t="s">
        <v>177</v>
      </c>
      <c r="E17" s="139">
        <v>2017</v>
      </c>
      <c r="F17" s="139">
        <v>2016</v>
      </c>
      <c r="G17" s="139">
        <v>2015</v>
      </c>
      <c r="H17" s="139">
        <v>2014</v>
      </c>
      <c r="I17" s="139">
        <v>2013</v>
      </c>
      <c r="J17" s="140">
        <v>2012</v>
      </c>
    </row>
    <row r="18" spans="1:16" s="77" customFormat="1" ht="40.9" thickBot="1" x14ac:dyDescent="0.35">
      <c r="A18" s="209"/>
      <c r="B18" s="141" t="s">
        <v>226</v>
      </c>
      <c r="C18" s="142" t="s">
        <v>227</v>
      </c>
      <c r="D18" s="347">
        <f>SUM(E18:J18)</f>
        <v>3596684692.4563026</v>
      </c>
      <c r="E18" s="143">
        <f>'7. CBR Calculation'!C34-'7. CBR Calculation'!E34</f>
        <v>3596684692.4563026</v>
      </c>
      <c r="F18" s="143"/>
      <c r="G18" s="143"/>
      <c r="H18" s="144"/>
      <c r="I18" s="145"/>
      <c r="J18" s="145"/>
    </row>
    <row r="19" spans="1:16" s="77" customFormat="1" thickBot="1" x14ac:dyDescent="0.35">
      <c r="A19" s="209"/>
      <c r="B19" s="141" t="s">
        <v>293</v>
      </c>
      <c r="C19" s="142" t="s">
        <v>229</v>
      </c>
      <c r="D19" s="347">
        <f>SUM(E19:J19)</f>
        <v>5633530</v>
      </c>
      <c r="E19" s="146">
        <f t="shared" ref="E19:J19" si="0">E42</f>
        <v>5633530</v>
      </c>
      <c r="F19" s="146">
        <f t="shared" si="0"/>
        <v>0</v>
      </c>
      <c r="G19" s="146">
        <f t="shared" si="0"/>
        <v>0</v>
      </c>
      <c r="H19" s="146">
        <f t="shared" si="0"/>
        <v>0</v>
      </c>
      <c r="I19" s="147">
        <f t="shared" si="0"/>
        <v>0</v>
      </c>
      <c r="J19" s="147">
        <f t="shared" si="0"/>
        <v>0</v>
      </c>
    </row>
    <row r="20" spans="1:16" s="77" customFormat="1" ht="30" customHeight="1" thickBot="1" x14ac:dyDescent="0.35">
      <c r="A20" s="209"/>
      <c r="B20" s="148" t="s">
        <v>294</v>
      </c>
      <c r="C20" s="149" t="s">
        <v>231</v>
      </c>
      <c r="D20" s="348">
        <f>IFERROR(+D19/D18,0)</f>
        <v>1.5663118904517216E-3</v>
      </c>
      <c r="E20" s="150"/>
      <c r="F20" s="150"/>
      <c r="G20" s="150"/>
      <c r="H20" s="151"/>
      <c r="I20" s="151"/>
      <c r="J20" s="151"/>
    </row>
    <row r="22" spans="1:16" ht="14.45" x14ac:dyDescent="0.3">
      <c r="D22" s="152"/>
      <c r="E22" s="152"/>
      <c r="F22" s="153"/>
      <c r="G22" s="152"/>
    </row>
    <row r="23" spans="1:16" ht="14.45" x14ac:dyDescent="0.3">
      <c r="B23" s="456" t="s">
        <v>339</v>
      </c>
      <c r="C23" s="456"/>
      <c r="D23" s="456"/>
      <c r="E23" s="282"/>
      <c r="G23" s="154"/>
    </row>
    <row r="24" spans="1:16" thickBot="1" x14ac:dyDescent="0.35">
      <c r="B24" s="155"/>
      <c r="C24" s="155"/>
      <c r="D24" s="136"/>
      <c r="E24" s="136"/>
      <c r="P24" s="154"/>
    </row>
    <row r="25" spans="1:16" thickBot="1" x14ac:dyDescent="0.35">
      <c r="B25" s="156" t="s">
        <v>340</v>
      </c>
      <c r="C25" s="174" t="s">
        <v>234</v>
      </c>
      <c r="D25" s="349">
        <f>'7. CBR Calculation'!C17</f>
        <v>-55880.028700500014</v>
      </c>
      <c r="E25" s="287"/>
    </row>
    <row r="26" spans="1:16" ht="27.6" thickBot="1" x14ac:dyDescent="0.35">
      <c r="B26" s="141" t="s">
        <v>341</v>
      </c>
      <c r="C26" s="142" t="s">
        <v>236</v>
      </c>
      <c r="D26" s="349">
        <f>+D20*D25</f>
        <v>-87.525553392376636</v>
      </c>
      <c r="E26" s="287"/>
      <c r="F26" s="157"/>
    </row>
    <row r="27" spans="1:16" ht="27.6" thickBot="1" x14ac:dyDescent="0.35">
      <c r="B27" s="141" t="s">
        <v>334</v>
      </c>
      <c r="C27" s="142" t="s">
        <v>297</v>
      </c>
      <c r="D27" s="349">
        <f>'7A. CBR Allocation_Class A'!D26</f>
        <v>-1986.3083295215506</v>
      </c>
      <c r="E27" s="287"/>
      <c r="F27" s="157"/>
    </row>
    <row r="28" spans="1:16" ht="32.25" customHeight="1" thickBot="1" x14ac:dyDescent="0.35">
      <c r="B28" s="256" t="s">
        <v>342</v>
      </c>
      <c r="C28" s="257" t="s">
        <v>299</v>
      </c>
      <c r="D28" s="350">
        <f>+D25-D26-D27</f>
        <v>-53806.194817586089</v>
      </c>
      <c r="E28" s="293"/>
      <c r="F28" s="252" t="s">
        <v>343</v>
      </c>
      <c r="P28" t="s">
        <v>239</v>
      </c>
    </row>
    <row r="30" spans="1:16" ht="14.45" x14ac:dyDescent="0.3">
      <c r="B30" s="451" t="s">
        <v>344</v>
      </c>
      <c r="C30" s="451"/>
      <c r="D30" s="451"/>
      <c r="E30" s="451"/>
      <c r="F30" s="451"/>
    </row>
    <row r="31" spans="1:16" ht="14.45" x14ac:dyDescent="0.3">
      <c r="B31" s="259"/>
      <c r="C31" s="259"/>
      <c r="D31" s="259"/>
      <c r="E31" s="134"/>
      <c r="F31" s="134"/>
    </row>
    <row r="32" spans="1:16" ht="14.45" x14ac:dyDescent="0.3">
      <c r="B32" s="449" t="s">
        <v>241</v>
      </c>
      <c r="C32" s="450"/>
      <c r="D32" s="450"/>
      <c r="E32" s="295">
        <v>2017</v>
      </c>
      <c r="F32" s="251">
        <v>2</v>
      </c>
      <c r="G32" s="251"/>
      <c r="H32" s="249"/>
      <c r="I32" s="249"/>
      <c r="J32" s="250"/>
      <c r="K32" s="237"/>
      <c r="L32" s="237"/>
      <c r="M32" s="237"/>
    </row>
    <row r="33" spans="2:13" ht="76.5" customHeight="1" x14ac:dyDescent="0.3">
      <c r="B33" s="229" t="s">
        <v>242</v>
      </c>
      <c r="C33" s="229"/>
      <c r="D33" s="230" t="s">
        <v>302</v>
      </c>
      <c r="E33" s="270"/>
      <c r="F33" s="270" t="s">
        <v>303</v>
      </c>
      <c r="G33" s="158"/>
      <c r="H33" s="158"/>
      <c r="I33" s="158"/>
      <c r="J33" s="158"/>
      <c r="K33" s="238" t="s">
        <v>249</v>
      </c>
      <c r="L33" s="239" t="s">
        <v>345</v>
      </c>
      <c r="M33" s="239" t="s">
        <v>251</v>
      </c>
    </row>
    <row r="34" spans="2:13" ht="14.45" x14ac:dyDescent="0.3">
      <c r="B34" s="231" t="s">
        <v>252</v>
      </c>
      <c r="C34" s="231"/>
      <c r="D34" s="232">
        <f>SUM(E34:J34)</f>
        <v>5633530</v>
      </c>
      <c r="E34" s="160">
        <f>'6B. GA Allocation_new Class B'!E33</f>
        <v>5633530</v>
      </c>
      <c r="F34" s="160"/>
      <c r="G34" s="159"/>
      <c r="H34" s="159"/>
      <c r="I34" s="159"/>
      <c r="J34" s="159"/>
      <c r="K34" s="240">
        <f t="shared" ref="K34:K41" si="1">IFERROR(+D34/$D$42,0)</f>
        <v>1</v>
      </c>
      <c r="L34" s="241">
        <f>+K34*$D$26</f>
        <v>-87.525553392376636</v>
      </c>
      <c r="M34" s="242">
        <f>+L34/12</f>
        <v>-7.2937961160313867</v>
      </c>
    </row>
    <row r="35" spans="2:13" ht="14.45" hidden="1" outlineLevel="1" x14ac:dyDescent="0.3">
      <c r="B35" s="233"/>
      <c r="C35" s="233"/>
      <c r="D35" s="234"/>
      <c r="E35" s="160"/>
      <c r="F35" s="160"/>
      <c r="G35" s="160"/>
      <c r="H35" s="160"/>
      <c r="I35" s="160"/>
      <c r="J35" s="160"/>
      <c r="K35" s="243">
        <f t="shared" si="1"/>
        <v>0</v>
      </c>
      <c r="L35" s="244">
        <f t="shared" ref="L35:L41" si="2">+K35*$D$26</f>
        <v>0</v>
      </c>
      <c r="M35" s="245">
        <f t="shared" ref="M35:M41" si="3">+L35/12</f>
        <v>0</v>
      </c>
    </row>
    <row r="36" spans="2:13" ht="14.45" hidden="1" outlineLevel="1" x14ac:dyDescent="0.3">
      <c r="B36" s="233"/>
      <c r="C36" s="233"/>
      <c r="D36" s="234"/>
      <c r="E36" s="160"/>
      <c r="F36" s="160"/>
      <c r="G36" s="160"/>
      <c r="H36" s="160"/>
      <c r="I36" s="160"/>
      <c r="J36" s="160"/>
      <c r="K36" s="243">
        <f t="shared" si="1"/>
        <v>0</v>
      </c>
      <c r="L36" s="244">
        <f t="shared" si="2"/>
        <v>0</v>
      </c>
      <c r="M36" s="245">
        <f t="shared" si="3"/>
        <v>0</v>
      </c>
    </row>
    <row r="37" spans="2:13" ht="14.45" hidden="1" outlineLevel="1" x14ac:dyDescent="0.3">
      <c r="B37" s="233"/>
      <c r="C37" s="233"/>
      <c r="D37" s="234"/>
      <c r="E37" s="160"/>
      <c r="F37" s="160"/>
      <c r="G37" s="160"/>
      <c r="H37" s="160"/>
      <c r="I37" s="160"/>
      <c r="J37" s="160"/>
      <c r="K37" s="243">
        <f t="shared" si="1"/>
        <v>0</v>
      </c>
      <c r="L37" s="244">
        <f t="shared" si="2"/>
        <v>0</v>
      </c>
      <c r="M37" s="245">
        <f t="shared" si="3"/>
        <v>0</v>
      </c>
    </row>
    <row r="38" spans="2:13" ht="14.45" hidden="1" outlineLevel="1" x14ac:dyDescent="0.3">
      <c r="B38" s="233"/>
      <c r="C38" s="233"/>
      <c r="D38" s="234"/>
      <c r="E38" s="160"/>
      <c r="F38" s="160"/>
      <c r="G38" s="160"/>
      <c r="H38" s="160"/>
      <c r="I38" s="160"/>
      <c r="J38" s="160"/>
      <c r="K38" s="243">
        <f t="shared" si="1"/>
        <v>0</v>
      </c>
      <c r="L38" s="244">
        <f t="shared" si="2"/>
        <v>0</v>
      </c>
      <c r="M38" s="245">
        <f t="shared" si="3"/>
        <v>0</v>
      </c>
    </row>
    <row r="39" spans="2:13" ht="14.45" hidden="1" outlineLevel="1" x14ac:dyDescent="0.3">
      <c r="B39" s="233"/>
      <c r="C39" s="233"/>
      <c r="D39" s="234"/>
      <c r="E39" s="160"/>
      <c r="F39" s="160"/>
      <c r="G39" s="160"/>
      <c r="H39" s="160"/>
      <c r="I39" s="160"/>
      <c r="J39" s="160"/>
      <c r="K39" s="243">
        <f t="shared" si="1"/>
        <v>0</v>
      </c>
      <c r="L39" s="244">
        <f t="shared" si="2"/>
        <v>0</v>
      </c>
      <c r="M39" s="245">
        <f t="shared" si="3"/>
        <v>0</v>
      </c>
    </row>
    <row r="40" spans="2:13" ht="14.45" hidden="1" outlineLevel="1" x14ac:dyDescent="0.3">
      <c r="B40" s="233"/>
      <c r="C40" s="233"/>
      <c r="D40" s="234"/>
      <c r="E40" s="160"/>
      <c r="F40" s="160"/>
      <c r="G40" s="160"/>
      <c r="H40" s="160"/>
      <c r="I40" s="160"/>
      <c r="J40" s="160"/>
      <c r="K40" s="243">
        <f t="shared" si="1"/>
        <v>0</v>
      </c>
      <c r="L40" s="244">
        <f t="shared" si="2"/>
        <v>0</v>
      </c>
      <c r="M40" s="245">
        <f t="shared" si="3"/>
        <v>0</v>
      </c>
    </row>
    <row r="41" spans="2:13" ht="14.45" hidden="1" outlineLevel="1" x14ac:dyDescent="0.3">
      <c r="B41" s="233"/>
      <c r="C41" s="233"/>
      <c r="D41" s="234"/>
      <c r="E41" s="160"/>
      <c r="F41" s="160"/>
      <c r="G41" s="160"/>
      <c r="H41" s="160"/>
      <c r="I41" s="160"/>
      <c r="J41" s="160"/>
      <c r="K41" s="243">
        <f t="shared" si="1"/>
        <v>0</v>
      </c>
      <c r="L41" s="244">
        <f t="shared" si="2"/>
        <v>0</v>
      </c>
      <c r="M41" s="245">
        <f t="shared" si="3"/>
        <v>0</v>
      </c>
    </row>
    <row r="42" spans="2:13" ht="14.45" collapsed="1" x14ac:dyDescent="0.3">
      <c r="B42" s="235" t="s">
        <v>177</v>
      </c>
      <c r="C42" s="235"/>
      <c r="D42" s="236">
        <f>SUM(D34:D41)</f>
        <v>5633530</v>
      </c>
      <c r="E42" s="161">
        <f>SUM(E34:E41)</f>
        <v>5633530</v>
      </c>
      <c r="F42" s="161">
        <f>SUM(F34:F41)</f>
        <v>0</v>
      </c>
      <c r="G42" s="161">
        <f>SUM(G34:G41)</f>
        <v>0</v>
      </c>
      <c r="H42" s="161">
        <f t="shared" ref="H42:J42" si="4">SUM(H34:H37)</f>
        <v>0</v>
      </c>
      <c r="I42" s="161">
        <f t="shared" si="4"/>
        <v>0</v>
      </c>
      <c r="J42" s="161">
        <f t="shared" si="4"/>
        <v>0</v>
      </c>
      <c r="K42" s="246">
        <f>SUM(K34:K41)</f>
        <v>1</v>
      </c>
      <c r="L42" s="247">
        <f>SUM(L34:L41)</f>
        <v>-87.525553392376636</v>
      </c>
      <c r="M42" s="248"/>
    </row>
    <row r="43" spans="2:13" ht="14.45" x14ac:dyDescent="0.3">
      <c r="K43" s="62"/>
      <c r="L43" s="62"/>
      <c r="M43" s="62"/>
    </row>
  </sheetData>
  <mergeCells count="6">
    <mergeCell ref="B32:D32"/>
    <mergeCell ref="B2:H9"/>
    <mergeCell ref="B12:G12"/>
    <mergeCell ref="B16:G16"/>
    <mergeCell ref="B23:D23"/>
    <mergeCell ref="B30:F30"/>
  </mergeCells>
  <hyperlinks>
    <hyperlink ref="A1" location="Index" display="Back to Index"/>
  </hyperlinks>
  <pageMargins left="0.7" right="0.7" top="0.75" bottom="0.75" header="0.3" footer="0.3"/>
  <pageSetup scale="63" orientation="landscape" r:id="rId1"/>
  <rowBreaks count="1" manualBreakCount="1">
    <brk id="42" min="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38"/>
  <sheetViews>
    <sheetView view="pageBreakPreview" topLeftCell="G8" zoomScale="85" zoomScaleNormal="85" zoomScaleSheetLayoutView="85" workbookViewId="0">
      <selection activeCell="H28" sqref="H28"/>
    </sheetView>
  </sheetViews>
  <sheetFormatPr defaultColWidth="9.140625" defaultRowHeight="15" outlineLevelCol="1" x14ac:dyDescent="0.25"/>
  <cols>
    <col min="1" max="1" width="10.28515625" style="107" bestFit="1" customWidth="1"/>
    <col min="2" max="2" width="59" customWidth="1"/>
    <col min="4" max="4" width="16.7109375" bestFit="1" customWidth="1"/>
    <col min="5" max="5" width="14.42578125" customWidth="1"/>
    <col min="6" max="6" width="17.42578125" bestFit="1" customWidth="1"/>
    <col min="7" max="7" width="20.5703125" bestFit="1" customWidth="1"/>
    <col min="8" max="8" width="27.7109375" bestFit="1" customWidth="1"/>
    <col min="9" max="9" width="22.5703125" customWidth="1"/>
    <col min="10" max="10" width="20.85546875" customWidth="1"/>
    <col min="11" max="11" width="21.28515625" customWidth="1"/>
    <col min="12" max="12" width="13.5703125" customWidth="1"/>
    <col min="13" max="13" width="20" hidden="1" customWidth="1" outlineLevel="1"/>
    <col min="14" max="14" width="20.140625" hidden="1" customWidth="1" outlineLevel="1"/>
    <col min="15" max="15" width="20" bestFit="1" customWidth="1" collapsed="1"/>
  </cols>
  <sheetData>
    <row r="1" spans="1:15" ht="14.45" x14ac:dyDescent="0.3">
      <c r="A1" s="162" t="s">
        <v>0</v>
      </c>
      <c r="B1" s="162"/>
    </row>
    <row r="2" spans="1:15" ht="15" customHeight="1" x14ac:dyDescent="0.25">
      <c r="B2" s="356" t="str">
        <f>+'1. Information Sheet'!B2</f>
        <v>INCENTIVE REGULATION MODEL FOR 2019 FILERS</v>
      </c>
      <c r="C2" s="356"/>
      <c r="D2" s="356"/>
      <c r="E2" s="356"/>
      <c r="F2" s="356"/>
      <c r="G2" s="356"/>
      <c r="H2" s="356"/>
    </row>
    <row r="3" spans="1:15" ht="15" customHeight="1" x14ac:dyDescent="0.25">
      <c r="B3" s="356"/>
      <c r="C3" s="356"/>
      <c r="D3" s="356"/>
      <c r="E3" s="356"/>
      <c r="F3" s="356"/>
      <c r="G3" s="356"/>
      <c r="H3" s="356"/>
    </row>
    <row r="4" spans="1:15" ht="15" customHeight="1" x14ac:dyDescent="0.25">
      <c r="B4" s="356"/>
      <c r="C4" s="439"/>
      <c r="D4" s="356"/>
      <c r="E4" s="356"/>
      <c r="F4" s="356"/>
      <c r="G4" s="356"/>
      <c r="H4" s="356"/>
    </row>
    <row r="5" spans="1:15" ht="15" customHeight="1" x14ac:dyDescent="0.25">
      <c r="B5" s="356"/>
      <c r="C5" s="356"/>
      <c r="D5" s="356"/>
      <c r="E5" s="356"/>
      <c r="F5" s="356"/>
      <c r="G5" s="356"/>
      <c r="H5" s="356"/>
    </row>
    <row r="6" spans="1:15" ht="15" customHeight="1" x14ac:dyDescent="0.25">
      <c r="B6" s="356"/>
      <c r="C6" s="356"/>
      <c r="D6" s="356"/>
      <c r="E6" s="356"/>
      <c r="F6" s="356"/>
      <c r="G6" s="356"/>
      <c r="H6" s="356"/>
    </row>
    <row r="7" spans="1:15" ht="15" customHeight="1" x14ac:dyDescent="0.25">
      <c r="B7" s="356"/>
      <c r="C7" s="356"/>
      <c r="D7" s="356"/>
      <c r="E7" s="356"/>
      <c r="F7" s="356"/>
      <c r="G7" s="356"/>
      <c r="H7" s="356"/>
    </row>
    <row r="8" spans="1:15" ht="15" customHeight="1" x14ac:dyDescent="0.25">
      <c r="B8" s="356"/>
      <c r="C8" s="356"/>
      <c r="D8" s="356"/>
      <c r="E8" s="356"/>
      <c r="F8" s="356"/>
      <c r="G8" s="356"/>
      <c r="H8" s="356"/>
    </row>
    <row r="9" spans="1:15" ht="15" customHeight="1" x14ac:dyDescent="0.25">
      <c r="B9" s="356"/>
      <c r="C9" s="356"/>
      <c r="D9" s="356"/>
      <c r="E9" s="356"/>
      <c r="F9" s="356"/>
      <c r="G9" s="356"/>
      <c r="H9" s="356"/>
    </row>
    <row r="11" spans="1:15" ht="14.45" x14ac:dyDescent="0.3">
      <c r="B11" s="442" t="s">
        <v>346</v>
      </c>
      <c r="C11" s="442"/>
      <c r="D11" s="442"/>
      <c r="E11" s="442"/>
      <c r="F11" s="442"/>
      <c r="G11" s="442"/>
      <c r="H11" s="442"/>
      <c r="I11" s="442"/>
      <c r="J11" s="442"/>
      <c r="K11" s="442"/>
    </row>
    <row r="12" spans="1:15" ht="15" customHeight="1" x14ac:dyDescent="0.3">
      <c r="B12" s="471" t="s">
        <v>347</v>
      </c>
      <c r="C12" s="472"/>
      <c r="D12" s="79">
        <v>12</v>
      </c>
      <c r="E12" s="355"/>
      <c r="F12" s="355"/>
      <c r="G12" s="355"/>
      <c r="H12" s="355"/>
      <c r="I12" s="355"/>
      <c r="J12" s="355"/>
      <c r="K12" s="355"/>
      <c r="L12" s="80"/>
    </row>
    <row r="13" spans="1:15" ht="14.45" x14ac:dyDescent="0.3">
      <c r="B13" s="471" t="s">
        <v>348</v>
      </c>
      <c r="C13" s="472"/>
      <c r="D13" s="81">
        <v>12</v>
      </c>
      <c r="E13" s="82" t="str">
        <f>IF(D13&gt;0, "Rate Rider Recovery to be used below", "If no rate rider recovery period is proposed then the default recovery period of 12 months will be used")</f>
        <v>Rate Rider Recovery to be used below</v>
      </c>
      <c r="F13" s="82"/>
      <c r="G13" s="82"/>
      <c r="L13" s="80"/>
    </row>
    <row r="14" spans="1:15" ht="14.45" x14ac:dyDescent="0.3">
      <c r="H14" s="83"/>
      <c r="I14" s="83"/>
    </row>
    <row r="15" spans="1:15" ht="42" customHeight="1" x14ac:dyDescent="0.25">
      <c r="B15" s="62"/>
      <c r="C15" s="176"/>
      <c r="D15" s="473" t="s">
        <v>349</v>
      </c>
      <c r="E15" s="474" t="s">
        <v>350</v>
      </c>
      <c r="F15" s="474" t="s">
        <v>351</v>
      </c>
      <c r="G15" s="474" t="s">
        <v>352</v>
      </c>
      <c r="H15" s="475" t="s">
        <v>353</v>
      </c>
      <c r="I15" s="475" t="s">
        <v>354</v>
      </c>
      <c r="J15" s="468" t="s">
        <v>355</v>
      </c>
      <c r="K15" s="468" t="s">
        <v>356</v>
      </c>
      <c r="L15" s="468" t="s">
        <v>357</v>
      </c>
      <c r="N15" s="78"/>
      <c r="O15" s="62"/>
    </row>
    <row r="16" spans="1:15" ht="35.25" customHeight="1" x14ac:dyDescent="0.25">
      <c r="B16" s="177" t="s">
        <v>165</v>
      </c>
      <c r="C16" s="178" t="s">
        <v>166</v>
      </c>
      <c r="D16" s="473"/>
      <c r="E16" s="474"/>
      <c r="F16" s="474"/>
      <c r="G16" s="474"/>
      <c r="H16" s="475"/>
      <c r="I16" s="475"/>
      <c r="J16" s="468"/>
      <c r="K16" s="468"/>
      <c r="L16" s="468"/>
      <c r="M16" s="469" t="s">
        <v>358</v>
      </c>
      <c r="N16" s="470"/>
      <c r="O16" s="167" t="s">
        <v>359</v>
      </c>
    </row>
    <row r="17" spans="1:15" ht="15.75" customHeight="1" x14ac:dyDescent="0.3">
      <c r="B17" s="179" t="str">
        <f>'4. Billing Det. for Def-Var'!B17</f>
        <v>RESIDENTIAL</v>
      </c>
      <c r="C17" s="180" t="str">
        <f>'4. Billing Det. for Def-Var'!C17</f>
        <v>kWh</v>
      </c>
      <c r="D17" s="181">
        <f>'4. Billing Det. for Def-Var'!D17</f>
        <v>1537580328.6899991</v>
      </c>
      <c r="E17" s="181">
        <f>'4. Billing Det. for Def-Var'!E17</f>
        <v>0</v>
      </c>
      <c r="F17" s="181">
        <f>'4. Billing Det. for Def-Var'!J17</f>
        <v>1537580328.6899991</v>
      </c>
      <c r="G17" s="181">
        <f>'4. Billing Det. for Def-Var'!K17</f>
        <v>0</v>
      </c>
      <c r="H17" s="182">
        <f>SUM('5. Allocating Def-Var Balances'!G16:V16)-I17</f>
        <v>-2895155.5115602291</v>
      </c>
      <c r="I17" s="62"/>
      <c r="J17" s="188">
        <f>IF(ISERROR(H17/D17),0,IF(OR(ISBLANK(D$13), OR(D$13=0, D$13="")), H17/D17/(D$12/12), H17/D17/(D$13/12)))</f>
        <v>-1.8829295988892292E-3</v>
      </c>
      <c r="K17" s="188">
        <f>IF(ISERROR(I17/F17),0,IF(OR(ISBLANK(D$13), OR(D$13=0, D$13="")), I17/F17/(D$12/12), I17/F17/(D$13/12)))</f>
        <v>0</v>
      </c>
      <c r="L17" s="188">
        <f>IF(ISERROR('4. Billing Det. for Def-Var'!U17/D17), 0, IF(OR(ISBLANK(D$13), OR(D$13=0, D$13="")), ('4. Billing Det. for Def-Var'!U17/D17)/(D$12/12), ('4. Billing Det. for Def-Var'!U17/D17)/(D$13/12)))</f>
        <v>2.4699125495373706E-4</v>
      </c>
      <c r="M17" s="275">
        <f>J17*D17</f>
        <v>-2895155.5115602291</v>
      </c>
      <c r="N17" s="275">
        <f t="shared" ref="N17:N24" si="0">K17*G17</f>
        <v>0</v>
      </c>
      <c r="O17" s="62"/>
    </row>
    <row r="18" spans="1:15" ht="15.75" customHeight="1" x14ac:dyDescent="0.3">
      <c r="B18" s="179" t="str">
        <f>'4. Billing Det. for Def-Var'!B18</f>
        <v>GENERAL SERVICE LESS THAN 50 KW</v>
      </c>
      <c r="C18" s="180" t="str">
        <f>'4. Billing Det. for Def-Var'!C18</f>
        <v>kWh</v>
      </c>
      <c r="D18" s="181">
        <f>'4. Billing Det. for Def-Var'!D18</f>
        <v>558828431.00972259</v>
      </c>
      <c r="E18" s="181">
        <f>'4. Billing Det. for Def-Var'!E18</f>
        <v>0</v>
      </c>
      <c r="F18" s="181">
        <f>'4. Billing Det. for Def-Var'!J18</f>
        <v>558828431.00972259</v>
      </c>
      <c r="G18" s="181">
        <f>'4. Billing Det. for Def-Var'!K18</f>
        <v>0</v>
      </c>
      <c r="H18" s="182">
        <f>SUM('5. Allocating Def-Var Balances'!G17:V17)-I18</f>
        <v>-1044844.3273638515</v>
      </c>
      <c r="I18" s="62"/>
      <c r="J18" s="188">
        <f>IF(ISERROR(H18/D18),0,IF(OR(ISBLANK(D$13), OR(D$13=0, D$13="")), H18/D18/(D$12/12), H18/D18/(D$13/12)))</f>
        <v>-1.8697050282069007E-3</v>
      </c>
      <c r="K18" s="188">
        <f>IF(ISERROR(I18/F18),0,IF(OR(ISBLANK(D$13), OR(D$13=0, D$13="")), I18/F18/(D$12/12), I18/F18/(D$13/12)))</f>
        <v>0</v>
      </c>
      <c r="L18" s="188">
        <f>IF(ISERROR('4. Billing Det. for Def-Var'!U18/D18), 0, IF(OR(ISBLANK(D$13), OR(D$13=0, D$13="")), ('4. Billing Det. for Def-Var'!U18/D18)/(D$12/12), ('4. Billing Det. for Def-Var'!U18/D18)/(D$13/12)))</f>
        <v>5.3403013180412155E-4</v>
      </c>
      <c r="M18" s="275">
        <f>J18*D18</f>
        <v>-1044844.3273638515</v>
      </c>
      <c r="N18" s="275">
        <f t="shared" si="0"/>
        <v>0</v>
      </c>
      <c r="O18" s="62"/>
    </row>
    <row r="19" spans="1:15" ht="15.75" customHeight="1" x14ac:dyDescent="0.3">
      <c r="B19" s="179" t="str">
        <f>'4. Billing Det. for Def-Var'!B19</f>
        <v>GENERAL SERVICE 50 TO 4,999 KW</v>
      </c>
      <c r="C19" s="180" t="str">
        <f>'4. Billing Det. for Def-Var'!C19</f>
        <v>kW</v>
      </c>
      <c r="D19" s="181">
        <f>'4. Billing Det. for Def-Var'!D19</f>
        <v>1751908545.0163753</v>
      </c>
      <c r="E19" s="181">
        <f>'4. Billing Det. for Def-Var'!E19</f>
        <v>4824433.3829784254</v>
      </c>
      <c r="F19" s="181">
        <f>'4. Billing Det. for Def-Var'!J19</f>
        <v>1751908545.0163753</v>
      </c>
      <c r="G19" s="181">
        <f>'4. Billing Det. for Def-Var'!K19</f>
        <v>4824433.3829784254</v>
      </c>
      <c r="H19" s="182">
        <f>SUM('5. Allocating Def-Var Balances'!G18:V18)-I19</f>
        <v>-3268613.5198207991</v>
      </c>
      <c r="I19" s="182"/>
      <c r="J19" s="188">
        <f>IF(ISERROR(H19/E19),0,IF(OR(ISBLANK(D$13), OR(D$13=0, D$13="")), H19/E19/(D$12/12), H19/E19/(D$13/12)))</f>
        <v>-0.67751241655717065</v>
      </c>
      <c r="K19" s="188">
        <f>IF(ISERROR(I19/G19),0,IF(OR(ISBLANK(D13), OR(D13=0, D13="")), I19/G19/(D12/12), I19/G19/(D$13/12)))</f>
        <v>0</v>
      </c>
      <c r="L19" s="188">
        <f>IF(ISERROR('4. Billing Det. for Def-Var'!U19/E19), 0, IF(OR(ISBLANK(D13), OR(D13=0, D13="")), ('4. Billing Det. for Def-Var'!U19/E19)/(D12/12), ('4. Billing Det. for Def-Var'!U19/E19)/(D13/12)))</f>
        <v>-1.2879289320088102E-2</v>
      </c>
      <c r="M19" s="275">
        <f>J19*E19</f>
        <v>-3268613.5198207991</v>
      </c>
      <c r="N19" s="275">
        <f t="shared" si="0"/>
        <v>0</v>
      </c>
      <c r="O19" s="62"/>
    </row>
    <row r="20" spans="1:15" ht="15.75" customHeight="1" x14ac:dyDescent="0.3">
      <c r="B20" s="179" t="str">
        <f>'4. Billing Det. for Def-Var'!B20</f>
        <v>LARGE USE (1)</v>
      </c>
      <c r="C20" s="180" t="str">
        <f>'4. Billing Det. for Def-Var'!C20</f>
        <v>kW</v>
      </c>
      <c r="D20" s="181">
        <f>'4. Billing Det. for Def-Var'!D20</f>
        <v>220526376.81002384</v>
      </c>
      <c r="E20" s="181">
        <f>'4. Billing Det. for Def-Var'!E20</f>
        <v>456125.73797999998</v>
      </c>
      <c r="F20" s="181">
        <f>'4. Billing Det. for Def-Var'!J20</f>
        <v>185572728.49602383</v>
      </c>
      <c r="G20" s="181">
        <f>'4. Billing Det. for Def-Var'!K20</f>
        <v>338314.53215999994</v>
      </c>
      <c r="H20" s="182">
        <f>SUM('5. Allocating Def-Var Balances'!G19:V19)-I20</f>
        <v>36391.389178287005</v>
      </c>
      <c r="I20" s="182">
        <f>'5. Allocating Def-Var Balances'!I19+'5. Allocating Def-Var Balances'!N19</f>
        <v>-376854.59311400692</v>
      </c>
      <c r="J20" s="188">
        <f>IF(ISERROR(H20/E20),0,IF(OR(ISBLANK(D$13), OR(D$13=0, D$13="")), H20/E20/(D$12/12), H20/E20/(D$13/12)))</f>
        <v>7.9783678376602996E-2</v>
      </c>
      <c r="K20" s="188">
        <f>IF(ISERROR(I20/G20),0,IF(OR(ISBLANK(D14), OR(D14=0, D14="")), I20/G20/(D13/12), I20/G20/(D$13/12)))</f>
        <v>-1.1139178406199239</v>
      </c>
      <c r="L20" s="188">
        <f>IF(ISERROR('4. Billing Det. for Def-Var'!U20/E20), 0, IF(OR(ISBLANK(D13), OR(D13=0, D13="")), ('4. Billing Det. for Def-Var'!U20/E20)/(D12/12), ('4. Billing Det. for Def-Var'!U20/E20)/(D13/12)))</f>
        <v>1.8733351375519278E-2</v>
      </c>
      <c r="M20" s="275">
        <f>J20*E20</f>
        <v>36391.389178287005</v>
      </c>
      <c r="N20" s="275">
        <f t="shared" si="0"/>
        <v>-376854.59311400697</v>
      </c>
      <c r="O20" s="62"/>
    </row>
    <row r="21" spans="1:15" ht="15.75" customHeight="1" x14ac:dyDescent="0.3">
      <c r="B21" s="179" t="str">
        <f>'4. Billing Det. for Def-Var'!B21</f>
        <v>LARGE USE (2)</v>
      </c>
      <c r="C21" s="180" t="str">
        <f>'4. Billing Det. for Def-Var'!C21</f>
        <v>kW</v>
      </c>
      <c r="D21" s="181">
        <f>'4. Billing Det. for Def-Var'!D21</f>
        <v>1050812632.4245863</v>
      </c>
      <c r="E21" s="181">
        <f>'4. Billing Det. for Def-Var'!E21</f>
        <v>1982813.5380800001</v>
      </c>
      <c r="F21" s="181">
        <f>'4. Billing Det. for Def-Var'!J21</f>
        <v>307375989.7355864</v>
      </c>
      <c r="G21" s="181">
        <f>'4. Billing Det. for Def-Var'!K21</f>
        <v>790236.97796000005</v>
      </c>
      <c r="H21" s="182">
        <f>SUM('5. Allocating Def-Var Balances'!G20:V20)-I21</f>
        <v>173405.70326862182</v>
      </c>
      <c r="I21" s="182">
        <f>'5. Allocating Def-Var Balances'!I20+'5. Allocating Def-Var Balances'!N20</f>
        <v>-624208.3871030733</v>
      </c>
      <c r="J21" s="188">
        <f>IF(ISERROR(H21/E21),0,IF(OR(ISBLANK(D$13), OR(D$13=0, D$13="")), H21/E21/(D$12/12), H21/E21/(D$13/12)))</f>
        <v>8.7454367210208883E-2</v>
      </c>
      <c r="K21" s="188">
        <f>IF(ISERROR(I21/G21),0,IF(OR(ISBLANK(D15), OR(D15=0, D15="")), I21/G21/(D14/12), I21/G21/(D$13/12)))</f>
        <v>-0.78990025082661885</v>
      </c>
      <c r="L21" s="188">
        <f>IF(ISERROR('4. Billing Det. for Def-Var'!U21/E21), 0, IF(OR(ISBLANK(D14), OR(D14=0, D14="")), ('4. Billing Det. for Def-Var'!U21/E21)/(D13/12), ('4. Billing Det. for Def-Var'!U21/E21)/(D14/12)))</f>
        <v>5.9717864957378698E-3</v>
      </c>
      <c r="M21" s="275">
        <f>J21*E21</f>
        <v>173405.70326862182</v>
      </c>
      <c r="N21" s="275">
        <f t="shared" si="0"/>
        <v>-624208.3871030733</v>
      </c>
      <c r="O21" s="62"/>
    </row>
    <row r="22" spans="1:15" ht="15.75" customHeight="1" x14ac:dyDescent="0.3">
      <c r="B22" s="179" t="str">
        <f>'4. Billing Det. for Def-Var'!B22</f>
        <v>UNMETERED SCATTERED LOAD</v>
      </c>
      <c r="C22" s="180" t="str">
        <f>'4. Billing Det. for Def-Var'!C22</f>
        <v>kWh</v>
      </c>
      <c r="D22" s="181">
        <f>'4. Billing Det. for Def-Var'!D22</f>
        <v>11347508.416576881</v>
      </c>
      <c r="E22" s="181">
        <f>'4. Billing Det. for Def-Var'!E22</f>
        <v>0</v>
      </c>
      <c r="F22" s="181">
        <f>'4. Billing Det. for Def-Var'!J22</f>
        <v>11347508.416576881</v>
      </c>
      <c r="G22" s="181">
        <f>'4. Billing Det. for Def-Var'!K22</f>
        <v>0</v>
      </c>
      <c r="H22" s="182">
        <f>SUM('5. Allocating Def-Var Balances'!G21:V21)-I22</f>
        <v>-21171.550040220172</v>
      </c>
      <c r="I22" s="62"/>
      <c r="J22" s="188">
        <f>IF(ISERROR(H22/D22),0,IF(OR(ISBLANK(D18), OR(D18=0, D18="")), H22/D22/(D17/12), H22/D22/(D$13/12)))</f>
        <v>-1.8657443786771685E-3</v>
      </c>
      <c r="K22" s="188">
        <f>IF(ISERROR(I22/F22),0,IF(OR(ISBLANK(D18), OR(D18=0, D18="")), I22/F22/(D17/12), I22/F22/(D18/12)))</f>
        <v>0</v>
      </c>
      <c r="L22" s="188">
        <f>IF(ISERROR('4. Billing Det. for Def-Var'!U22/E22), 0, IF(OR(ISBLANK(D13), OR(D13=0, D13="")), ('4. Billing Det. for Def-Var'!U22/E22)/(D12/12), ('4. Billing Det. for Def-Var'!U22/E22)/(D13/12)))</f>
        <v>0</v>
      </c>
      <c r="M22" s="275">
        <f>J22*D22</f>
        <v>-21171.550040220172</v>
      </c>
      <c r="N22" s="275">
        <f t="shared" si="0"/>
        <v>0</v>
      </c>
      <c r="O22" s="62"/>
    </row>
    <row r="23" spans="1:15" ht="15.75" customHeight="1" x14ac:dyDescent="0.3">
      <c r="B23" s="179" t="str">
        <f>'4. Billing Det. for Def-Var'!B23</f>
        <v>SENTINEL LIGHTING</v>
      </c>
      <c r="C23" s="180" t="str">
        <f>'4. Billing Det. for Def-Var'!C23</f>
        <v>kW</v>
      </c>
      <c r="D23" s="181">
        <f>'4. Billing Det. for Def-Var'!D23</f>
        <v>439954.02282899455</v>
      </c>
      <c r="E23" s="181">
        <f>'4. Billing Det. for Def-Var'!E23</f>
        <v>946.91011767210034</v>
      </c>
      <c r="F23" s="181">
        <f>'4. Billing Det. for Def-Var'!J23</f>
        <v>439954.02282899455</v>
      </c>
      <c r="G23" s="181">
        <f>'4. Billing Det. for Def-Var'!K23</f>
        <v>946.91011767210034</v>
      </c>
      <c r="H23" s="182">
        <f>SUM('5. Allocating Def-Var Balances'!G22:V22)-I23</f>
        <v>-820.84174496960327</v>
      </c>
      <c r="I23" s="62"/>
      <c r="J23" s="188">
        <f>IF(ISERROR(H23/E23),0,IF(OR(ISBLANK(D$13), OR(D$13=0, D$13="")), H23/E23/(D$12/12), H23/E23/(D$13/12)))</f>
        <v>-0.86686342204007105</v>
      </c>
      <c r="K23" s="188">
        <f>IF(ISERROR(I23/G23),0,IF(OR(ISBLANK(D17), OR(D17=0, D17="")), I23/G23/(D16/12), I23/G23/(D17/12)))</f>
        <v>0</v>
      </c>
      <c r="L23" s="188">
        <f>IF(ISERROR('4. Billing Det. for Def-Var'!U23/E23), 0, IF(OR(ISBLANK(D13), OR(D13=0, D13="")), ('4. Billing Det. for Def-Var'!U23/E23)/(D12/12), ('4. Billing Det. for Def-Var'!U23/E23)/(D13/12)))</f>
        <v>0</v>
      </c>
      <c r="M23" s="275">
        <f>J23*E23</f>
        <v>-820.84174496960327</v>
      </c>
      <c r="N23" s="275">
        <f t="shared" si="0"/>
        <v>0</v>
      </c>
      <c r="O23" s="62"/>
    </row>
    <row r="24" spans="1:15" ht="15.75" customHeight="1" x14ac:dyDescent="0.3">
      <c r="B24" s="179" t="str">
        <f>'4. Billing Det. for Def-Var'!B24</f>
        <v>STREET LIGHTING</v>
      </c>
      <c r="C24" s="180" t="str">
        <f>'4. Billing Det. for Def-Var'!C24</f>
        <v>kW</v>
      </c>
      <c r="D24" s="181">
        <f>'4. Billing Det. for Def-Var'!D24</f>
        <v>31193672.300799686</v>
      </c>
      <c r="E24" s="181">
        <f>'4. Billing Det. for Def-Var'!E24</f>
        <v>87344.171000000002</v>
      </c>
      <c r="F24" s="181">
        <f>'4. Billing Det. for Def-Var'!J24</f>
        <v>31193672.300799686</v>
      </c>
      <c r="G24" s="181">
        <f>'4. Billing Det. for Def-Var'!K24</f>
        <v>87344.171000000002</v>
      </c>
      <c r="H24" s="182">
        <f>SUM('5. Allocating Def-Var Balances'!G23:V23)-I24</f>
        <v>-58199.418745514711</v>
      </c>
      <c r="I24" s="62"/>
      <c r="J24" s="188">
        <f>IF(ISERROR(H24/E24),0,IF(OR(ISBLANK(D$13), OR(D$13=0, D$13="")), H24/E24/(D$12/12), H24/E24/(D$13/12)))</f>
        <v>-0.66632287053837524</v>
      </c>
      <c r="K24" s="188">
        <f>IF(ISERROR(I24/G24),0,IF(OR(ISBLANK(D18), OR(D18=0, D18="")), I24/G24/(D17/12), I24/G24/(D18/12)))</f>
        <v>0</v>
      </c>
      <c r="L24" s="188">
        <f>IF(ISERROR('4. Billing Det. for Def-Var'!U24/E24), 0, IF(OR(ISBLANK(D13), OR(D13=0, D13="")), ('4. Billing Det. for Def-Var'!U24/E24)/(D12/12), ('4. Billing Det. for Def-Var'!U24/E24)/(D13/12)))</f>
        <v>1.4604739119766088</v>
      </c>
      <c r="M24" s="275">
        <f>J24*E24</f>
        <v>-58199.418745514711</v>
      </c>
      <c r="N24" s="275">
        <f t="shared" si="0"/>
        <v>0</v>
      </c>
      <c r="O24" s="62"/>
    </row>
    <row r="25" spans="1:15" ht="15.75" customHeight="1" x14ac:dyDescent="0.3">
      <c r="B25" s="179"/>
      <c r="C25" s="180"/>
      <c r="D25" s="181"/>
      <c r="E25" s="181"/>
      <c r="F25" s="181"/>
      <c r="G25" s="181"/>
      <c r="H25" s="182"/>
      <c r="I25" s="62"/>
      <c r="J25" s="188"/>
      <c r="K25" s="188"/>
      <c r="L25" s="188"/>
      <c r="M25" s="275"/>
      <c r="N25" s="275"/>
      <c r="O25" s="62"/>
    </row>
    <row r="26" spans="1:15" ht="14.45" x14ac:dyDescent="0.3">
      <c r="B26" s="62"/>
      <c r="C26" s="176"/>
      <c r="D26" s="183"/>
      <c r="E26" s="184"/>
      <c r="F26" s="185"/>
      <c r="G26" s="185"/>
      <c r="H26" s="186"/>
      <c r="I26" s="183"/>
      <c r="J26" s="186"/>
      <c r="K26" s="183"/>
      <c r="L26" s="186"/>
      <c r="M26" s="191"/>
      <c r="N26" s="276"/>
      <c r="O26" s="62"/>
    </row>
    <row r="27" spans="1:15" s="77" customFormat="1" ht="14.45" x14ac:dyDescent="0.3">
      <c r="A27" s="209"/>
      <c r="B27" s="177"/>
      <c r="C27" s="178"/>
      <c r="D27" s="183"/>
      <c r="E27" s="184"/>
      <c r="F27" s="185"/>
      <c r="G27" s="280"/>
      <c r="H27" s="186"/>
      <c r="I27" s="183"/>
      <c r="J27" s="186"/>
      <c r="K27" s="183"/>
      <c r="L27" s="186"/>
      <c r="M27" s="190">
        <f>SUM(M17:M26)</f>
        <v>-7079008.0768286753</v>
      </c>
      <c r="N27" s="190">
        <f>SUM(N17:N26)</f>
        <v>-1001062.9802170803</v>
      </c>
      <c r="O27" s="190">
        <f>SUM(M27:N27)</f>
        <v>-8080071.0570457559</v>
      </c>
    </row>
    <row r="28" spans="1:15" ht="15.75" customHeight="1" x14ac:dyDescent="0.3">
      <c r="B28" s="179"/>
      <c r="C28" s="180"/>
      <c r="D28" s="181"/>
      <c r="E28" s="181"/>
      <c r="F28" s="280"/>
      <c r="G28" s="181"/>
      <c r="H28" s="187"/>
      <c r="I28" s="62"/>
      <c r="J28" s="188"/>
      <c r="K28" s="188"/>
      <c r="L28" s="188"/>
      <c r="M28" s="189"/>
      <c r="N28" s="189"/>
      <c r="O28" s="191">
        <f>O27-'3. Continuity Schedule'!CN41</f>
        <v>-0.35702189616858959</v>
      </c>
    </row>
    <row r="29" spans="1:15" ht="14.45" x14ac:dyDescent="0.3">
      <c r="B29" s="62"/>
      <c r="C29" s="62"/>
      <c r="D29" s="62"/>
      <c r="E29" s="62"/>
      <c r="F29" s="62"/>
      <c r="G29" s="62"/>
      <c r="H29" s="62"/>
      <c r="I29" s="62"/>
      <c r="J29" s="62"/>
      <c r="K29" s="62"/>
      <c r="L29" s="62"/>
      <c r="M29" s="62"/>
      <c r="N29" s="62"/>
      <c r="O29" s="62"/>
    </row>
    <row r="30" spans="1:15" ht="14.45" x14ac:dyDescent="0.3">
      <c r="B30" s="195" t="s">
        <v>360</v>
      </c>
      <c r="C30" s="62"/>
      <c r="D30" s="62"/>
      <c r="E30" s="62"/>
      <c r="F30" s="62"/>
      <c r="G30" s="62"/>
      <c r="H30" s="62"/>
      <c r="I30" s="62"/>
      <c r="J30" s="62"/>
      <c r="K30" s="62"/>
      <c r="L30" s="62"/>
      <c r="M30" s="62"/>
      <c r="N30" s="62"/>
      <c r="O30" s="62"/>
    </row>
    <row r="31" spans="1:15" ht="15" customHeight="1" x14ac:dyDescent="0.3">
      <c r="B31" s="195" t="s">
        <v>361</v>
      </c>
      <c r="C31" s="168"/>
      <c r="D31" s="168"/>
      <c r="E31" s="168"/>
      <c r="F31" s="168"/>
      <c r="G31" s="168"/>
      <c r="H31" s="168"/>
      <c r="I31" s="168"/>
      <c r="J31" s="168"/>
      <c r="K31" s="168"/>
      <c r="L31" s="168"/>
      <c r="M31" s="62"/>
      <c r="N31" s="62"/>
      <c r="O31" s="62"/>
    </row>
    <row r="34" spans="4:15" x14ac:dyDescent="0.25">
      <c r="O34" s="296"/>
    </row>
    <row r="35" spans="4:15" x14ac:dyDescent="0.25">
      <c r="O35" s="296"/>
    </row>
    <row r="36" spans="4:15" x14ac:dyDescent="0.25">
      <c r="D36" s="126"/>
      <c r="E36" s="126"/>
      <c r="F36" s="166"/>
      <c r="G36" s="126"/>
      <c r="H36" s="126"/>
      <c r="O36" s="296"/>
    </row>
    <row r="37" spans="4:15" x14ac:dyDescent="0.25">
      <c r="F37" s="171"/>
      <c r="G37" s="126"/>
      <c r="O37" s="297"/>
    </row>
    <row r="38" spans="4:15" x14ac:dyDescent="0.25">
      <c r="F38" s="166"/>
      <c r="G38" s="170"/>
      <c r="O38" s="297"/>
    </row>
  </sheetData>
  <mergeCells count="14">
    <mergeCell ref="B2:H9"/>
    <mergeCell ref="K15:K16"/>
    <mergeCell ref="L15:L16"/>
    <mergeCell ref="M16:N16"/>
    <mergeCell ref="B11:K11"/>
    <mergeCell ref="B12:C12"/>
    <mergeCell ref="B13:C13"/>
    <mergeCell ref="D15:D16"/>
    <mergeCell ref="E15:E16"/>
    <mergeCell ref="F15:F16"/>
    <mergeCell ref="G15:G16"/>
    <mergeCell ref="H15:H16"/>
    <mergeCell ref="I15:I16"/>
    <mergeCell ref="J15:J16"/>
  </mergeCells>
  <hyperlinks>
    <hyperlink ref="C4" location="Index" display="Back to Index"/>
    <hyperlink ref="A1" location="Index" display="Back to Index"/>
  </hyperlinks>
  <pageMargins left="0.7" right="0.7" top="0.75" bottom="0.75" header="0.3" footer="0.3"/>
  <pageSetup scale="46" orientation="landscape" r:id="rId1"/>
  <colBreaks count="1" manualBreakCount="1">
    <brk id="9" max="1048575" man="1"/>
  </colBreaks>
  <ignoredErrors>
    <ignoredError sqref="J22 M2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CU61"/>
  <sheetViews>
    <sheetView tabSelected="1" view="pageBreakPreview" topLeftCell="B16" zoomScale="70" zoomScaleNormal="70" zoomScaleSheetLayoutView="70" workbookViewId="0">
      <pane xSplit="13" ySplit="4" topLeftCell="CK20" activePane="bottomRight" state="frozen"/>
      <selection pane="topRight" activeCell="O16" sqref="O16"/>
      <selection pane="bottomLeft" activeCell="B20" sqref="B20"/>
      <selection pane="bottomRight" activeCell="CO38" sqref="CO38"/>
    </sheetView>
  </sheetViews>
  <sheetFormatPr defaultColWidth="0" defaultRowHeight="15" outlineLevelCol="1" x14ac:dyDescent="0.25"/>
  <cols>
    <col min="1" max="1" width="9.140625" style="3" hidden="1" customWidth="1"/>
    <col min="2" max="2" width="13.28515625" style="3" bestFit="1" customWidth="1"/>
    <col min="3" max="3" width="87.140625" style="3" customWidth="1"/>
    <col min="4" max="4" width="16.5703125" style="3" customWidth="1"/>
    <col min="5" max="5" width="16.140625" style="61" hidden="1" customWidth="1" outlineLevel="1"/>
    <col min="6" max="6" width="23.140625" style="61" hidden="1" customWidth="1" outlineLevel="1"/>
    <col min="7" max="8" width="18.42578125" style="61" hidden="1" customWidth="1" outlineLevel="1"/>
    <col min="9" max="9" width="14.7109375" style="61" hidden="1" customWidth="1" outlineLevel="1"/>
    <col min="10" max="10" width="14.140625" style="61" hidden="1" customWidth="1" outlineLevel="1"/>
    <col min="11" max="13" width="14.85546875" style="61" hidden="1" customWidth="1" outlineLevel="1"/>
    <col min="14" max="14" width="15.42578125" style="61" hidden="1" customWidth="1" outlineLevel="1"/>
    <col min="15" max="15" width="16.140625" style="61" customWidth="1" collapsed="1"/>
    <col min="16" max="16" width="23.140625" style="61" customWidth="1"/>
    <col min="17" max="18" width="18.42578125" style="61" customWidth="1"/>
    <col min="19" max="19" width="14.7109375" style="61" customWidth="1"/>
    <col min="20" max="20" width="14.140625" style="61" customWidth="1"/>
    <col min="21" max="23" width="14.85546875" style="61" customWidth="1"/>
    <col min="24" max="24" width="15.42578125" style="61" customWidth="1"/>
    <col min="25" max="25" width="16.140625" style="61" customWidth="1"/>
    <col min="26" max="26" width="23.140625" style="61" customWidth="1"/>
    <col min="27" max="28" width="18.42578125" style="61" customWidth="1"/>
    <col min="29" max="29" width="14.7109375" style="61" customWidth="1"/>
    <col min="30" max="30" width="14.140625" style="61" customWidth="1"/>
    <col min="31" max="33" width="14.85546875" style="61" customWidth="1"/>
    <col min="34" max="34" width="15.42578125" style="61" customWidth="1"/>
    <col min="35" max="35" width="16.140625" style="61" customWidth="1"/>
    <col min="36" max="36" width="23.140625" style="61" customWidth="1"/>
    <col min="37" max="38" width="18.42578125" style="61" customWidth="1"/>
    <col min="39" max="39" width="14.7109375" style="61" customWidth="1"/>
    <col min="40" max="40" width="14.140625" style="61" customWidth="1"/>
    <col min="41" max="43" width="14.85546875" style="61" customWidth="1"/>
    <col min="44" max="44" width="15.42578125" style="61" customWidth="1"/>
    <col min="45" max="45" width="16.140625" style="61" customWidth="1"/>
    <col min="46" max="46" width="23.140625" style="61" customWidth="1"/>
    <col min="47" max="48" width="18.42578125" style="61" customWidth="1"/>
    <col min="49" max="49" width="14.7109375" style="61" customWidth="1"/>
    <col min="50" max="50" width="14.140625" style="61" customWidth="1"/>
    <col min="51" max="53" width="14.85546875" style="61" customWidth="1"/>
    <col min="54" max="54" width="15.42578125" style="61" customWidth="1"/>
    <col min="55" max="55" width="16.140625" style="61" customWidth="1"/>
    <col min="56" max="56" width="23.140625" style="61" customWidth="1"/>
    <col min="57" max="58" width="18.42578125" style="61" customWidth="1"/>
    <col min="59" max="59" width="14.7109375" style="61" customWidth="1"/>
    <col min="60" max="60" width="14.140625" style="61" customWidth="1"/>
    <col min="61" max="63" width="14.85546875" style="61" customWidth="1"/>
    <col min="64" max="70" width="15.42578125" style="61" customWidth="1"/>
    <col min="71" max="72" width="14.85546875" style="61" customWidth="1"/>
    <col min="73" max="73" width="16.85546875" style="61" customWidth="1"/>
    <col min="74" max="88" width="17.28515625" style="61" customWidth="1"/>
    <col min="89" max="89" width="26.85546875" style="61" customWidth="1"/>
    <col min="90" max="90" width="26.85546875" style="61" hidden="1" customWidth="1" outlineLevel="1"/>
    <col min="91" max="91" width="21.5703125" style="61" customWidth="1" collapsed="1"/>
    <col min="92" max="93" width="21.5703125" style="61" customWidth="1"/>
    <col min="94" max="94" width="19.85546875" style="61" customWidth="1"/>
    <col min="95" max="16384" width="9.140625" style="3" hidden="1"/>
  </cols>
  <sheetData>
    <row r="1" spans="1:99" ht="12.75" customHeight="1" x14ac:dyDescent="0.3">
      <c r="A1" s="162" t="s">
        <v>0</v>
      </c>
      <c r="B1" s="162" t="s">
        <v>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5"/>
      <c r="CR1" s="5"/>
      <c r="CS1" s="5"/>
      <c r="CT1" s="5"/>
      <c r="CU1" s="5" t="b">
        <v>0</v>
      </c>
    </row>
    <row r="2" spans="1:99" s="102" customFormat="1" ht="22.5" customHeight="1" x14ac:dyDescent="0.2">
      <c r="B2" s="162"/>
      <c r="C2" s="393" t="str">
        <f>+'1. Information Sheet'!B2</f>
        <v>INCENTIVE REGULATION MODEL FOR 2019 FILERS</v>
      </c>
      <c r="D2" s="393"/>
      <c r="E2" s="393"/>
      <c r="F2" s="393"/>
      <c r="G2" s="393"/>
      <c r="H2" s="393"/>
      <c r="I2" s="393"/>
      <c r="J2" s="393"/>
      <c r="K2" s="393"/>
      <c r="L2" s="393"/>
      <c r="M2" s="393"/>
      <c r="N2" s="393"/>
      <c r="O2" s="393"/>
      <c r="P2" s="393"/>
      <c r="Q2" s="39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4"/>
      <c r="CR2" s="104"/>
      <c r="CS2" s="104"/>
      <c r="CT2" s="104"/>
      <c r="CU2" s="104" t="b">
        <v>0</v>
      </c>
    </row>
    <row r="3" spans="1:99" s="102" customFormat="1" ht="22.5" customHeight="1" x14ac:dyDescent="0.2">
      <c r="B3" s="162"/>
      <c r="C3" s="393"/>
      <c r="D3" s="393"/>
      <c r="E3" s="393"/>
      <c r="F3" s="393"/>
      <c r="G3" s="393"/>
      <c r="H3" s="393"/>
      <c r="I3" s="393"/>
      <c r="J3" s="393"/>
      <c r="K3" s="393"/>
      <c r="L3" s="393"/>
      <c r="M3" s="393"/>
      <c r="N3" s="393"/>
      <c r="O3" s="393"/>
      <c r="P3" s="393"/>
      <c r="Q3" s="39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4"/>
      <c r="CR3" s="104"/>
      <c r="CS3" s="104"/>
      <c r="CT3" s="104"/>
      <c r="CU3" s="104" t="b">
        <v>0</v>
      </c>
    </row>
    <row r="4" spans="1:99" s="102" customFormat="1" ht="22.5" customHeight="1" x14ac:dyDescent="0.2">
      <c r="B4" s="162"/>
      <c r="C4" s="393"/>
      <c r="D4" s="393"/>
      <c r="E4" s="393"/>
      <c r="F4" s="393"/>
      <c r="G4" s="393"/>
      <c r="H4" s="393"/>
      <c r="I4" s="393"/>
      <c r="J4" s="393"/>
      <c r="K4" s="393"/>
      <c r="L4" s="393"/>
      <c r="M4" s="393"/>
      <c r="N4" s="393"/>
      <c r="O4" s="393"/>
      <c r="P4" s="393"/>
      <c r="Q4" s="39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4"/>
      <c r="CR4" s="104"/>
      <c r="CS4" s="104"/>
      <c r="CT4" s="104"/>
      <c r="CU4" s="104" t="b">
        <v>0</v>
      </c>
    </row>
    <row r="5" spans="1:99" ht="22.5" customHeight="1" x14ac:dyDescent="0.25">
      <c r="C5" s="393"/>
      <c r="D5" s="393"/>
      <c r="E5" s="393"/>
      <c r="F5" s="393"/>
      <c r="G5" s="393"/>
      <c r="H5" s="393"/>
      <c r="I5" s="393"/>
      <c r="J5" s="393"/>
      <c r="K5" s="393"/>
      <c r="L5" s="393"/>
      <c r="M5" s="393"/>
      <c r="N5" s="393"/>
      <c r="O5" s="393"/>
      <c r="P5" s="393"/>
      <c r="Q5" s="393"/>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5"/>
      <c r="CR5" s="5"/>
      <c r="CS5" s="5"/>
      <c r="CT5" s="5"/>
      <c r="CU5" s="5" t="b">
        <v>0</v>
      </c>
    </row>
    <row r="6" spans="1:99" ht="22.5" customHeight="1" x14ac:dyDescent="0.25">
      <c r="C6" s="393"/>
      <c r="D6" s="393"/>
      <c r="E6" s="393"/>
      <c r="F6" s="393"/>
      <c r="G6" s="393"/>
      <c r="H6" s="393"/>
      <c r="I6" s="393"/>
      <c r="J6" s="393"/>
      <c r="K6" s="393"/>
      <c r="L6" s="393"/>
      <c r="M6" s="393"/>
      <c r="N6" s="393"/>
      <c r="O6" s="393"/>
      <c r="P6" s="393"/>
      <c r="Q6" s="393"/>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5"/>
      <c r="CR6" s="5"/>
      <c r="CS6" s="5"/>
      <c r="CT6" s="5"/>
      <c r="CU6" s="5" t="b">
        <v>0</v>
      </c>
    </row>
    <row r="7" spans="1:99" ht="22.5" customHeight="1" x14ac:dyDescent="0.25">
      <c r="C7" s="393"/>
      <c r="D7" s="393"/>
      <c r="E7" s="393"/>
      <c r="F7" s="393"/>
      <c r="G7" s="393"/>
      <c r="H7" s="393"/>
      <c r="I7" s="393"/>
      <c r="J7" s="393"/>
      <c r="K7" s="393"/>
      <c r="L7" s="393"/>
      <c r="M7" s="393"/>
      <c r="N7" s="393"/>
      <c r="O7" s="393"/>
      <c r="P7" s="393"/>
      <c r="Q7" s="393"/>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5"/>
      <c r="CR7" s="5"/>
      <c r="CS7" s="5"/>
      <c r="CT7" s="5"/>
      <c r="CU7" s="5" t="b">
        <v>0</v>
      </c>
    </row>
    <row r="8" spans="1:99" ht="22.5" customHeight="1" x14ac:dyDescent="0.25">
      <c r="C8" s="393"/>
      <c r="D8" s="393"/>
      <c r="E8" s="393"/>
      <c r="F8" s="393"/>
      <c r="G8" s="393"/>
      <c r="H8" s="393"/>
      <c r="I8" s="393"/>
      <c r="J8" s="393"/>
      <c r="K8" s="393"/>
      <c r="L8" s="393"/>
      <c r="M8" s="393"/>
      <c r="N8" s="393"/>
      <c r="O8" s="393"/>
      <c r="P8" s="393"/>
      <c r="Q8" s="393"/>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5"/>
      <c r="CR8" s="5"/>
      <c r="CS8" s="5"/>
      <c r="CT8" s="5"/>
      <c r="CU8" s="5" t="b">
        <v>0</v>
      </c>
    </row>
    <row r="9" spans="1:99" ht="15" customHeight="1" x14ac:dyDescent="0.25">
      <c r="C9" s="393"/>
      <c r="D9" s="393"/>
      <c r="E9" s="393"/>
      <c r="F9" s="393"/>
      <c r="G9" s="393"/>
      <c r="H9" s="393"/>
      <c r="I9" s="393"/>
      <c r="J9" s="393"/>
      <c r="K9" s="393"/>
      <c r="L9" s="393"/>
      <c r="M9" s="393"/>
      <c r="N9" s="393"/>
      <c r="O9" s="393"/>
      <c r="P9" s="393"/>
      <c r="Q9" s="393"/>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5"/>
      <c r="CR9" s="5"/>
      <c r="CS9" s="5"/>
      <c r="CT9" s="5"/>
      <c r="CU9" s="5" t="b">
        <v>0</v>
      </c>
    </row>
    <row r="10" spans="1:99" ht="14.45" x14ac:dyDescent="0.3">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5"/>
      <c r="CR10" s="5"/>
      <c r="CS10" s="5"/>
      <c r="CT10" s="5"/>
      <c r="CU10" s="5" t="b">
        <v>1</v>
      </c>
    </row>
    <row r="11" spans="1:99" ht="14.45" x14ac:dyDescent="0.3">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5"/>
      <c r="CR11" s="5"/>
      <c r="CS11" s="5"/>
      <c r="CT11" s="5"/>
      <c r="CU11" s="5" t="b">
        <v>1</v>
      </c>
    </row>
    <row r="12" spans="1:99" x14ac:dyDescent="0.25">
      <c r="C12" s="413" t="s">
        <v>25</v>
      </c>
      <c r="D12" s="413"/>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5"/>
      <c r="CR12" s="5"/>
      <c r="CS12" s="5"/>
      <c r="CT12" s="5"/>
      <c r="CU12" s="5"/>
    </row>
    <row r="13" spans="1:99" x14ac:dyDescent="0.25">
      <c r="C13" s="413"/>
      <c r="D13" s="413"/>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5"/>
      <c r="CR13" s="5"/>
      <c r="CS13" s="5"/>
      <c r="CT13" s="5"/>
      <c r="CU13" s="5"/>
    </row>
    <row r="14" spans="1:99" ht="77.25" customHeight="1" x14ac:dyDescent="0.25">
      <c r="C14" s="413"/>
      <c r="D14" s="413"/>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5"/>
      <c r="CR14" s="5"/>
      <c r="CS14" s="5"/>
      <c r="CT14" s="5"/>
      <c r="CU14" s="5"/>
    </row>
    <row r="15" spans="1:99" ht="163.5" customHeight="1" thickBot="1" x14ac:dyDescent="0.3">
      <c r="C15" s="413"/>
      <c r="D15" s="413"/>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302"/>
      <c r="CO15" s="303"/>
      <c r="CP15" s="4"/>
      <c r="CQ15" s="5"/>
      <c r="CR15" s="5"/>
      <c r="CS15" s="5"/>
      <c r="CT15" s="5"/>
      <c r="CU15" s="5"/>
    </row>
    <row r="16" spans="1:99" ht="29.45" thickBot="1" x14ac:dyDescent="0.6">
      <c r="C16" s="6"/>
      <c r="D16" s="7"/>
      <c r="E16" s="381">
        <v>2010</v>
      </c>
      <c r="F16" s="382"/>
      <c r="G16" s="382"/>
      <c r="H16" s="382"/>
      <c r="I16" s="382"/>
      <c r="J16" s="382"/>
      <c r="K16" s="382"/>
      <c r="L16" s="382"/>
      <c r="M16" s="382"/>
      <c r="N16" s="383"/>
      <c r="O16" s="381">
        <v>2011</v>
      </c>
      <c r="P16" s="382"/>
      <c r="Q16" s="382"/>
      <c r="R16" s="382"/>
      <c r="S16" s="382"/>
      <c r="T16" s="382"/>
      <c r="U16" s="382"/>
      <c r="V16" s="382"/>
      <c r="W16" s="382"/>
      <c r="X16" s="383"/>
      <c r="Y16" s="381">
        <v>2012</v>
      </c>
      <c r="Z16" s="382"/>
      <c r="AA16" s="382"/>
      <c r="AB16" s="382"/>
      <c r="AC16" s="382"/>
      <c r="AD16" s="382"/>
      <c r="AE16" s="382"/>
      <c r="AF16" s="382"/>
      <c r="AG16" s="382"/>
      <c r="AH16" s="383"/>
      <c r="AI16" s="381">
        <v>2013</v>
      </c>
      <c r="AJ16" s="382"/>
      <c r="AK16" s="382"/>
      <c r="AL16" s="382"/>
      <c r="AM16" s="382"/>
      <c r="AN16" s="382"/>
      <c r="AO16" s="382"/>
      <c r="AP16" s="382"/>
      <c r="AQ16" s="382"/>
      <c r="AR16" s="383"/>
      <c r="AS16" s="381">
        <v>2014</v>
      </c>
      <c r="AT16" s="382"/>
      <c r="AU16" s="382"/>
      <c r="AV16" s="382"/>
      <c r="AW16" s="382"/>
      <c r="AX16" s="382"/>
      <c r="AY16" s="382"/>
      <c r="AZ16" s="382"/>
      <c r="BA16" s="382"/>
      <c r="BB16" s="382"/>
      <c r="BC16" s="381">
        <v>2015</v>
      </c>
      <c r="BD16" s="382"/>
      <c r="BE16" s="382"/>
      <c r="BF16" s="382"/>
      <c r="BG16" s="382"/>
      <c r="BH16" s="382"/>
      <c r="BI16" s="382"/>
      <c r="BJ16" s="382"/>
      <c r="BK16" s="382"/>
      <c r="BL16" s="383"/>
      <c r="BM16" s="381">
        <v>2016</v>
      </c>
      <c r="BN16" s="382"/>
      <c r="BO16" s="382"/>
      <c r="BP16" s="382"/>
      <c r="BQ16" s="382"/>
      <c r="BR16" s="382"/>
      <c r="BS16" s="382"/>
      <c r="BT16" s="382"/>
      <c r="BU16" s="382"/>
      <c r="BV16" s="383"/>
      <c r="BW16" s="381">
        <v>2017</v>
      </c>
      <c r="BX16" s="382"/>
      <c r="BY16" s="382"/>
      <c r="BZ16" s="382"/>
      <c r="CA16" s="382"/>
      <c r="CB16" s="382"/>
      <c r="CC16" s="382"/>
      <c r="CD16" s="382"/>
      <c r="CE16" s="382"/>
      <c r="CF16" s="383"/>
      <c r="CG16" s="381">
        <v>2018</v>
      </c>
      <c r="CH16" s="382"/>
      <c r="CI16" s="382"/>
      <c r="CJ16" s="383"/>
      <c r="CK16" s="397" t="s">
        <v>26</v>
      </c>
      <c r="CL16" s="398"/>
      <c r="CM16" s="398"/>
      <c r="CN16" s="399"/>
      <c r="CO16" s="130" t="s">
        <v>27</v>
      </c>
      <c r="CP16" s="8"/>
    </row>
    <row r="17" spans="3:99" ht="36.75" customHeight="1" x14ac:dyDescent="0.2">
      <c r="C17" s="400" t="s">
        <v>28</v>
      </c>
      <c r="D17" s="402" t="s">
        <v>29</v>
      </c>
      <c r="E17" s="384" t="s">
        <v>30</v>
      </c>
      <c r="F17" s="376" t="s">
        <v>31</v>
      </c>
      <c r="G17" s="404" t="s">
        <v>32</v>
      </c>
      <c r="H17" s="404" t="s">
        <v>33</v>
      </c>
      <c r="I17" s="404" t="s">
        <v>34</v>
      </c>
      <c r="J17" s="404" t="s">
        <v>35</v>
      </c>
      <c r="K17" s="404" t="s">
        <v>36</v>
      </c>
      <c r="L17" s="404" t="s">
        <v>32</v>
      </c>
      <c r="M17" s="404" t="s">
        <v>37</v>
      </c>
      <c r="N17" s="416" t="s">
        <v>38</v>
      </c>
      <c r="O17" s="394" t="s">
        <v>39</v>
      </c>
      <c r="P17" s="404" t="s">
        <v>40</v>
      </c>
      <c r="Q17" s="404" t="s">
        <v>41</v>
      </c>
      <c r="R17" s="404" t="s">
        <v>42</v>
      </c>
      <c r="S17" s="404" t="s">
        <v>43</v>
      </c>
      <c r="T17" s="404" t="s">
        <v>44</v>
      </c>
      <c r="U17" s="404" t="s">
        <v>45</v>
      </c>
      <c r="V17" s="404" t="s">
        <v>41</v>
      </c>
      <c r="W17" s="376" t="s">
        <v>46</v>
      </c>
      <c r="X17" s="387" t="s">
        <v>47</v>
      </c>
      <c r="Y17" s="384" t="s">
        <v>48</v>
      </c>
      <c r="Z17" s="376" t="s">
        <v>49</v>
      </c>
      <c r="AA17" s="376" t="s">
        <v>50</v>
      </c>
      <c r="AB17" s="376" t="s">
        <v>51</v>
      </c>
      <c r="AC17" s="376" t="s">
        <v>52</v>
      </c>
      <c r="AD17" s="376" t="s">
        <v>53</v>
      </c>
      <c r="AE17" s="376" t="s">
        <v>54</v>
      </c>
      <c r="AF17" s="376" t="s">
        <v>50</v>
      </c>
      <c r="AG17" s="376" t="s">
        <v>55</v>
      </c>
      <c r="AH17" s="387" t="s">
        <v>56</v>
      </c>
      <c r="AI17" s="384" t="s">
        <v>57</v>
      </c>
      <c r="AJ17" s="376" t="s">
        <v>58</v>
      </c>
      <c r="AK17" s="376" t="s">
        <v>59</v>
      </c>
      <c r="AL17" s="376" t="s">
        <v>60</v>
      </c>
      <c r="AM17" s="376" t="s">
        <v>61</v>
      </c>
      <c r="AN17" s="376" t="s">
        <v>62</v>
      </c>
      <c r="AO17" s="376" t="s">
        <v>63</v>
      </c>
      <c r="AP17" s="376" t="s">
        <v>59</v>
      </c>
      <c r="AQ17" s="376" t="s">
        <v>64</v>
      </c>
      <c r="AR17" s="387" t="s">
        <v>65</v>
      </c>
      <c r="AS17" s="384" t="s">
        <v>66</v>
      </c>
      <c r="AT17" s="376" t="s">
        <v>67</v>
      </c>
      <c r="AU17" s="376" t="s">
        <v>68</v>
      </c>
      <c r="AV17" s="376" t="s">
        <v>69</v>
      </c>
      <c r="AW17" s="376" t="s">
        <v>70</v>
      </c>
      <c r="AX17" s="376" t="s">
        <v>71</v>
      </c>
      <c r="AY17" s="376" t="s">
        <v>72</v>
      </c>
      <c r="AZ17" s="376" t="s">
        <v>68</v>
      </c>
      <c r="BA17" s="376" t="s">
        <v>73</v>
      </c>
      <c r="BB17" s="376" t="s">
        <v>74</v>
      </c>
      <c r="BC17" s="384" t="s">
        <v>75</v>
      </c>
      <c r="BD17" s="376" t="s">
        <v>76</v>
      </c>
      <c r="BE17" s="376" t="s">
        <v>77</v>
      </c>
      <c r="BF17" s="376" t="s">
        <v>78</v>
      </c>
      <c r="BG17" s="376" t="s">
        <v>79</v>
      </c>
      <c r="BH17" s="376" t="s">
        <v>80</v>
      </c>
      <c r="BI17" s="376" t="s">
        <v>81</v>
      </c>
      <c r="BJ17" s="376" t="s">
        <v>77</v>
      </c>
      <c r="BK17" s="376" t="s">
        <v>82</v>
      </c>
      <c r="BL17" s="387" t="s">
        <v>83</v>
      </c>
      <c r="BM17" s="384" t="s">
        <v>84</v>
      </c>
      <c r="BN17" s="376" t="s">
        <v>85</v>
      </c>
      <c r="BO17" s="376" t="s">
        <v>86</v>
      </c>
      <c r="BP17" s="376" t="s">
        <v>87</v>
      </c>
      <c r="BQ17" s="376" t="s">
        <v>88</v>
      </c>
      <c r="BR17" s="376" t="s">
        <v>89</v>
      </c>
      <c r="BS17" s="376" t="s">
        <v>90</v>
      </c>
      <c r="BT17" s="376" t="s">
        <v>86</v>
      </c>
      <c r="BU17" s="376" t="s">
        <v>91</v>
      </c>
      <c r="BV17" s="387" t="s">
        <v>92</v>
      </c>
      <c r="BW17" s="384" t="s">
        <v>93</v>
      </c>
      <c r="BX17" s="376" t="s">
        <v>94</v>
      </c>
      <c r="BY17" s="376" t="s">
        <v>95</v>
      </c>
      <c r="BZ17" s="376" t="s">
        <v>96</v>
      </c>
      <c r="CA17" s="376" t="s">
        <v>97</v>
      </c>
      <c r="CB17" s="376" t="s">
        <v>98</v>
      </c>
      <c r="CC17" s="376" t="s">
        <v>99</v>
      </c>
      <c r="CD17" s="376" t="s">
        <v>95</v>
      </c>
      <c r="CE17" s="376" t="s">
        <v>100</v>
      </c>
      <c r="CF17" s="387" t="s">
        <v>101</v>
      </c>
      <c r="CG17" s="384" t="s">
        <v>102</v>
      </c>
      <c r="CH17" s="376" t="s">
        <v>103</v>
      </c>
      <c r="CI17" s="376" t="s">
        <v>104</v>
      </c>
      <c r="CJ17" s="387" t="s">
        <v>105</v>
      </c>
      <c r="CK17" s="384" t="s">
        <v>106</v>
      </c>
      <c r="CL17" s="376" t="s">
        <v>107</v>
      </c>
      <c r="CM17" s="376" t="s">
        <v>108</v>
      </c>
      <c r="CN17" s="376" t="s">
        <v>109</v>
      </c>
      <c r="CO17" s="390" t="s">
        <v>110</v>
      </c>
      <c r="CP17" s="387" t="s">
        <v>111</v>
      </c>
    </row>
    <row r="18" spans="3:99" ht="36.75" customHeight="1" x14ac:dyDescent="0.2">
      <c r="C18" s="401"/>
      <c r="D18" s="403"/>
      <c r="E18" s="385"/>
      <c r="F18" s="379"/>
      <c r="G18" s="405"/>
      <c r="H18" s="407"/>
      <c r="I18" s="405"/>
      <c r="J18" s="407"/>
      <c r="K18" s="405"/>
      <c r="L18" s="405"/>
      <c r="M18" s="407"/>
      <c r="N18" s="417"/>
      <c r="O18" s="395"/>
      <c r="P18" s="407"/>
      <c r="Q18" s="407"/>
      <c r="R18" s="407"/>
      <c r="S18" s="407"/>
      <c r="T18" s="407"/>
      <c r="U18" s="407"/>
      <c r="V18" s="407"/>
      <c r="W18" s="379"/>
      <c r="X18" s="388"/>
      <c r="Y18" s="385"/>
      <c r="Z18" s="379"/>
      <c r="AA18" s="377"/>
      <c r="AB18" s="377"/>
      <c r="AC18" s="377"/>
      <c r="AD18" s="379"/>
      <c r="AE18" s="377"/>
      <c r="AF18" s="377"/>
      <c r="AG18" s="377"/>
      <c r="AH18" s="388"/>
      <c r="AI18" s="385"/>
      <c r="AJ18" s="379"/>
      <c r="AK18" s="377"/>
      <c r="AL18" s="377"/>
      <c r="AM18" s="377"/>
      <c r="AN18" s="379"/>
      <c r="AO18" s="377"/>
      <c r="AP18" s="377"/>
      <c r="AQ18" s="377"/>
      <c r="AR18" s="388"/>
      <c r="AS18" s="385"/>
      <c r="AT18" s="379"/>
      <c r="AU18" s="377"/>
      <c r="AV18" s="377"/>
      <c r="AW18" s="377"/>
      <c r="AX18" s="379"/>
      <c r="AY18" s="377"/>
      <c r="AZ18" s="377"/>
      <c r="BA18" s="377"/>
      <c r="BB18" s="379"/>
      <c r="BC18" s="385"/>
      <c r="BD18" s="379"/>
      <c r="BE18" s="377"/>
      <c r="BF18" s="377"/>
      <c r="BG18" s="377"/>
      <c r="BH18" s="379"/>
      <c r="BI18" s="377"/>
      <c r="BJ18" s="377"/>
      <c r="BK18" s="377"/>
      <c r="BL18" s="388"/>
      <c r="BM18" s="385"/>
      <c r="BN18" s="379"/>
      <c r="BO18" s="377"/>
      <c r="BP18" s="377"/>
      <c r="BQ18" s="377"/>
      <c r="BR18" s="379"/>
      <c r="BS18" s="377"/>
      <c r="BT18" s="377"/>
      <c r="BU18" s="377"/>
      <c r="BV18" s="388"/>
      <c r="BW18" s="385"/>
      <c r="BX18" s="379"/>
      <c r="BY18" s="377"/>
      <c r="BZ18" s="377"/>
      <c r="CA18" s="377"/>
      <c r="CB18" s="379"/>
      <c r="CC18" s="377"/>
      <c r="CD18" s="377"/>
      <c r="CE18" s="377"/>
      <c r="CF18" s="388"/>
      <c r="CG18" s="385"/>
      <c r="CH18" s="379"/>
      <c r="CI18" s="379"/>
      <c r="CJ18" s="388"/>
      <c r="CK18" s="385"/>
      <c r="CL18" s="379"/>
      <c r="CM18" s="379"/>
      <c r="CN18" s="379"/>
      <c r="CO18" s="391"/>
      <c r="CP18" s="388"/>
    </row>
    <row r="19" spans="3:99" ht="36.75" customHeight="1" thickBot="1" x14ac:dyDescent="0.25">
      <c r="C19" s="401"/>
      <c r="D19" s="403"/>
      <c r="E19" s="386"/>
      <c r="F19" s="380"/>
      <c r="G19" s="406"/>
      <c r="H19" s="408"/>
      <c r="I19" s="406"/>
      <c r="J19" s="408"/>
      <c r="K19" s="406"/>
      <c r="L19" s="406"/>
      <c r="M19" s="408"/>
      <c r="N19" s="418"/>
      <c r="O19" s="396"/>
      <c r="P19" s="408"/>
      <c r="Q19" s="408"/>
      <c r="R19" s="408"/>
      <c r="S19" s="408"/>
      <c r="T19" s="408"/>
      <c r="U19" s="408"/>
      <c r="V19" s="408"/>
      <c r="W19" s="380"/>
      <c r="X19" s="389"/>
      <c r="Y19" s="386"/>
      <c r="Z19" s="380"/>
      <c r="AA19" s="378"/>
      <c r="AB19" s="378"/>
      <c r="AC19" s="378"/>
      <c r="AD19" s="380"/>
      <c r="AE19" s="378"/>
      <c r="AF19" s="378"/>
      <c r="AG19" s="378"/>
      <c r="AH19" s="389"/>
      <c r="AI19" s="386"/>
      <c r="AJ19" s="380"/>
      <c r="AK19" s="378"/>
      <c r="AL19" s="378"/>
      <c r="AM19" s="378"/>
      <c r="AN19" s="380"/>
      <c r="AO19" s="378"/>
      <c r="AP19" s="378"/>
      <c r="AQ19" s="378"/>
      <c r="AR19" s="389"/>
      <c r="AS19" s="386"/>
      <c r="AT19" s="380"/>
      <c r="AU19" s="378"/>
      <c r="AV19" s="378"/>
      <c r="AW19" s="378"/>
      <c r="AX19" s="380"/>
      <c r="AY19" s="378"/>
      <c r="AZ19" s="378"/>
      <c r="BA19" s="378"/>
      <c r="BB19" s="380"/>
      <c r="BC19" s="386"/>
      <c r="BD19" s="380"/>
      <c r="BE19" s="378"/>
      <c r="BF19" s="378"/>
      <c r="BG19" s="378"/>
      <c r="BH19" s="380"/>
      <c r="BI19" s="378"/>
      <c r="BJ19" s="378"/>
      <c r="BK19" s="378"/>
      <c r="BL19" s="389"/>
      <c r="BM19" s="386"/>
      <c r="BN19" s="380"/>
      <c r="BO19" s="378"/>
      <c r="BP19" s="378"/>
      <c r="BQ19" s="378"/>
      <c r="BR19" s="380"/>
      <c r="BS19" s="378"/>
      <c r="BT19" s="378"/>
      <c r="BU19" s="378"/>
      <c r="BV19" s="389"/>
      <c r="BW19" s="386"/>
      <c r="BX19" s="380"/>
      <c r="BY19" s="378"/>
      <c r="BZ19" s="378"/>
      <c r="CA19" s="378"/>
      <c r="CB19" s="380"/>
      <c r="CC19" s="378"/>
      <c r="CD19" s="378"/>
      <c r="CE19" s="378"/>
      <c r="CF19" s="389"/>
      <c r="CG19" s="386"/>
      <c r="CH19" s="380"/>
      <c r="CI19" s="380"/>
      <c r="CJ19" s="389"/>
      <c r="CK19" s="386"/>
      <c r="CL19" s="380"/>
      <c r="CM19" s="380"/>
      <c r="CN19" s="380" t="s">
        <v>112</v>
      </c>
      <c r="CO19" s="392"/>
      <c r="CP19" s="389"/>
    </row>
    <row r="20" spans="3:99" ht="23.45" thickBot="1" x14ac:dyDescent="0.35">
      <c r="C20" s="304" t="s">
        <v>113</v>
      </c>
      <c r="D20" s="305"/>
      <c r="E20" s="9"/>
      <c r="F20" s="9"/>
      <c r="G20" s="10"/>
      <c r="H20" s="10"/>
      <c r="I20" s="10"/>
      <c r="J20" s="10"/>
      <c r="K20" s="10"/>
      <c r="L20" s="10"/>
      <c r="M20" s="10"/>
      <c r="N20" s="11"/>
      <c r="O20" s="12"/>
      <c r="P20" s="13"/>
      <c r="Q20" s="10"/>
      <c r="R20" s="10"/>
      <c r="S20" s="10"/>
      <c r="T20" s="10"/>
      <c r="U20" s="10"/>
      <c r="V20" s="10"/>
      <c r="W20" s="14"/>
      <c r="X20" s="15"/>
      <c r="Y20" s="16"/>
      <c r="Z20" s="9"/>
      <c r="AA20" s="14"/>
      <c r="AB20" s="14"/>
      <c r="AC20" s="14"/>
      <c r="AD20" s="14"/>
      <c r="AE20" s="14"/>
      <c r="AF20" s="14"/>
      <c r="AG20" s="14"/>
      <c r="AH20" s="15"/>
      <c r="AI20" s="16"/>
      <c r="AJ20" s="9"/>
      <c r="AK20" s="14"/>
      <c r="AL20" s="14"/>
      <c r="AM20" s="14"/>
      <c r="AN20" s="14"/>
      <c r="AO20" s="14"/>
      <c r="AP20" s="14"/>
      <c r="AQ20" s="14"/>
      <c r="AR20" s="15"/>
      <c r="AS20" s="16"/>
      <c r="AT20" s="9"/>
      <c r="AU20" s="14"/>
      <c r="AV20" s="14"/>
      <c r="AW20" s="14"/>
      <c r="AX20" s="14"/>
      <c r="AY20" s="14"/>
      <c r="AZ20" s="14"/>
      <c r="BA20" s="14"/>
      <c r="BB20" s="17"/>
      <c r="BC20" s="16"/>
      <c r="BD20" s="9"/>
      <c r="BE20" s="14"/>
      <c r="BF20" s="14"/>
      <c r="BG20" s="14"/>
      <c r="BH20" s="14"/>
      <c r="BI20" s="14"/>
      <c r="BJ20" s="14"/>
      <c r="BK20" s="14"/>
      <c r="BL20" s="15"/>
      <c r="BM20" s="16"/>
      <c r="BN20" s="9"/>
      <c r="BO20" s="14"/>
      <c r="BP20" s="14"/>
      <c r="BQ20" s="14"/>
      <c r="BR20" s="14"/>
      <c r="BS20" s="14"/>
      <c r="BT20" s="14"/>
      <c r="BU20" s="14"/>
      <c r="BV20" s="15"/>
      <c r="BW20" s="17"/>
      <c r="BX20" s="17"/>
      <c r="BY20" s="17"/>
      <c r="BZ20" s="17"/>
      <c r="CA20" s="17"/>
      <c r="CB20" s="17"/>
      <c r="CC20" s="17"/>
      <c r="CD20" s="17"/>
      <c r="CE20" s="17"/>
      <c r="CF20" s="17"/>
      <c r="CG20" s="105"/>
      <c r="CH20" s="14"/>
      <c r="CI20" s="14"/>
      <c r="CJ20" s="106"/>
      <c r="CK20" s="18"/>
      <c r="CL20" s="19"/>
      <c r="CM20" s="19"/>
      <c r="CN20" s="19"/>
      <c r="CO20" s="131"/>
      <c r="CP20" s="40"/>
    </row>
    <row r="21" spans="3:99" ht="14.45" thickBot="1" x14ac:dyDescent="0.3">
      <c r="C21" s="20" t="s">
        <v>114</v>
      </c>
      <c r="D21" s="21">
        <v>1550</v>
      </c>
      <c r="E21" s="306"/>
      <c r="F21" s="307"/>
      <c r="G21" s="307"/>
      <c r="H21" s="307"/>
      <c r="I21" s="13">
        <f>E21+F21-G21+H21</f>
        <v>0</v>
      </c>
      <c r="J21" s="307"/>
      <c r="K21" s="307"/>
      <c r="L21" s="307"/>
      <c r="M21" s="307"/>
      <c r="N21" s="13">
        <f>J21+K21-L21+M21</f>
        <v>0</v>
      </c>
      <c r="O21" s="308">
        <f>I21</f>
        <v>0</v>
      </c>
      <c r="P21" s="307">
        <v>115767.79999999999</v>
      </c>
      <c r="Q21" s="307"/>
      <c r="R21" s="307"/>
      <c r="S21" s="13">
        <f t="shared" ref="S21:S31" si="0">O21+P21-Q21+SUM(R21:R21)</f>
        <v>115767.79999999999</v>
      </c>
      <c r="T21" s="13">
        <f t="shared" ref="T21:T37" si="1">N21</f>
        <v>0</v>
      </c>
      <c r="U21" s="307">
        <v>1571.3600000000008</v>
      </c>
      <c r="V21" s="307"/>
      <c r="W21" s="307"/>
      <c r="X21" s="22">
        <f>T21+U21-V21+W21</f>
        <v>1571.3600000000008</v>
      </c>
      <c r="Y21" s="309">
        <f t="shared" ref="Y21:Y37" si="2">S21</f>
        <v>115767.79999999999</v>
      </c>
      <c r="Z21" s="266">
        <v>16682.929999999993</v>
      </c>
      <c r="AA21" s="266"/>
      <c r="AB21" s="266"/>
      <c r="AC21" s="13">
        <f>Y21+Z21-AA21+SUM(AB21:AB21)</f>
        <v>132450.72999999998</v>
      </c>
      <c r="AD21" s="310">
        <f t="shared" ref="AD21:AD37" si="3">X21</f>
        <v>1571.3600000000008</v>
      </c>
      <c r="AE21" s="266">
        <v>1800.8000000000002</v>
      </c>
      <c r="AF21" s="266"/>
      <c r="AG21" s="266"/>
      <c r="AH21" s="23">
        <f>AD21+AE21-AF21+AG21</f>
        <v>3372.1600000000008</v>
      </c>
      <c r="AI21" s="311">
        <f t="shared" ref="AI21:AI37" si="4">AC21</f>
        <v>132450.72999999998</v>
      </c>
      <c r="AJ21" s="266">
        <v>288057.23</v>
      </c>
      <c r="AK21" s="266">
        <v>117339.16</v>
      </c>
      <c r="AL21" s="266"/>
      <c r="AM21" s="13">
        <f t="shared" ref="AM21:AM37" si="5">AI21+AJ21-AK21+SUM(AL21:AL21)</f>
        <v>303168.79999999993</v>
      </c>
      <c r="AN21" s="310">
        <f t="shared" ref="AN21:AN37" si="6">AH21</f>
        <v>3372.1600000000008</v>
      </c>
      <c r="AO21" s="266">
        <v>2247.7599999999998</v>
      </c>
      <c r="AP21" s="266">
        <v>1702</v>
      </c>
      <c r="AQ21" s="266"/>
      <c r="AR21" s="23">
        <f>AN21+AO21-AP21+AQ21</f>
        <v>3917.92</v>
      </c>
      <c r="AS21" s="311">
        <f t="shared" ref="AS21:AS38" si="7">AM21</f>
        <v>303168.79999999993</v>
      </c>
      <c r="AT21" s="266">
        <v>287709.56999999995</v>
      </c>
      <c r="AU21" s="266">
        <v>15111.23</v>
      </c>
      <c r="AV21" s="266"/>
      <c r="AW21" s="13">
        <f t="shared" ref="AW21:AW37" si="8">AS21+AT21-AU21+SUM(AV21:AV21)</f>
        <v>575767.1399999999</v>
      </c>
      <c r="AX21" s="310">
        <f t="shared" ref="AX21:AX37" si="9">AR21</f>
        <v>3917.92</v>
      </c>
      <c r="AY21" s="266">
        <v>6269.8600000000006</v>
      </c>
      <c r="AZ21" s="266">
        <v>1892.3000000000002</v>
      </c>
      <c r="BA21" s="266"/>
      <c r="BB21" s="13">
        <f>AX21+AY21-AZ21+BA21</f>
        <v>8295.48</v>
      </c>
      <c r="BC21" s="311">
        <f t="shared" ref="BC21:BC37" si="10">AW21</f>
        <v>575767.1399999999</v>
      </c>
      <c r="BD21" s="266">
        <v>471028.0500000001</v>
      </c>
      <c r="BE21" s="266">
        <v>288057.57</v>
      </c>
      <c r="BF21" s="266"/>
      <c r="BG21" s="13">
        <f t="shared" ref="BG21:BG37" si="11">BC21+BD21-BE21+SUM(BF21:BF21)</f>
        <v>758737.61999999988</v>
      </c>
      <c r="BH21" s="310">
        <f t="shared" ref="BH21:BH37" si="12">BB21</f>
        <v>8295.48</v>
      </c>
      <c r="BI21" s="266">
        <v>5408.92</v>
      </c>
      <c r="BJ21" s="266">
        <v>6482.1999999999935</v>
      </c>
      <c r="BK21" s="266"/>
      <c r="BL21" s="23">
        <f>BH21+BI21-BJ21+BK21</f>
        <v>7222.2000000000062</v>
      </c>
      <c r="BM21" s="311">
        <f>BG21</f>
        <v>758737.61999999988</v>
      </c>
      <c r="BN21" s="312">
        <v>552752.01</v>
      </c>
      <c r="BO21" s="307">
        <v>287709.56999999989</v>
      </c>
      <c r="BP21" s="307"/>
      <c r="BQ21" s="13">
        <f>BM21+BN21-BO21+SUM(BP21:BP21)</f>
        <v>1023780.06</v>
      </c>
      <c r="BR21" s="310">
        <f t="shared" ref="BR21:BR37" si="13">BL21</f>
        <v>7222.2000000000062</v>
      </c>
      <c r="BS21" s="312">
        <v>8152.7710916666665</v>
      </c>
      <c r="BT21" s="307">
        <v>5244.2199999999993</v>
      </c>
      <c r="BU21" s="307"/>
      <c r="BV21" s="23">
        <f>BR21+BS21-BT21+BU21</f>
        <v>10130.751091666674</v>
      </c>
      <c r="BW21" s="311">
        <f>BQ21</f>
        <v>1023780.06</v>
      </c>
      <c r="BX21" s="312">
        <v>586395.17000000004</v>
      </c>
      <c r="BY21" s="307">
        <v>471028.05</v>
      </c>
      <c r="BZ21" s="307"/>
      <c r="CA21" s="13">
        <f>BW21+BX21-BY21+SUM(BZ21:BZ21)</f>
        <v>1139147.18</v>
      </c>
      <c r="CB21" s="310">
        <f t="shared" ref="CB21:CB38" si="14">BV21</f>
        <v>10130.751091666674</v>
      </c>
      <c r="CC21" s="312">
        <v>10283.85</v>
      </c>
      <c r="CD21" s="307">
        <v>7159.29</v>
      </c>
      <c r="CE21" s="307"/>
      <c r="CF21" s="23">
        <f>CB21+CC21-CD21+CE21</f>
        <v>13255.311091666674</v>
      </c>
      <c r="CG21" s="313">
        <v>552752.01</v>
      </c>
      <c r="CH21" s="312">
        <v>9051.7332016666733</v>
      </c>
      <c r="CI21" s="310">
        <f>CA21-CG21</f>
        <v>586395.16999999993</v>
      </c>
      <c r="CJ21" s="314">
        <f>CF21-CH21</f>
        <v>4203.5778900000005</v>
      </c>
      <c r="CK21" s="315">
        <f>CI21*((1.5%*25%)+(1.89%*75%))</f>
        <v>10511.133422249999</v>
      </c>
      <c r="CL21" s="312"/>
      <c r="CM21" s="316">
        <f>CJ21+CK21+CL21</f>
        <v>14714.71131225</v>
      </c>
      <c r="CN21" s="298">
        <f>SUM(CI21:CL21)</f>
        <v>601109.88131224993</v>
      </c>
      <c r="CO21" s="317">
        <v>1152402.49</v>
      </c>
      <c r="CP21" s="318">
        <f>CO21-SUM(CA21,CF21)</f>
        <v>-1.0916665196418762E-3</v>
      </c>
      <c r="CQ21" s="5"/>
      <c r="CR21" s="5"/>
      <c r="CS21" s="5"/>
      <c r="CT21" s="5"/>
      <c r="CU21" s="5"/>
    </row>
    <row r="22" spans="3:99" ht="14.45" thickBot="1" x14ac:dyDescent="0.3">
      <c r="C22" s="20" t="s">
        <v>115</v>
      </c>
      <c r="D22" s="21">
        <v>1551</v>
      </c>
      <c r="E22" s="306"/>
      <c r="F22" s="307"/>
      <c r="G22" s="307"/>
      <c r="H22" s="307"/>
      <c r="I22" s="13">
        <f>E22+F22-G22+H22</f>
        <v>0</v>
      </c>
      <c r="J22" s="307"/>
      <c r="K22" s="307"/>
      <c r="L22" s="307"/>
      <c r="M22" s="307"/>
      <c r="N22" s="13">
        <f>J22+K22-L22+M22</f>
        <v>0</v>
      </c>
      <c r="O22" s="308">
        <f>I22</f>
        <v>0</v>
      </c>
      <c r="P22" s="307">
        <v>0</v>
      </c>
      <c r="Q22" s="307"/>
      <c r="R22" s="307"/>
      <c r="S22" s="13">
        <f t="shared" si="0"/>
        <v>0</v>
      </c>
      <c r="T22" s="13">
        <f t="shared" si="1"/>
        <v>0</v>
      </c>
      <c r="U22" s="307">
        <v>0</v>
      </c>
      <c r="V22" s="307"/>
      <c r="W22" s="307"/>
      <c r="X22" s="23">
        <f>T22+U22-V22+W22</f>
        <v>0</v>
      </c>
      <c r="Y22" s="311">
        <f t="shared" si="2"/>
        <v>0</v>
      </c>
      <c r="Z22" s="267"/>
      <c r="AA22" s="267"/>
      <c r="AB22" s="267"/>
      <c r="AC22" s="13">
        <f>Y22+Z22-AA22+SUM(AB22:AB22)</f>
        <v>0</v>
      </c>
      <c r="AD22" s="310">
        <f>X22</f>
        <v>0</v>
      </c>
      <c r="AE22" s="267"/>
      <c r="AF22" s="267"/>
      <c r="AG22" s="267"/>
      <c r="AH22" s="23">
        <f>AD22+AE22-AF22+AG22</f>
        <v>0</v>
      </c>
      <c r="AI22" s="311">
        <f t="shared" si="4"/>
        <v>0</v>
      </c>
      <c r="AJ22" s="266">
        <v>-17910.510000000431</v>
      </c>
      <c r="AK22" s="266"/>
      <c r="AL22" s="266"/>
      <c r="AM22" s="13">
        <f t="shared" si="5"/>
        <v>-17910.510000000431</v>
      </c>
      <c r="AN22" s="310">
        <f t="shared" si="6"/>
        <v>0</v>
      </c>
      <c r="AO22" s="266">
        <v>-71.11</v>
      </c>
      <c r="AP22" s="268"/>
      <c r="AQ22" s="319"/>
      <c r="AR22" s="23">
        <f>AN22+AO22-AP22+AQ22</f>
        <v>-71.11</v>
      </c>
      <c r="AS22" s="311">
        <f t="shared" si="7"/>
        <v>-17910.510000000431</v>
      </c>
      <c r="AT22" s="266">
        <v>-18781.050000000076</v>
      </c>
      <c r="AU22" s="266">
        <v>0</v>
      </c>
      <c r="AV22" s="266"/>
      <c r="AW22" s="13">
        <f t="shared" si="8"/>
        <v>-36691.560000000507</v>
      </c>
      <c r="AX22" s="310">
        <f t="shared" si="9"/>
        <v>-71.11</v>
      </c>
      <c r="AY22" s="266">
        <v>-365.06</v>
      </c>
      <c r="AZ22" s="268">
        <v>0</v>
      </c>
      <c r="BA22" s="319"/>
      <c r="BB22" s="13">
        <f>AX22+AY22-AZ22+BA22</f>
        <v>-436.17</v>
      </c>
      <c r="BC22" s="311">
        <f t="shared" si="10"/>
        <v>-36691.560000000507</v>
      </c>
      <c r="BD22" s="266">
        <v>-22681.349999999657</v>
      </c>
      <c r="BE22" s="266">
        <v>-17910.510000000431</v>
      </c>
      <c r="BF22" s="266"/>
      <c r="BG22" s="13">
        <f t="shared" si="11"/>
        <v>-41462.399999999732</v>
      </c>
      <c r="BH22" s="310">
        <f t="shared" si="12"/>
        <v>-436.17</v>
      </c>
      <c r="BI22" s="266">
        <v>-330.71999999999997</v>
      </c>
      <c r="BJ22" s="266">
        <v>-334.39449700000631</v>
      </c>
      <c r="BK22" s="319"/>
      <c r="BL22" s="23">
        <f>BH22+BI22-BJ22+BK22</f>
        <v>-432.49550299999368</v>
      </c>
      <c r="BM22" s="311">
        <f t="shared" ref="BM22:BM37" si="15">BG22</f>
        <v>-41462.399999999732</v>
      </c>
      <c r="BN22" s="312">
        <v>-23673.089999999298</v>
      </c>
      <c r="BO22" s="307">
        <v>-18781.050000000105</v>
      </c>
      <c r="BP22" s="307"/>
      <c r="BQ22" s="13">
        <f>BM22+BN22-BO22+SUM(BP22:BP22)</f>
        <v>-46354.439999998925</v>
      </c>
      <c r="BR22" s="310">
        <f t="shared" si="13"/>
        <v>-432.49550299999368</v>
      </c>
      <c r="BS22" s="312">
        <v>-366.13353333332844</v>
      </c>
      <c r="BT22" s="24">
        <v>-325.74311624999581</v>
      </c>
      <c r="BU22" s="25"/>
      <c r="BV22" s="23">
        <f>BR22+BS22-BT22+BU22</f>
        <v>-472.88592008332631</v>
      </c>
      <c r="BW22" s="311">
        <f t="shared" ref="BW22:BW38" si="16">BQ22</f>
        <v>-46354.439999998925</v>
      </c>
      <c r="BX22" s="312">
        <v>-27963.919999999998</v>
      </c>
      <c r="BY22" s="307">
        <v>-22681.35</v>
      </c>
      <c r="BZ22" s="307"/>
      <c r="CA22" s="13">
        <f>BW22+BX22-BY22+SUM(BZ22:BZ22)</f>
        <v>-51637.009999998925</v>
      </c>
      <c r="CB22" s="310">
        <f t="shared" si="14"/>
        <v>-472.88592008332631</v>
      </c>
      <c r="CC22" s="312">
        <v>-432.21</v>
      </c>
      <c r="CD22" s="24">
        <v>-356.25</v>
      </c>
      <c r="CE22" s="25"/>
      <c r="CF22" s="23">
        <f>CB22+CC22-CD22+CE22</f>
        <v>-548.84592008332629</v>
      </c>
      <c r="CG22" s="313">
        <v>-23673.089999999269</v>
      </c>
      <c r="CH22" s="312">
        <v>-377.03908133332328</v>
      </c>
      <c r="CI22" s="310">
        <f t="shared" ref="CI22:CI38" si="17">CA22-CG22</f>
        <v>-27963.919999999656</v>
      </c>
      <c r="CJ22" s="314">
        <f t="shared" ref="CJ22:CJ38" si="18">CF22-CH22</f>
        <v>-171.80683875000301</v>
      </c>
      <c r="CK22" s="315">
        <f t="shared" ref="CK22:CK38" si="19">CI22*((1.5%*25%)+(1.89%*75%))</f>
        <v>-501.25326599999386</v>
      </c>
      <c r="CL22" s="312"/>
      <c r="CM22" s="316">
        <f>CJ22+CK22+CL22</f>
        <v>-673.06010474999687</v>
      </c>
      <c r="CN22" s="298">
        <f t="shared" ref="CN22:CN29" si="20">SUM(CI22:CL22)</f>
        <v>-28636.980104749651</v>
      </c>
      <c r="CO22" s="317">
        <v>-52185.86</v>
      </c>
      <c r="CP22" s="318">
        <f t="shared" ref="CP22:CP37" si="21">CO22-SUM(CA22,CF22)</f>
        <v>-4.0799177513690665E-3</v>
      </c>
      <c r="CQ22" s="5"/>
      <c r="CR22" s="5"/>
      <c r="CS22" s="5"/>
      <c r="CT22" s="5"/>
      <c r="CU22" s="5"/>
    </row>
    <row r="23" spans="3:99" s="264" customFormat="1" ht="14.45" thickBot="1" x14ac:dyDescent="0.3">
      <c r="C23" s="26" t="s">
        <v>116</v>
      </c>
      <c r="D23" s="21">
        <v>1580</v>
      </c>
      <c r="E23" s="306"/>
      <c r="F23" s="307"/>
      <c r="G23" s="307"/>
      <c r="H23" s="307"/>
      <c r="I23" s="13">
        <f t="shared" ref="I23:I37" si="22">E23+F23-G23+H23</f>
        <v>0</v>
      </c>
      <c r="J23" s="307"/>
      <c r="K23" s="307"/>
      <c r="L23" s="307"/>
      <c r="M23" s="307"/>
      <c r="N23" s="13">
        <f t="shared" ref="N23:N37" si="23">J23+K23-L23+M23</f>
        <v>0</v>
      </c>
      <c r="O23" s="311">
        <f t="shared" ref="O23:O25" si="24">I23</f>
        <v>0</v>
      </c>
      <c r="P23" s="307">
        <v>-5518757.6099999947</v>
      </c>
      <c r="Q23" s="307"/>
      <c r="R23" s="307"/>
      <c r="S23" s="13">
        <f t="shared" ref="S23:S25" si="25">O23+P23-Q23+SUM(R23:R23)</f>
        <v>-5518757.6099999947</v>
      </c>
      <c r="T23" s="13">
        <f t="shared" si="1"/>
        <v>0</v>
      </c>
      <c r="U23" s="307">
        <v>-58243.990000000005</v>
      </c>
      <c r="V23" s="307"/>
      <c r="W23" s="307"/>
      <c r="X23" s="23">
        <f t="shared" ref="X23:X25" si="26">T23+U23-V23+W23</f>
        <v>-58243.990000000005</v>
      </c>
      <c r="Y23" s="320">
        <f t="shared" si="2"/>
        <v>-5518757.6099999947</v>
      </c>
      <c r="Z23" s="266">
        <v>-6544300.1500000022</v>
      </c>
      <c r="AA23" s="266"/>
      <c r="AB23" s="266"/>
      <c r="AC23" s="13">
        <f t="shared" ref="AC23:AC25" si="27">Y23+Z23-AA23+SUM(AB23:AB23)</f>
        <v>-12063057.759999998</v>
      </c>
      <c r="AD23" s="310">
        <f t="shared" ref="AD23:AD25" si="28">X23</f>
        <v>-58243.990000000005</v>
      </c>
      <c r="AE23" s="266">
        <v>-125746.44</v>
      </c>
      <c r="AF23" s="266"/>
      <c r="AG23" s="266"/>
      <c r="AH23" s="23">
        <f t="shared" ref="AH23:AH25" si="29">AD23+AE23-AF23+AG23</f>
        <v>-183990.43</v>
      </c>
      <c r="AI23" s="320">
        <f t="shared" si="4"/>
        <v>-12063057.759999998</v>
      </c>
      <c r="AJ23" s="266">
        <v>-3416930.3099999949</v>
      </c>
      <c r="AK23" s="266">
        <v>-5577001.5999999996</v>
      </c>
      <c r="AL23" s="266">
        <v>16968</v>
      </c>
      <c r="AM23" s="13">
        <f t="shared" si="5"/>
        <v>-9886018.4699999932</v>
      </c>
      <c r="AN23" s="321">
        <f t="shared" si="6"/>
        <v>-183990.43</v>
      </c>
      <c r="AO23" s="266">
        <v>-134976.81</v>
      </c>
      <c r="AP23" s="266">
        <v>-81126</v>
      </c>
      <c r="AQ23" s="266"/>
      <c r="AR23" s="23">
        <f t="shared" ref="AR23:AR25" si="30">AN23+AO23-AP23+AQ23</f>
        <v>-237841.24</v>
      </c>
      <c r="AS23" s="320">
        <f t="shared" si="7"/>
        <v>-9886018.4699999932</v>
      </c>
      <c r="AT23" s="266">
        <v>-750596.12999999523</v>
      </c>
      <c r="AU23" s="266">
        <v>-6486055.7400000002</v>
      </c>
      <c r="AV23" s="266">
        <v>-428586</v>
      </c>
      <c r="AW23" s="13">
        <f t="shared" si="8"/>
        <v>-4579144.8599999882</v>
      </c>
      <c r="AX23" s="321">
        <f t="shared" si="9"/>
        <v>-237841.24</v>
      </c>
      <c r="AY23" s="266">
        <v>-28008.970000000005</v>
      </c>
      <c r="AZ23" s="266">
        <v>-198209.45</v>
      </c>
      <c r="BA23" s="266"/>
      <c r="BB23" s="13">
        <f t="shared" ref="BB23:BB25" si="31">AX23+AY23-AZ23+BA23</f>
        <v>-67640.760000000009</v>
      </c>
      <c r="BC23" s="320">
        <f t="shared" si="10"/>
        <v>-4579144.8599999882</v>
      </c>
      <c r="BD23" s="266">
        <v>-10407994.030000001</v>
      </c>
      <c r="BE23" s="266">
        <v>-3399962.7300000004</v>
      </c>
      <c r="BF23" s="266"/>
      <c r="BG23" s="13">
        <f t="shared" si="11"/>
        <v>-11587176.159999989</v>
      </c>
      <c r="BH23" s="321">
        <f t="shared" si="12"/>
        <v>-67640.760000000009</v>
      </c>
      <c r="BI23" s="266">
        <v>-49704.58</v>
      </c>
      <c r="BJ23" s="266">
        <v>-184956.261509</v>
      </c>
      <c r="BK23" s="266"/>
      <c r="BL23" s="23">
        <f t="shared" ref="BL23:BL25" si="32">BH23+BI23-BJ23+BK23</f>
        <v>67610.921508999993</v>
      </c>
      <c r="BM23" s="320">
        <f t="shared" si="15"/>
        <v>-11587176.159999989</v>
      </c>
      <c r="BN23" s="312">
        <v>-4482608.5399999889</v>
      </c>
      <c r="BO23" s="307">
        <v>-1179182.1299999952</v>
      </c>
      <c r="BP23" s="307"/>
      <c r="BQ23" s="13">
        <f>BM23+BN23-BO23+SUM(BP23:BP23)</f>
        <v>-14890602.569999982</v>
      </c>
      <c r="BR23" s="321">
        <f t="shared" si="13"/>
        <v>67610.921508999993</v>
      </c>
      <c r="BS23" s="312">
        <v>-138990.09154250001</v>
      </c>
      <c r="BT23" s="307">
        <v>104324.321509</v>
      </c>
      <c r="BU23" s="307"/>
      <c r="BV23" s="23">
        <f t="shared" ref="BV23:BV25" si="33">BR23+BS23-BT23+BU23</f>
        <v>-175703.49154250004</v>
      </c>
      <c r="BW23" s="320">
        <f t="shared" si="16"/>
        <v>-14890602.569999982</v>
      </c>
      <c r="BX23" s="312">
        <f>-4605646.76+173.67</f>
        <v>-4605473.09</v>
      </c>
      <c r="BY23" s="307">
        <v>-10407994.029999999</v>
      </c>
      <c r="BZ23" s="307"/>
      <c r="CA23" s="13">
        <f>BW23+BX23-BY23+SUM(BZ23:BZ23)</f>
        <v>-9088081.6299999822</v>
      </c>
      <c r="CB23" s="321">
        <f t="shared" si="14"/>
        <v>-175703.49154250004</v>
      </c>
      <c r="CC23" s="312">
        <v>-85982.75</v>
      </c>
      <c r="CD23" s="307">
        <v>-150131.01</v>
      </c>
      <c r="CE23" s="307"/>
      <c r="CF23" s="23">
        <f t="shared" ref="CF23:CF38" si="34">CB23+CC23-CD23+CE23</f>
        <v>-111555.23154250003</v>
      </c>
      <c r="CG23" s="313">
        <v>-4482608.5399999805</v>
      </c>
      <c r="CH23" s="312">
        <v>-74881.176991499829</v>
      </c>
      <c r="CI23" s="310">
        <f t="shared" si="17"/>
        <v>-4605473.0900000017</v>
      </c>
      <c r="CJ23" s="314">
        <f t="shared" si="18"/>
        <v>-36674.054551000198</v>
      </c>
      <c r="CK23" s="315">
        <f t="shared" si="19"/>
        <v>-82553.10513825003</v>
      </c>
      <c r="CL23" s="312"/>
      <c r="CM23" s="269">
        <f>CJ23+CK23+CL23</f>
        <v>-119227.15968925023</v>
      </c>
      <c r="CN23" s="298">
        <f>SUM(CI23:CL23)</f>
        <v>-4724700.2496892512</v>
      </c>
      <c r="CO23" s="317">
        <v>-9199636.8599999994</v>
      </c>
      <c r="CP23" s="318">
        <f t="shared" si="21"/>
        <v>1.5424825251102448E-3</v>
      </c>
      <c r="CQ23" s="265"/>
      <c r="CR23" s="265"/>
      <c r="CS23" s="265"/>
      <c r="CT23" s="265"/>
      <c r="CU23" s="265"/>
    </row>
    <row r="24" spans="3:99" s="264" customFormat="1" thickBot="1" x14ac:dyDescent="0.25">
      <c r="C24" s="26" t="s">
        <v>117</v>
      </c>
      <c r="D24" s="21">
        <v>1580</v>
      </c>
      <c r="E24" s="306"/>
      <c r="F24" s="307"/>
      <c r="G24" s="307"/>
      <c r="H24" s="307"/>
      <c r="I24" s="13">
        <f t="shared" si="22"/>
        <v>0</v>
      </c>
      <c r="J24" s="307"/>
      <c r="K24" s="307"/>
      <c r="L24" s="307"/>
      <c r="M24" s="307"/>
      <c r="N24" s="13">
        <f t="shared" si="23"/>
        <v>0</v>
      </c>
      <c r="O24" s="311">
        <f t="shared" si="24"/>
        <v>0</v>
      </c>
      <c r="P24" s="307">
        <v>0</v>
      </c>
      <c r="Q24" s="307"/>
      <c r="R24" s="307"/>
      <c r="S24" s="13">
        <f t="shared" si="25"/>
        <v>0</v>
      </c>
      <c r="T24" s="13">
        <f t="shared" si="1"/>
        <v>0</v>
      </c>
      <c r="U24" s="307">
        <v>0</v>
      </c>
      <c r="V24" s="307"/>
      <c r="W24" s="307"/>
      <c r="X24" s="23">
        <f t="shared" si="26"/>
        <v>0</v>
      </c>
      <c r="Y24" s="320">
        <f t="shared" si="2"/>
        <v>0</v>
      </c>
      <c r="Z24" s="267"/>
      <c r="AA24" s="267"/>
      <c r="AB24" s="267"/>
      <c r="AC24" s="13">
        <f t="shared" si="27"/>
        <v>0</v>
      </c>
      <c r="AD24" s="310">
        <f t="shared" si="28"/>
        <v>0</v>
      </c>
      <c r="AE24" s="267"/>
      <c r="AF24" s="267"/>
      <c r="AG24" s="267"/>
      <c r="AH24" s="23">
        <f t="shared" si="29"/>
        <v>0</v>
      </c>
      <c r="AI24" s="320">
        <f t="shared" si="4"/>
        <v>0</v>
      </c>
      <c r="AJ24" s="267"/>
      <c r="AK24" s="267"/>
      <c r="AL24" s="267"/>
      <c r="AM24" s="13">
        <f t="shared" si="5"/>
        <v>0</v>
      </c>
      <c r="AN24" s="321">
        <f t="shared" si="6"/>
        <v>0</v>
      </c>
      <c r="AO24" s="267"/>
      <c r="AP24" s="267"/>
      <c r="AQ24" s="267"/>
      <c r="AR24" s="23">
        <f t="shared" si="30"/>
        <v>0</v>
      </c>
      <c r="AS24" s="320">
        <f t="shared" si="7"/>
        <v>0</v>
      </c>
      <c r="AT24" s="267"/>
      <c r="AU24" s="267"/>
      <c r="AV24" s="267"/>
      <c r="AW24" s="13">
        <f t="shared" si="8"/>
        <v>0</v>
      </c>
      <c r="AX24" s="321">
        <f t="shared" si="9"/>
        <v>0</v>
      </c>
      <c r="AY24" s="267"/>
      <c r="AZ24" s="267"/>
      <c r="BA24" s="267"/>
      <c r="BB24" s="13">
        <f t="shared" si="31"/>
        <v>0</v>
      </c>
      <c r="BC24" s="320">
        <f t="shared" si="10"/>
        <v>0</v>
      </c>
      <c r="BD24" s="266">
        <v>124743.51999999997</v>
      </c>
      <c r="BE24" s="266"/>
      <c r="BF24" s="266"/>
      <c r="BG24" s="13">
        <f>BC24+BD24-BE24+SUM(BF24:BF24)</f>
        <v>124743.51999999997</v>
      </c>
      <c r="BH24" s="321">
        <f t="shared" si="12"/>
        <v>0</v>
      </c>
      <c r="BI24" s="266">
        <v>374.96999999999997</v>
      </c>
      <c r="BJ24" s="266"/>
      <c r="BK24" s="266"/>
      <c r="BL24" s="23">
        <f t="shared" si="32"/>
        <v>374.96999999999997</v>
      </c>
      <c r="BM24" s="320">
        <f t="shared" si="15"/>
        <v>124743.51999999997</v>
      </c>
      <c r="BN24" s="312">
        <v>-124743.54000000001</v>
      </c>
      <c r="BO24" s="307"/>
      <c r="BP24" s="307"/>
      <c r="BQ24" s="13">
        <f>BM24+BN24-BO24+SUM(BP24:BP24)</f>
        <v>-2.0000000033178367E-2</v>
      </c>
      <c r="BR24" s="321">
        <f t="shared" si="13"/>
        <v>374.96999999999997</v>
      </c>
      <c r="BS24" s="312">
        <v>-374.97</v>
      </c>
      <c r="BT24" s="307"/>
      <c r="BU24" s="307"/>
      <c r="BV24" s="23">
        <f t="shared" si="33"/>
        <v>-5.6843418860808015E-14</v>
      </c>
      <c r="BW24" s="320">
        <f t="shared" si="16"/>
        <v>-2.0000000033178367E-2</v>
      </c>
      <c r="BX24" s="312"/>
      <c r="BY24" s="307"/>
      <c r="BZ24" s="307"/>
      <c r="CA24" s="13">
        <f>BW24+BX24-BY24+SUM(BZ24:BZ24)</f>
        <v>-2.0000000033178367E-2</v>
      </c>
      <c r="CB24" s="321">
        <f t="shared" si="14"/>
        <v>-5.6843418860808015E-14</v>
      </c>
      <c r="CC24" s="312"/>
      <c r="CD24" s="307"/>
      <c r="CE24" s="307"/>
      <c r="CF24" s="23">
        <f t="shared" si="34"/>
        <v>-5.6843418860808015E-14</v>
      </c>
      <c r="CG24" s="313">
        <v>-2.0000000033178367E-2</v>
      </c>
      <c r="CH24" s="312">
        <v>-2.2000000042180545E-4</v>
      </c>
      <c r="CI24" s="310">
        <f t="shared" si="17"/>
        <v>0</v>
      </c>
      <c r="CJ24" s="314">
        <f t="shared" si="18"/>
        <v>2.2000000036496203E-4</v>
      </c>
      <c r="CK24" s="315">
        <f t="shared" si="19"/>
        <v>0</v>
      </c>
      <c r="CL24" s="312"/>
      <c r="CM24" s="269">
        <f>CJ24+CK24+CL24</f>
        <v>2.2000000036496203E-4</v>
      </c>
      <c r="CN24" s="298">
        <f t="shared" si="20"/>
        <v>2.2000000036496203E-4</v>
      </c>
      <c r="CO24" s="317">
        <v>0</v>
      </c>
      <c r="CP24" s="318">
        <f t="shared" si="21"/>
        <v>2.000000003323521E-2</v>
      </c>
      <c r="CQ24" s="265"/>
      <c r="CR24" s="265"/>
      <c r="CS24" s="265"/>
      <c r="CT24" s="265"/>
      <c r="CU24" s="265"/>
    </row>
    <row r="25" spans="3:99" s="264" customFormat="1" thickBot="1" x14ac:dyDescent="0.25">
      <c r="C25" s="26" t="s">
        <v>118</v>
      </c>
      <c r="D25" s="21">
        <v>1580</v>
      </c>
      <c r="E25" s="306"/>
      <c r="F25" s="307"/>
      <c r="G25" s="307"/>
      <c r="H25" s="307"/>
      <c r="I25" s="13">
        <f t="shared" si="22"/>
        <v>0</v>
      </c>
      <c r="J25" s="307"/>
      <c r="K25" s="307"/>
      <c r="L25" s="307"/>
      <c r="M25" s="307"/>
      <c r="N25" s="13">
        <f t="shared" si="23"/>
        <v>0</v>
      </c>
      <c r="O25" s="311">
        <f t="shared" si="24"/>
        <v>0</v>
      </c>
      <c r="P25" s="307">
        <v>0</v>
      </c>
      <c r="Q25" s="307"/>
      <c r="R25" s="307"/>
      <c r="S25" s="13">
        <f t="shared" si="25"/>
        <v>0</v>
      </c>
      <c r="T25" s="13">
        <f t="shared" si="1"/>
        <v>0</v>
      </c>
      <c r="U25" s="307">
        <v>0</v>
      </c>
      <c r="V25" s="307"/>
      <c r="W25" s="307"/>
      <c r="X25" s="23">
        <f t="shared" si="26"/>
        <v>0</v>
      </c>
      <c r="Y25" s="320">
        <f t="shared" si="2"/>
        <v>0</v>
      </c>
      <c r="Z25" s="267"/>
      <c r="AA25" s="267"/>
      <c r="AB25" s="267"/>
      <c r="AC25" s="13">
        <f t="shared" si="27"/>
        <v>0</v>
      </c>
      <c r="AD25" s="310">
        <f t="shared" si="28"/>
        <v>0</v>
      </c>
      <c r="AE25" s="267"/>
      <c r="AF25" s="267"/>
      <c r="AG25" s="267"/>
      <c r="AH25" s="23">
        <f t="shared" si="29"/>
        <v>0</v>
      </c>
      <c r="AI25" s="320">
        <f t="shared" si="4"/>
        <v>0</v>
      </c>
      <c r="AJ25" s="267"/>
      <c r="AK25" s="267"/>
      <c r="AL25" s="267"/>
      <c r="AM25" s="13">
        <f t="shared" si="5"/>
        <v>0</v>
      </c>
      <c r="AN25" s="321">
        <f t="shared" si="6"/>
        <v>0</v>
      </c>
      <c r="AO25" s="267"/>
      <c r="AP25" s="267"/>
      <c r="AQ25" s="267"/>
      <c r="AR25" s="23">
        <f t="shared" si="30"/>
        <v>0</v>
      </c>
      <c r="AS25" s="320">
        <f t="shared" si="7"/>
        <v>0</v>
      </c>
      <c r="AT25" s="267"/>
      <c r="AU25" s="267"/>
      <c r="AV25" s="267"/>
      <c r="AW25" s="13">
        <f t="shared" si="8"/>
        <v>0</v>
      </c>
      <c r="AX25" s="321">
        <f t="shared" si="9"/>
        <v>0</v>
      </c>
      <c r="AY25" s="267"/>
      <c r="AZ25" s="267"/>
      <c r="BA25" s="267"/>
      <c r="BB25" s="13">
        <f t="shared" si="31"/>
        <v>0</v>
      </c>
      <c r="BC25" s="320">
        <f t="shared" si="10"/>
        <v>0</v>
      </c>
      <c r="BD25" s="266">
        <v>1108630.1000000001</v>
      </c>
      <c r="BE25" s="266"/>
      <c r="BF25" s="266"/>
      <c r="BG25" s="13">
        <f t="shared" si="11"/>
        <v>1108630.1000000001</v>
      </c>
      <c r="BH25" s="321">
        <f t="shared" si="12"/>
        <v>0</v>
      </c>
      <c r="BI25" s="266">
        <v>3562.9900000000002</v>
      </c>
      <c r="BJ25" s="266"/>
      <c r="BK25" s="266"/>
      <c r="BL25" s="23">
        <f t="shared" si="32"/>
        <v>3562.9900000000002</v>
      </c>
      <c r="BM25" s="320">
        <f t="shared" si="15"/>
        <v>1108630.1000000001</v>
      </c>
      <c r="BN25" s="312">
        <v>-185940.40999999992</v>
      </c>
      <c r="BO25" s="307"/>
      <c r="BP25" s="307"/>
      <c r="BQ25" s="13">
        <f t="shared" ref="BQ25" si="35">BM25+BN25-BO25+SUM(BP25:BP25)</f>
        <v>922689.69000000018</v>
      </c>
      <c r="BR25" s="321">
        <f t="shared" si="13"/>
        <v>3562.9900000000002</v>
      </c>
      <c r="BS25" s="312">
        <v>11337.264244166667</v>
      </c>
      <c r="BT25" s="307"/>
      <c r="BU25" s="307"/>
      <c r="BV25" s="23">
        <f t="shared" si="33"/>
        <v>14900.254244166666</v>
      </c>
      <c r="BW25" s="320">
        <f t="shared" si="16"/>
        <v>922689.69000000018</v>
      </c>
      <c r="BX25" s="312">
        <f>-55141.27-184.99</f>
        <v>-55326.259999999995</v>
      </c>
      <c r="BY25" s="307">
        <v>1108630.1000000001</v>
      </c>
      <c r="BZ25" s="307"/>
      <c r="CA25" s="13">
        <f t="shared" ref="CA25:CA38" si="36">BW25+BX25-BY25+SUM(BZ25:BZ25)</f>
        <v>-241266.66999999993</v>
      </c>
      <c r="CB25" s="321">
        <f t="shared" si="14"/>
        <v>14900.254244166666</v>
      </c>
      <c r="CC25" s="312">
        <v>-1607.39</v>
      </c>
      <c r="CD25" s="307">
        <v>15757.92</v>
      </c>
      <c r="CE25" s="307"/>
      <c r="CF25" s="23">
        <f t="shared" si="34"/>
        <v>-2465.055755833333</v>
      </c>
      <c r="CG25" s="313">
        <v>-185940.40999999992</v>
      </c>
      <c r="CH25" s="312">
        <v>-2903.0102658333326</v>
      </c>
      <c r="CI25" s="310">
        <f t="shared" si="17"/>
        <v>-55326.260000000009</v>
      </c>
      <c r="CJ25" s="314">
        <f t="shared" si="18"/>
        <v>437.95450999999957</v>
      </c>
      <c r="CK25" s="315">
        <f t="shared" si="19"/>
        <v>-991.72321050000016</v>
      </c>
      <c r="CL25" s="312"/>
      <c r="CM25" s="269">
        <f>CJ25+CK25+CL25</f>
        <v>-553.76870050000059</v>
      </c>
      <c r="CN25" s="298">
        <f t="shared" si="20"/>
        <v>-55880.028700500014</v>
      </c>
      <c r="CO25" s="317">
        <v>-243731.73</v>
      </c>
      <c r="CP25" s="318">
        <f t="shared" si="21"/>
        <v>-4.2441667465027422E-3</v>
      </c>
      <c r="CQ25" s="265"/>
      <c r="CR25" s="265"/>
      <c r="CS25" s="265"/>
      <c r="CT25" s="265"/>
      <c r="CU25" s="265"/>
    </row>
    <row r="26" spans="3:99" ht="14.45" thickBot="1" x14ac:dyDescent="0.3">
      <c r="C26" s="20" t="s">
        <v>119</v>
      </c>
      <c r="D26" s="21">
        <v>1584</v>
      </c>
      <c r="E26" s="306"/>
      <c r="F26" s="307"/>
      <c r="G26" s="307"/>
      <c r="H26" s="307"/>
      <c r="I26" s="13">
        <f t="shared" si="22"/>
        <v>0</v>
      </c>
      <c r="J26" s="307"/>
      <c r="K26" s="307"/>
      <c r="L26" s="307"/>
      <c r="M26" s="307"/>
      <c r="N26" s="13">
        <f t="shared" si="23"/>
        <v>0</v>
      </c>
      <c r="O26" s="308">
        <f t="shared" ref="O26:O37" si="37">I26</f>
        <v>0</v>
      </c>
      <c r="P26" s="307">
        <v>631982.58999999706</v>
      </c>
      <c r="Q26" s="307"/>
      <c r="R26" s="307"/>
      <c r="S26" s="13">
        <f t="shared" si="0"/>
        <v>631982.58999999706</v>
      </c>
      <c r="T26" s="13">
        <f t="shared" si="1"/>
        <v>0</v>
      </c>
      <c r="U26" s="307">
        <v>26118.280000000002</v>
      </c>
      <c r="V26" s="307"/>
      <c r="W26" s="307"/>
      <c r="X26" s="23">
        <f t="shared" ref="X26:X37" si="38">T26+U26-V26+W26</f>
        <v>26118.280000000002</v>
      </c>
      <c r="Y26" s="311">
        <f t="shared" si="2"/>
        <v>631982.58999999706</v>
      </c>
      <c r="Z26" s="266">
        <v>177337.63000000268</v>
      </c>
      <c r="AA26" s="266"/>
      <c r="AB26" s="266"/>
      <c r="AC26" s="13">
        <f t="shared" ref="AC26:AC37" si="39">Y26+Z26-AA26+SUM(AB26:AB26)</f>
        <v>809320.21999999974</v>
      </c>
      <c r="AD26" s="310">
        <f t="shared" si="3"/>
        <v>26118.280000000002</v>
      </c>
      <c r="AE26" s="266">
        <v>12236.08</v>
      </c>
      <c r="AF26" s="266"/>
      <c r="AG26" s="266"/>
      <c r="AH26" s="23">
        <f t="shared" ref="AH26:AH37" si="40">AD26+AE26-AF26+AG26</f>
        <v>38354.36</v>
      </c>
      <c r="AI26" s="311">
        <f t="shared" si="4"/>
        <v>809320.21999999974</v>
      </c>
      <c r="AJ26" s="266">
        <v>3378169.1599999964</v>
      </c>
      <c r="AK26" s="266">
        <v>658101</v>
      </c>
      <c r="AL26" s="266"/>
      <c r="AM26" s="13">
        <f t="shared" si="5"/>
        <v>3529388.3799999962</v>
      </c>
      <c r="AN26" s="310">
        <f t="shared" si="6"/>
        <v>38354.36</v>
      </c>
      <c r="AO26" s="266">
        <v>24797.879999999997</v>
      </c>
      <c r="AP26" s="266">
        <v>9290</v>
      </c>
      <c r="AQ26" s="266"/>
      <c r="AR26" s="23">
        <f t="shared" ref="AR26:AR37" si="41">AN26+AO26-AP26+AQ26</f>
        <v>53862.239999999998</v>
      </c>
      <c r="AS26" s="311">
        <f t="shared" si="7"/>
        <v>3529388.3799999962</v>
      </c>
      <c r="AT26" s="266">
        <v>3491680.4500000104</v>
      </c>
      <c r="AU26" s="266">
        <v>151219.22</v>
      </c>
      <c r="AV26" s="266"/>
      <c r="AW26" s="13">
        <f t="shared" si="8"/>
        <v>6869849.6100000069</v>
      </c>
      <c r="AX26" s="310">
        <f t="shared" si="9"/>
        <v>53862.239999999998</v>
      </c>
      <c r="AY26" s="266">
        <v>73256.38</v>
      </c>
      <c r="AZ26" s="266">
        <v>31287.010000000002</v>
      </c>
      <c r="BA26" s="266"/>
      <c r="BB26" s="13">
        <f t="shared" ref="BB26:BB37" si="42">AX26+AY26-AZ26+BA26</f>
        <v>95831.609999999986</v>
      </c>
      <c r="BC26" s="311">
        <f t="shared" si="10"/>
        <v>6869849.6100000069</v>
      </c>
      <c r="BD26" s="266">
        <v>-1237207.2899999917</v>
      </c>
      <c r="BE26" s="266">
        <v>3378169.2099999995</v>
      </c>
      <c r="BF26" s="266"/>
      <c r="BG26" s="13">
        <f t="shared" si="11"/>
        <v>2254473.1100000157</v>
      </c>
      <c r="BH26" s="310">
        <f t="shared" si="12"/>
        <v>95831.609999999986</v>
      </c>
      <c r="BI26" s="266">
        <v>40112.399999999987</v>
      </c>
      <c r="BJ26" s="266">
        <v>74457.239999999991</v>
      </c>
      <c r="BK26" s="266"/>
      <c r="BL26" s="23">
        <f t="shared" ref="BL26:BL37" si="43">BH26+BI26-BJ26+BK26</f>
        <v>61486.76999999999</v>
      </c>
      <c r="BM26" s="311">
        <f t="shared" si="15"/>
        <v>2254473.1100000157</v>
      </c>
      <c r="BN26" s="312">
        <v>-532829.40000000596</v>
      </c>
      <c r="BO26" s="307">
        <v>3491680.45000001</v>
      </c>
      <c r="BP26" s="307"/>
      <c r="BQ26" s="13">
        <f t="shared" ref="BQ26:BQ37" si="44">BM26+BN26-BO26+SUM(BP26:BP26)</f>
        <v>-1770036.7400000002</v>
      </c>
      <c r="BR26" s="310">
        <f t="shared" si="13"/>
        <v>61486.76999999999</v>
      </c>
      <c r="BS26" s="312">
        <v>-12513.329999999998</v>
      </c>
      <c r="BT26" s="307">
        <v>63012.66</v>
      </c>
      <c r="BU26" s="307"/>
      <c r="BV26" s="23">
        <f t="shared" ref="BV26:BV37" si="45">BR26+BS26-BT26+BU26</f>
        <v>-14039.220000000016</v>
      </c>
      <c r="BW26" s="311">
        <f t="shared" si="16"/>
        <v>-1770036.7400000002</v>
      </c>
      <c r="BX26" s="312">
        <v>-187534.89</v>
      </c>
      <c r="BY26" s="307">
        <v>-1237207.29</v>
      </c>
      <c r="BZ26" s="307"/>
      <c r="CA26" s="13">
        <f t="shared" si="36"/>
        <v>-720364.34000000032</v>
      </c>
      <c r="CB26" s="310">
        <f t="shared" si="14"/>
        <v>-14039.220000000016</v>
      </c>
      <c r="CC26" s="312">
        <v>-7639.01</v>
      </c>
      <c r="CD26" s="307">
        <v>-15135.17</v>
      </c>
      <c r="CE26" s="307"/>
      <c r="CF26" s="23">
        <f t="shared" si="34"/>
        <v>-6543.0600000000177</v>
      </c>
      <c r="CG26" s="313">
        <v>-532829.45000000903</v>
      </c>
      <c r="CH26" s="312">
        <v>-4765.1739500000931</v>
      </c>
      <c r="CI26" s="310">
        <f t="shared" si="17"/>
        <v>-187534.88999999128</v>
      </c>
      <c r="CJ26" s="314">
        <f t="shared" si="18"/>
        <v>-1777.8860499999246</v>
      </c>
      <c r="CK26" s="315">
        <f t="shared" si="19"/>
        <v>-3361.5629032498437</v>
      </c>
      <c r="CL26" s="312"/>
      <c r="CM26" s="269">
        <f t="shared" ref="CM26:CM37" si="46">CJ26+CK26+CL26</f>
        <v>-5139.4489532497682</v>
      </c>
      <c r="CN26" s="298">
        <f t="shared" si="20"/>
        <v>-192674.33895324104</v>
      </c>
      <c r="CO26" s="317">
        <v>-726907.37</v>
      </c>
      <c r="CP26" s="318">
        <f t="shared" si="21"/>
        <v>3.0000000377185643E-2</v>
      </c>
      <c r="CQ26" s="5"/>
      <c r="CR26" s="5"/>
      <c r="CS26" s="5"/>
      <c r="CT26" s="5"/>
      <c r="CU26" s="5"/>
    </row>
    <row r="27" spans="3:99" ht="14.45" thickBot="1" x14ac:dyDescent="0.3">
      <c r="C27" s="26" t="s">
        <v>120</v>
      </c>
      <c r="D27" s="21">
        <v>1586</v>
      </c>
      <c r="E27" s="306"/>
      <c r="F27" s="307"/>
      <c r="G27" s="307"/>
      <c r="H27" s="307"/>
      <c r="I27" s="13">
        <f t="shared" si="22"/>
        <v>0</v>
      </c>
      <c r="J27" s="307"/>
      <c r="K27" s="307"/>
      <c r="L27" s="307"/>
      <c r="M27" s="307"/>
      <c r="N27" s="13">
        <f t="shared" si="23"/>
        <v>0</v>
      </c>
      <c r="O27" s="311">
        <f t="shared" si="37"/>
        <v>0</v>
      </c>
      <c r="P27" s="307">
        <v>-170342.67000001055</v>
      </c>
      <c r="Q27" s="307"/>
      <c r="R27" s="307"/>
      <c r="S27" s="13">
        <f t="shared" si="0"/>
        <v>-170342.67000001055</v>
      </c>
      <c r="T27" s="13">
        <f t="shared" si="1"/>
        <v>0</v>
      </c>
      <c r="U27" s="307">
        <v>699.95000000000027</v>
      </c>
      <c r="V27" s="307"/>
      <c r="W27" s="307"/>
      <c r="X27" s="23">
        <f t="shared" si="38"/>
        <v>699.95000000000027</v>
      </c>
      <c r="Y27" s="311">
        <f t="shared" si="2"/>
        <v>-170342.67000001055</v>
      </c>
      <c r="Z27" s="266">
        <v>-76744.958999998868</v>
      </c>
      <c r="AA27" s="266"/>
      <c r="AB27" s="266"/>
      <c r="AC27" s="13">
        <f t="shared" si="39"/>
        <v>-247087.62900000942</v>
      </c>
      <c r="AD27" s="310">
        <f t="shared" si="3"/>
        <v>699.95000000000027</v>
      </c>
      <c r="AE27" s="266">
        <v>-2601.08</v>
      </c>
      <c r="AF27" s="266"/>
      <c r="AG27" s="266"/>
      <c r="AH27" s="23">
        <f t="shared" si="40"/>
        <v>-1901.1299999999997</v>
      </c>
      <c r="AI27" s="311">
        <f t="shared" si="4"/>
        <v>-247087.62900000942</v>
      </c>
      <c r="AJ27" s="266">
        <v>1314693.9300000034</v>
      </c>
      <c r="AK27" s="266">
        <v>-169642.72</v>
      </c>
      <c r="AL27" s="266"/>
      <c r="AM27" s="13">
        <f t="shared" si="5"/>
        <v>1237249.0209999939</v>
      </c>
      <c r="AN27" s="310">
        <f t="shared" si="6"/>
        <v>-1901.1299999999997</v>
      </c>
      <c r="AO27" s="266">
        <v>5832.1399999999994</v>
      </c>
      <c r="AP27" s="266">
        <v>-2504</v>
      </c>
      <c r="AQ27" s="266"/>
      <c r="AR27" s="23">
        <f t="shared" si="41"/>
        <v>6435.01</v>
      </c>
      <c r="AS27" s="311">
        <f t="shared" si="7"/>
        <v>1237249.0209999939</v>
      </c>
      <c r="AT27" s="266">
        <v>2601535.59</v>
      </c>
      <c r="AU27" s="266">
        <v>-77444.91</v>
      </c>
      <c r="AV27" s="266"/>
      <c r="AW27" s="13">
        <f t="shared" si="8"/>
        <v>3916229.5209999941</v>
      </c>
      <c r="AX27" s="310">
        <f t="shared" si="9"/>
        <v>6435.01</v>
      </c>
      <c r="AY27" s="266">
        <v>35834.119999999995</v>
      </c>
      <c r="AZ27" s="266">
        <v>-536.0100000000001</v>
      </c>
      <c r="BA27" s="266"/>
      <c r="BB27" s="13">
        <f t="shared" si="42"/>
        <v>42805.14</v>
      </c>
      <c r="BC27" s="311">
        <f t="shared" si="10"/>
        <v>3916229.5209999941</v>
      </c>
      <c r="BD27" s="266">
        <v>-230302.05000001192</v>
      </c>
      <c r="BE27" s="266">
        <v>1314693.9299999992</v>
      </c>
      <c r="BF27" s="266"/>
      <c r="BG27" s="13">
        <f t="shared" si="11"/>
        <v>2371233.540999983</v>
      </c>
      <c r="BH27" s="310">
        <f t="shared" si="12"/>
        <v>42805.14</v>
      </c>
      <c r="BI27" s="266">
        <v>32228.909999999996</v>
      </c>
      <c r="BJ27" s="266">
        <v>25158.58</v>
      </c>
      <c r="BK27" s="266"/>
      <c r="BL27" s="23">
        <f t="shared" si="43"/>
        <v>49875.469999999987</v>
      </c>
      <c r="BM27" s="311">
        <f t="shared" si="15"/>
        <v>2371233.540999983</v>
      </c>
      <c r="BN27" s="312">
        <v>941983.46999999881</v>
      </c>
      <c r="BO27" s="307">
        <v>2601535.5900000003</v>
      </c>
      <c r="BP27" s="307"/>
      <c r="BQ27" s="13">
        <f t="shared" si="44"/>
        <v>711681.42099998146</v>
      </c>
      <c r="BR27" s="310">
        <f t="shared" si="13"/>
        <v>49875.469999999987</v>
      </c>
      <c r="BS27" s="312">
        <v>4911.1400000000003</v>
      </c>
      <c r="BT27" s="307">
        <v>48669.87000000001</v>
      </c>
      <c r="BU27" s="307"/>
      <c r="BV27" s="23">
        <f t="shared" si="45"/>
        <v>6116.7399999999761</v>
      </c>
      <c r="BW27" s="311">
        <f t="shared" si="16"/>
        <v>711681.42099998146</v>
      </c>
      <c r="BX27" s="312">
        <v>433359.47</v>
      </c>
      <c r="BY27" s="307">
        <v>-230302.05</v>
      </c>
      <c r="BZ27" s="307"/>
      <c r="CA27" s="13">
        <f t="shared" si="36"/>
        <v>1375342.9409999815</v>
      </c>
      <c r="CB27" s="310">
        <f t="shared" si="14"/>
        <v>6116.7399999999761</v>
      </c>
      <c r="CC27" s="312">
        <v>12740.23</v>
      </c>
      <c r="CD27" s="307">
        <v>-1327.72</v>
      </c>
      <c r="CE27" s="307"/>
      <c r="CF27" s="23">
        <f t="shared" si="34"/>
        <v>20184.689999999977</v>
      </c>
      <c r="CG27" s="313">
        <v>941983.47099999338</v>
      </c>
      <c r="CH27" s="312">
        <v>17806.278180999911</v>
      </c>
      <c r="CI27" s="310">
        <f t="shared" si="17"/>
        <v>433359.4699999881</v>
      </c>
      <c r="CJ27" s="314">
        <f t="shared" si="18"/>
        <v>2378.4118190000663</v>
      </c>
      <c r="CK27" s="315">
        <f t="shared" si="19"/>
        <v>7767.968499749787</v>
      </c>
      <c r="CL27" s="312"/>
      <c r="CM27" s="269">
        <f t="shared" si="46"/>
        <v>10146.380318749852</v>
      </c>
      <c r="CN27" s="298">
        <f>SUM(CI27:CL27)</f>
        <v>443505.85031873797</v>
      </c>
      <c r="CO27" s="317">
        <v>1395527.63</v>
      </c>
      <c r="CP27" s="318">
        <f t="shared" si="21"/>
        <v>-9.9998153746128082E-4</v>
      </c>
      <c r="CQ27" s="5"/>
      <c r="CR27" s="5"/>
      <c r="CS27" s="5"/>
      <c r="CT27" s="5"/>
      <c r="CU27" s="5"/>
    </row>
    <row r="28" spans="3:99" ht="14.45" thickBot="1" x14ac:dyDescent="0.3">
      <c r="C28" s="26" t="s">
        <v>121</v>
      </c>
      <c r="D28" s="21">
        <v>1588</v>
      </c>
      <c r="E28" s="306"/>
      <c r="F28" s="307"/>
      <c r="G28" s="307"/>
      <c r="H28" s="307"/>
      <c r="I28" s="13">
        <f t="shared" si="22"/>
        <v>0</v>
      </c>
      <c r="J28" s="307"/>
      <c r="K28" s="307"/>
      <c r="L28" s="307"/>
      <c r="M28" s="307"/>
      <c r="N28" s="13">
        <f t="shared" si="23"/>
        <v>0</v>
      </c>
      <c r="O28" s="311">
        <f t="shared" si="37"/>
        <v>0</v>
      </c>
      <c r="P28" s="307">
        <v>-1031401.6699999867</v>
      </c>
      <c r="Q28" s="307"/>
      <c r="R28" s="307"/>
      <c r="S28" s="13">
        <f t="shared" si="0"/>
        <v>-1031401.6699999867</v>
      </c>
      <c r="T28" s="13">
        <f t="shared" si="1"/>
        <v>0</v>
      </c>
      <c r="U28" s="307">
        <v>-19574.559999999983</v>
      </c>
      <c r="V28" s="307"/>
      <c r="W28" s="307"/>
      <c r="X28" s="23">
        <f t="shared" si="38"/>
        <v>-19574.559999999983</v>
      </c>
      <c r="Y28" s="311">
        <f t="shared" si="2"/>
        <v>-1031401.6699999867</v>
      </c>
      <c r="Z28" s="266">
        <v>-541508.42000001669</v>
      </c>
      <c r="AA28" s="266"/>
      <c r="AB28" s="266"/>
      <c r="AC28" s="13">
        <f t="shared" si="39"/>
        <v>-1572910.0900000033</v>
      </c>
      <c r="AD28" s="310">
        <f t="shared" si="3"/>
        <v>-19574.559999999983</v>
      </c>
      <c r="AE28" s="266">
        <v>-3471.5899999999997</v>
      </c>
      <c r="AF28" s="266"/>
      <c r="AG28" s="266"/>
      <c r="AH28" s="23">
        <f t="shared" si="40"/>
        <v>-23046.149999999983</v>
      </c>
      <c r="AI28" s="311">
        <f t="shared" si="4"/>
        <v>-1572910.0900000033</v>
      </c>
      <c r="AJ28" s="266">
        <v>924467.16000005603</v>
      </c>
      <c r="AK28" s="266">
        <v>-1050976.23</v>
      </c>
      <c r="AL28" s="266">
        <v>-4668526.9869420975</v>
      </c>
      <c r="AM28" s="13">
        <f t="shared" si="5"/>
        <v>-4265993.6869420446</v>
      </c>
      <c r="AN28" s="310">
        <f t="shared" si="6"/>
        <v>-23046.149999999983</v>
      </c>
      <c r="AO28" s="266">
        <v>11467.690000000002</v>
      </c>
      <c r="AP28" s="266">
        <v>-15162</v>
      </c>
      <c r="AQ28" s="266">
        <v>-60232.101746408574</v>
      </c>
      <c r="AR28" s="23">
        <f t="shared" si="41"/>
        <v>-56648.561746408552</v>
      </c>
      <c r="AS28" s="311">
        <f t="shared" si="7"/>
        <v>-4265993.6869420446</v>
      </c>
      <c r="AT28" s="266">
        <v>-552173.06000000238</v>
      </c>
      <c r="AU28" s="266">
        <v>-521933.17</v>
      </c>
      <c r="AV28" s="266">
        <v>-2337699.4944851007</v>
      </c>
      <c r="AW28" s="13">
        <f t="shared" si="8"/>
        <v>-6633933.0714271478</v>
      </c>
      <c r="AX28" s="310">
        <f t="shared" si="9"/>
        <v>-56648.561746408552</v>
      </c>
      <c r="AY28" s="266">
        <v>-82951.48</v>
      </c>
      <c r="AZ28" s="266">
        <v>-15556.57</v>
      </c>
      <c r="BA28" s="266"/>
      <c r="BB28" s="13">
        <f t="shared" si="42"/>
        <v>-124043.47174640856</v>
      </c>
      <c r="BC28" s="311">
        <f t="shared" si="10"/>
        <v>-6633933.0714271478</v>
      </c>
      <c r="BD28" s="266">
        <v>-859776.22000002861</v>
      </c>
      <c r="BE28" s="266">
        <v>-3744060.5233259667</v>
      </c>
      <c r="BF28" s="266"/>
      <c r="BG28" s="13">
        <f t="shared" si="11"/>
        <v>-3749648.7681012098</v>
      </c>
      <c r="BH28" s="310">
        <f t="shared" si="12"/>
        <v>-124043.47174640856</v>
      </c>
      <c r="BI28" s="266">
        <v>-29325.460000000003</v>
      </c>
      <c r="BJ28" s="266">
        <v>-103602.67174640857</v>
      </c>
      <c r="BK28" s="266"/>
      <c r="BL28" s="23">
        <f t="shared" si="43"/>
        <v>-49766.25999999998</v>
      </c>
      <c r="BM28" s="311">
        <f t="shared" si="15"/>
        <v>-3749648.7681012098</v>
      </c>
      <c r="BN28" s="312">
        <v>-148172.50999999046</v>
      </c>
      <c r="BO28" s="307">
        <v>-2889872.5544851031</v>
      </c>
      <c r="BP28" s="307">
        <v>819534</v>
      </c>
      <c r="BQ28" s="13">
        <f t="shared" si="44"/>
        <v>-188414.72361609712</v>
      </c>
      <c r="BR28" s="310">
        <f t="shared" si="13"/>
        <v>-49766.25999999998</v>
      </c>
      <c r="BS28" s="312">
        <v>5680.2400000000007</v>
      </c>
      <c r="BT28" s="307">
        <v>-54902.530000000006</v>
      </c>
      <c r="BU28" s="307"/>
      <c r="BV28" s="23">
        <f t="shared" si="45"/>
        <v>10816.510000000024</v>
      </c>
      <c r="BW28" s="311">
        <f t="shared" si="16"/>
        <v>-188414.72361609712</v>
      </c>
      <c r="BX28" s="312">
        <f>-3817332.75+8484</f>
        <v>-3808848.75</v>
      </c>
      <c r="BY28" s="307">
        <v>-859776.22</v>
      </c>
      <c r="BZ28" s="307">
        <f>-BP28+587573</f>
        <v>-231961</v>
      </c>
      <c r="CA28" s="13">
        <f t="shared" si="36"/>
        <v>-3369448.2536160974</v>
      </c>
      <c r="CB28" s="310">
        <f t="shared" si="14"/>
        <v>10816.510000000024</v>
      </c>
      <c r="CC28" s="312">
        <v>-2168.9499999999998</v>
      </c>
      <c r="CD28" s="307">
        <v>-4321.2700000000004</v>
      </c>
      <c r="CE28" s="307"/>
      <c r="CF28" s="23">
        <f t="shared" si="34"/>
        <v>12968.830000000024</v>
      </c>
      <c r="CG28" s="313">
        <v>671361.49638393149</v>
      </c>
      <c r="CH28" s="312">
        <v>22522.756460223274</v>
      </c>
      <c r="CI28" s="310">
        <f t="shared" si="17"/>
        <v>-4040809.7500000289</v>
      </c>
      <c r="CJ28" s="314">
        <f t="shared" si="18"/>
        <v>-9553.9264602232506</v>
      </c>
      <c r="CK28" s="315">
        <f t="shared" si="19"/>
        <v>-72431.514768750523</v>
      </c>
      <c r="CL28" s="312"/>
      <c r="CM28" s="316">
        <f t="shared" si="46"/>
        <v>-81985.441228973767</v>
      </c>
      <c r="CN28" s="298">
        <f t="shared" si="20"/>
        <v>-4122795.1912290026</v>
      </c>
      <c r="CO28" s="317">
        <v>-3944052.49</v>
      </c>
      <c r="CP28" s="318">
        <f t="shared" si="21"/>
        <v>-587573.06638390291</v>
      </c>
      <c r="CQ28" s="5"/>
      <c r="CR28" s="5"/>
      <c r="CS28" s="5"/>
      <c r="CT28" s="5"/>
      <c r="CU28" s="5"/>
    </row>
    <row r="29" spans="3:99" ht="14.45" thickBot="1" x14ac:dyDescent="0.3">
      <c r="C29" s="20" t="s">
        <v>122</v>
      </c>
      <c r="D29" s="21">
        <v>1589</v>
      </c>
      <c r="E29" s="306"/>
      <c r="F29" s="307"/>
      <c r="G29" s="307"/>
      <c r="H29" s="307"/>
      <c r="I29" s="13">
        <f t="shared" si="22"/>
        <v>0</v>
      </c>
      <c r="J29" s="307"/>
      <c r="K29" s="307"/>
      <c r="L29" s="307"/>
      <c r="M29" s="307"/>
      <c r="N29" s="13">
        <f t="shared" si="23"/>
        <v>0</v>
      </c>
      <c r="O29" s="311">
        <f t="shared" si="37"/>
        <v>0</v>
      </c>
      <c r="P29" s="307">
        <v>1058062.9899999946</v>
      </c>
      <c r="Q29" s="307"/>
      <c r="R29" s="307"/>
      <c r="S29" s="13">
        <f t="shared" si="0"/>
        <v>1058062.9899999946</v>
      </c>
      <c r="T29" s="13">
        <f t="shared" si="1"/>
        <v>0</v>
      </c>
      <c r="U29" s="307">
        <v>69597.939999999988</v>
      </c>
      <c r="V29" s="307"/>
      <c r="W29" s="307"/>
      <c r="X29" s="23">
        <f t="shared" si="38"/>
        <v>69597.939999999988</v>
      </c>
      <c r="Y29" s="311">
        <f t="shared" si="2"/>
        <v>1058062.9899999946</v>
      </c>
      <c r="Z29" s="266">
        <v>-3235246.1200000048</v>
      </c>
      <c r="AA29" s="266"/>
      <c r="AB29" s="266"/>
      <c r="AC29" s="13">
        <f t="shared" si="39"/>
        <v>-2177183.1300000101</v>
      </c>
      <c r="AD29" s="310">
        <f t="shared" si="3"/>
        <v>69597.939999999988</v>
      </c>
      <c r="AE29" s="266">
        <v>495.22</v>
      </c>
      <c r="AF29" s="266"/>
      <c r="AG29" s="266"/>
      <c r="AH29" s="23">
        <f t="shared" si="40"/>
        <v>70093.159999999989</v>
      </c>
      <c r="AI29" s="311">
        <f t="shared" si="4"/>
        <v>-2177183.1300000101</v>
      </c>
      <c r="AJ29" s="266">
        <v>-1669046.0400000215</v>
      </c>
      <c r="AK29" s="266">
        <v>1127660.93</v>
      </c>
      <c r="AL29" s="266">
        <v>4668526.9869420975</v>
      </c>
      <c r="AM29" s="13">
        <f t="shared" si="5"/>
        <v>-305363.11305793375</v>
      </c>
      <c r="AN29" s="310">
        <f t="shared" si="6"/>
        <v>70093.159999999989</v>
      </c>
      <c r="AO29" s="266">
        <v>-16958.78</v>
      </c>
      <c r="AP29" s="266">
        <v>15553</v>
      </c>
      <c r="AQ29" s="266">
        <v>60232.101746408574</v>
      </c>
      <c r="AR29" s="23">
        <f t="shared" si="41"/>
        <v>97813.481746408565</v>
      </c>
      <c r="AS29" s="311">
        <f t="shared" si="7"/>
        <v>-305363.11305793375</v>
      </c>
      <c r="AT29" s="266">
        <v>1473743.9699999839</v>
      </c>
      <c r="AU29" s="266">
        <v>-3304844.06</v>
      </c>
      <c r="AV29" s="266">
        <v>5344769.4944851007</v>
      </c>
      <c r="AW29" s="13">
        <f t="shared" si="8"/>
        <v>9817994.4114271514</v>
      </c>
      <c r="AX29" s="310">
        <f t="shared" si="9"/>
        <v>97813.481746408565</v>
      </c>
      <c r="AY29" s="266">
        <v>92778.54</v>
      </c>
      <c r="AZ29" s="266">
        <v>5958.9500000000044</v>
      </c>
      <c r="BA29" s="266"/>
      <c r="BB29" s="13">
        <f t="shared" si="42"/>
        <v>184633.07174640853</v>
      </c>
      <c r="BC29" s="311">
        <f t="shared" si="10"/>
        <v>9817994.4114271514</v>
      </c>
      <c r="BD29" s="266">
        <v>2612620.8600000739</v>
      </c>
      <c r="BE29" s="266">
        <v>2999480.9533259743</v>
      </c>
      <c r="BF29" s="266"/>
      <c r="BG29" s="13">
        <f t="shared" si="11"/>
        <v>9431134.3181012515</v>
      </c>
      <c r="BH29" s="310">
        <f t="shared" si="12"/>
        <v>184633.07174640853</v>
      </c>
      <c r="BI29" s="266">
        <v>97517.37999999999</v>
      </c>
      <c r="BJ29" s="266">
        <v>87365.691746408585</v>
      </c>
      <c r="BK29" s="266"/>
      <c r="BL29" s="23">
        <f t="shared" si="43"/>
        <v>194784.75999999995</v>
      </c>
      <c r="BM29" s="311">
        <f t="shared" si="15"/>
        <v>9431134.3181012515</v>
      </c>
      <c r="BN29" s="312">
        <v>-3004934.7699999809</v>
      </c>
      <c r="BO29" s="307">
        <v>6818513.4644850846</v>
      </c>
      <c r="BP29" s="307">
        <v>-1808419</v>
      </c>
      <c r="BQ29" s="13">
        <f t="shared" si="44"/>
        <v>-2200732.9163838141</v>
      </c>
      <c r="BR29" s="310">
        <f t="shared" si="13"/>
        <v>194784.75999999995</v>
      </c>
      <c r="BS29" s="312">
        <v>28693.39</v>
      </c>
      <c r="BT29" s="307">
        <v>178578.15000000002</v>
      </c>
      <c r="BU29" s="307"/>
      <c r="BV29" s="23">
        <f t="shared" si="45"/>
        <v>44899.999999999942</v>
      </c>
      <c r="BW29" s="311">
        <f t="shared" si="16"/>
        <v>-2200732.9163838141</v>
      </c>
      <c r="BX29" s="312">
        <v>-1322742</v>
      </c>
      <c r="BY29" s="307">
        <v>2612620.86</v>
      </c>
      <c r="BZ29" s="307">
        <f>-BP29-1842135+1005879</f>
        <v>972163</v>
      </c>
      <c r="CA29" s="13">
        <f t="shared" si="36"/>
        <v>-5163932.7763838135</v>
      </c>
      <c r="CB29" s="310">
        <f t="shared" si="14"/>
        <v>44899.999999999942</v>
      </c>
      <c r="CC29" s="312">
        <v>-17300.04</v>
      </c>
      <c r="CD29" s="307">
        <f>16206.61+28738.83</f>
        <v>44945.440000000002</v>
      </c>
      <c r="CE29" s="307"/>
      <c r="CF29" s="23">
        <f t="shared" si="34"/>
        <v>-17345.480000000061</v>
      </c>
      <c r="CG29" s="313">
        <v>-4813353.7763838582</v>
      </c>
      <c r="CH29" s="312">
        <v>-52992.331540222513</v>
      </c>
      <c r="CI29" s="310">
        <f t="shared" si="17"/>
        <v>-350578.9999999553</v>
      </c>
      <c r="CJ29" s="314">
        <f t="shared" si="18"/>
        <v>35646.851540222451</v>
      </c>
      <c r="CK29" s="315">
        <f t="shared" si="19"/>
        <v>-6284.1285749991985</v>
      </c>
      <c r="CL29" s="312"/>
      <c r="CM29" s="316">
        <f t="shared" si="46"/>
        <v>29362.722965223253</v>
      </c>
      <c r="CN29" s="298">
        <f t="shared" si="20"/>
        <v>-321216.27703473205</v>
      </c>
      <c r="CO29" s="317">
        <v>-4345022.2699999996</v>
      </c>
      <c r="CP29" s="318">
        <f t="shared" si="21"/>
        <v>836255.98638381436</v>
      </c>
      <c r="CQ29" s="5"/>
      <c r="CR29" s="5"/>
      <c r="CS29" s="5"/>
      <c r="CT29" s="5"/>
      <c r="CU29" s="5"/>
    </row>
    <row r="30" spans="3:99" ht="16.899999999999999" thickBot="1" x14ac:dyDescent="0.3">
      <c r="C30" s="27" t="s">
        <v>123</v>
      </c>
      <c r="D30" s="21">
        <v>1595</v>
      </c>
      <c r="E30" s="306"/>
      <c r="F30" s="307"/>
      <c r="G30" s="307"/>
      <c r="H30" s="307"/>
      <c r="I30" s="13">
        <f t="shared" si="22"/>
        <v>0</v>
      </c>
      <c r="J30" s="307"/>
      <c r="K30" s="307"/>
      <c r="L30" s="307"/>
      <c r="M30" s="307"/>
      <c r="N30" s="13">
        <f t="shared" si="23"/>
        <v>0</v>
      </c>
      <c r="O30" s="311">
        <f t="shared" si="37"/>
        <v>0</v>
      </c>
      <c r="P30" s="307">
        <v>-2913895.8499999996</v>
      </c>
      <c r="Q30" s="307"/>
      <c r="R30" s="307"/>
      <c r="S30" s="13">
        <f t="shared" si="0"/>
        <v>-2913895.8499999996</v>
      </c>
      <c r="T30" s="13">
        <f t="shared" si="1"/>
        <v>0</v>
      </c>
      <c r="U30" s="307">
        <v>-2492081.56</v>
      </c>
      <c r="V30" s="307"/>
      <c r="W30" s="307"/>
      <c r="X30" s="23">
        <f t="shared" si="38"/>
        <v>-2492081.56</v>
      </c>
      <c r="Y30" s="311">
        <f t="shared" si="2"/>
        <v>-2913895.8499999996</v>
      </c>
      <c r="Z30" s="266">
        <v>2840650.07</v>
      </c>
      <c r="AA30" s="266"/>
      <c r="AB30" s="266"/>
      <c r="AC30" s="13">
        <f t="shared" si="39"/>
        <v>-73245.779999999795</v>
      </c>
      <c r="AD30" s="310">
        <f t="shared" si="3"/>
        <v>-2492081.56</v>
      </c>
      <c r="AE30" s="266">
        <v>-9602.92</v>
      </c>
      <c r="AF30" s="266"/>
      <c r="AG30" s="266"/>
      <c r="AH30" s="23">
        <f t="shared" si="40"/>
        <v>-2501684.48</v>
      </c>
      <c r="AI30" s="311">
        <f t="shared" si="4"/>
        <v>-73245.779999999795</v>
      </c>
      <c r="AJ30" s="266"/>
      <c r="AK30" s="266"/>
      <c r="AL30" s="266"/>
      <c r="AM30" s="13">
        <f t="shared" si="5"/>
        <v>-73245.779999999795</v>
      </c>
      <c r="AN30" s="310">
        <f t="shared" si="6"/>
        <v>-2501684.48</v>
      </c>
      <c r="AO30" s="266">
        <v>-1076.7600000000002</v>
      </c>
      <c r="AP30" s="266"/>
      <c r="AQ30" s="266"/>
      <c r="AR30" s="23">
        <f t="shared" si="41"/>
        <v>-2502761.2399999998</v>
      </c>
      <c r="AS30" s="311">
        <f t="shared" si="7"/>
        <v>-73245.779999999795</v>
      </c>
      <c r="AT30" s="266"/>
      <c r="AU30" s="266"/>
      <c r="AV30" s="266"/>
      <c r="AW30" s="13">
        <f t="shared" si="8"/>
        <v>-73245.779999999795</v>
      </c>
      <c r="AX30" s="310">
        <f t="shared" si="9"/>
        <v>-2502761.2399999998</v>
      </c>
      <c r="AY30" s="266">
        <v>-1076.7600000000002</v>
      </c>
      <c r="AZ30" s="266"/>
      <c r="BA30" s="266"/>
      <c r="BB30" s="13">
        <f t="shared" si="42"/>
        <v>-2503837.9999999995</v>
      </c>
      <c r="BC30" s="311">
        <f t="shared" si="10"/>
        <v>-73245.779999999795</v>
      </c>
      <c r="BD30" s="266"/>
      <c r="BE30" s="266">
        <v>-73245.780000000261</v>
      </c>
      <c r="BF30" s="266"/>
      <c r="BG30" s="13">
        <f t="shared" si="11"/>
        <v>4.6566128730773926E-10</v>
      </c>
      <c r="BH30" s="310">
        <f t="shared" si="12"/>
        <v>-2503837.9999999995</v>
      </c>
      <c r="BI30" s="266"/>
      <c r="BJ30" s="266">
        <v>-2503838</v>
      </c>
      <c r="BK30" s="266"/>
      <c r="BL30" s="23">
        <f t="shared" si="43"/>
        <v>4.6566128730773926E-10</v>
      </c>
      <c r="BM30" s="311">
        <f t="shared" si="15"/>
        <v>4.6566128730773926E-10</v>
      </c>
      <c r="BN30" s="312"/>
      <c r="BO30" s="307"/>
      <c r="BP30" s="307"/>
      <c r="BQ30" s="13">
        <f t="shared" si="44"/>
        <v>4.6566128730773926E-10</v>
      </c>
      <c r="BR30" s="310">
        <f t="shared" si="13"/>
        <v>4.6566128730773926E-10</v>
      </c>
      <c r="BS30" s="312"/>
      <c r="BT30" s="307"/>
      <c r="BU30" s="307"/>
      <c r="BV30" s="23">
        <f t="shared" si="45"/>
        <v>4.6566128730773926E-10</v>
      </c>
      <c r="BW30" s="311">
        <f t="shared" si="16"/>
        <v>4.6566128730773926E-10</v>
      </c>
      <c r="BX30" s="312"/>
      <c r="BY30" s="307"/>
      <c r="BZ30" s="307"/>
      <c r="CA30" s="13">
        <f t="shared" si="36"/>
        <v>4.6566128730773926E-10</v>
      </c>
      <c r="CB30" s="310">
        <f t="shared" si="14"/>
        <v>4.6566128730773926E-10</v>
      </c>
      <c r="CC30" s="312"/>
      <c r="CD30" s="307"/>
      <c r="CE30" s="307"/>
      <c r="CF30" s="23">
        <f t="shared" si="34"/>
        <v>4.6566128730773926E-10</v>
      </c>
      <c r="CG30" s="313">
        <v>4.6566128730773926E-10</v>
      </c>
      <c r="CH30" s="312">
        <v>4.7078356146812434E-10</v>
      </c>
      <c r="CI30" s="310">
        <f t="shared" si="17"/>
        <v>0</v>
      </c>
      <c r="CJ30" s="314">
        <f t="shared" si="18"/>
        <v>-5.1222741603850847E-12</v>
      </c>
      <c r="CK30" s="315">
        <f t="shared" si="19"/>
        <v>0</v>
      </c>
      <c r="CL30" s="312"/>
      <c r="CM30" s="316">
        <f t="shared" si="46"/>
        <v>-5.1222741603850847E-12</v>
      </c>
      <c r="CN30" s="298">
        <f t="shared" ref="CN30:CN35" si="47">IF(CD30=0,IF(SUM(CG30:CH30)=0,SUM(CI30:CL30),0),SUM(CI30:CL30))</f>
        <v>0</v>
      </c>
      <c r="CO30" s="317"/>
      <c r="CP30" s="318">
        <f t="shared" si="21"/>
        <v>-9.3132257461547852E-10</v>
      </c>
      <c r="CQ30" s="5"/>
      <c r="CR30" s="5"/>
      <c r="CS30" s="5"/>
      <c r="CT30" s="5"/>
      <c r="CU30" s="5"/>
    </row>
    <row r="31" spans="3:99" ht="16.899999999999999" thickBot="1" x14ac:dyDescent="0.3">
      <c r="C31" s="27" t="s">
        <v>124</v>
      </c>
      <c r="D31" s="21">
        <v>1595</v>
      </c>
      <c r="E31" s="306"/>
      <c r="F31" s="307"/>
      <c r="G31" s="307"/>
      <c r="H31" s="307"/>
      <c r="I31" s="13">
        <f t="shared" si="22"/>
        <v>0</v>
      </c>
      <c r="J31" s="307"/>
      <c r="K31" s="307"/>
      <c r="L31" s="307"/>
      <c r="M31" s="307"/>
      <c r="N31" s="13">
        <f t="shared" si="23"/>
        <v>0</v>
      </c>
      <c r="O31" s="311">
        <f t="shared" si="37"/>
        <v>0</v>
      </c>
      <c r="P31" s="307">
        <v>1927441.5699999998</v>
      </c>
      <c r="Q31" s="307"/>
      <c r="R31" s="307"/>
      <c r="S31" s="13">
        <f t="shared" si="0"/>
        <v>1927441.5699999998</v>
      </c>
      <c r="T31" s="13">
        <f t="shared" si="1"/>
        <v>0</v>
      </c>
      <c r="U31" s="307">
        <v>-21555.89</v>
      </c>
      <c r="V31" s="307"/>
      <c r="W31" s="307"/>
      <c r="X31" s="23">
        <f t="shared" si="38"/>
        <v>-21555.89</v>
      </c>
      <c r="Y31" s="311">
        <f t="shared" si="2"/>
        <v>1927441.5699999998</v>
      </c>
      <c r="Z31" s="266">
        <v>-2230636.5699999998</v>
      </c>
      <c r="AA31" s="266"/>
      <c r="AB31" s="266"/>
      <c r="AC31" s="13">
        <f t="shared" si="39"/>
        <v>-303195</v>
      </c>
      <c r="AD31" s="310">
        <f t="shared" si="3"/>
        <v>-21555.89</v>
      </c>
      <c r="AE31" s="266">
        <v>13368.490000000003</v>
      </c>
      <c r="AF31" s="266"/>
      <c r="AG31" s="266"/>
      <c r="AH31" s="23">
        <f t="shared" si="40"/>
        <v>-8187.399999999996</v>
      </c>
      <c r="AI31" s="311">
        <f t="shared" si="4"/>
        <v>-303195</v>
      </c>
      <c r="AJ31" s="266"/>
      <c r="AK31" s="266"/>
      <c r="AL31" s="266"/>
      <c r="AM31" s="13">
        <f t="shared" si="5"/>
        <v>-303195</v>
      </c>
      <c r="AN31" s="310">
        <f t="shared" si="6"/>
        <v>-8187.399999999996</v>
      </c>
      <c r="AO31" s="266">
        <v>-4456.9199999999992</v>
      </c>
      <c r="AP31" s="266"/>
      <c r="AQ31" s="266"/>
      <c r="AR31" s="23">
        <f t="shared" si="41"/>
        <v>-12644.319999999996</v>
      </c>
      <c r="AS31" s="311">
        <f t="shared" si="7"/>
        <v>-303195</v>
      </c>
      <c r="AT31" s="266"/>
      <c r="AU31" s="266"/>
      <c r="AV31" s="266"/>
      <c r="AW31" s="13">
        <f t="shared" si="8"/>
        <v>-303195</v>
      </c>
      <c r="AX31" s="310">
        <f t="shared" si="9"/>
        <v>-12644.319999999996</v>
      </c>
      <c r="AY31" s="266">
        <v>-4456.9199999999992</v>
      </c>
      <c r="AZ31" s="266"/>
      <c r="BA31" s="266"/>
      <c r="BB31" s="13">
        <f t="shared" si="42"/>
        <v>-17101.239999999994</v>
      </c>
      <c r="BC31" s="311">
        <f t="shared" si="10"/>
        <v>-303195</v>
      </c>
      <c r="BD31" s="266"/>
      <c r="BE31" s="266">
        <v>-303195</v>
      </c>
      <c r="BF31" s="266"/>
      <c r="BG31" s="13">
        <f t="shared" si="11"/>
        <v>0</v>
      </c>
      <c r="BH31" s="310">
        <f t="shared" si="12"/>
        <v>-17101.239999999994</v>
      </c>
      <c r="BI31" s="266"/>
      <c r="BJ31" s="266">
        <v>-17101.239999999998</v>
      </c>
      <c r="BK31" s="266"/>
      <c r="BL31" s="23">
        <f t="shared" si="43"/>
        <v>3.637978807091713E-12</v>
      </c>
      <c r="BM31" s="311">
        <f t="shared" si="15"/>
        <v>0</v>
      </c>
      <c r="BN31" s="312"/>
      <c r="BO31" s="307"/>
      <c r="BP31" s="307"/>
      <c r="BQ31" s="13">
        <f t="shared" si="44"/>
        <v>0</v>
      </c>
      <c r="BR31" s="310">
        <f t="shared" si="13"/>
        <v>3.637978807091713E-12</v>
      </c>
      <c r="BS31" s="312"/>
      <c r="BT31" s="307"/>
      <c r="BU31" s="307"/>
      <c r="BV31" s="23">
        <f t="shared" si="45"/>
        <v>3.637978807091713E-12</v>
      </c>
      <c r="BW31" s="311">
        <f t="shared" si="16"/>
        <v>0</v>
      </c>
      <c r="BX31" s="312"/>
      <c r="BY31" s="307"/>
      <c r="BZ31" s="307"/>
      <c r="CA31" s="13">
        <f t="shared" si="36"/>
        <v>0</v>
      </c>
      <c r="CB31" s="310">
        <f t="shared" si="14"/>
        <v>3.637978807091713E-12</v>
      </c>
      <c r="CC31" s="312"/>
      <c r="CD31" s="307"/>
      <c r="CE31" s="307"/>
      <c r="CF31" s="23">
        <f t="shared" si="34"/>
        <v>3.637978807091713E-12</v>
      </c>
      <c r="CG31" s="313">
        <v>0</v>
      </c>
      <c r="CH31" s="312">
        <v>3.637978807091713E-12</v>
      </c>
      <c r="CI31" s="310">
        <f t="shared" si="17"/>
        <v>0</v>
      </c>
      <c r="CJ31" s="314">
        <f t="shared" si="18"/>
        <v>0</v>
      </c>
      <c r="CK31" s="315">
        <f t="shared" si="19"/>
        <v>0</v>
      </c>
      <c r="CL31" s="312"/>
      <c r="CM31" s="316">
        <f t="shared" si="46"/>
        <v>0</v>
      </c>
      <c r="CN31" s="298">
        <f t="shared" si="47"/>
        <v>0</v>
      </c>
      <c r="CO31" s="317"/>
      <c r="CP31" s="318">
        <f t="shared" si="21"/>
        <v>-3.637978807091713E-12</v>
      </c>
      <c r="CQ31" s="5"/>
      <c r="CR31" s="5"/>
      <c r="CS31" s="5"/>
      <c r="CT31" s="5"/>
      <c r="CU31" s="5"/>
    </row>
    <row r="32" spans="3:99" ht="16.899999999999999" thickBot="1" x14ac:dyDescent="0.3">
      <c r="C32" s="27" t="s">
        <v>125</v>
      </c>
      <c r="D32" s="21">
        <v>1595</v>
      </c>
      <c r="E32" s="306"/>
      <c r="F32" s="307"/>
      <c r="G32" s="307"/>
      <c r="H32" s="307"/>
      <c r="I32" s="13">
        <f t="shared" si="22"/>
        <v>0</v>
      </c>
      <c r="J32" s="307"/>
      <c r="K32" s="307"/>
      <c r="L32" s="307"/>
      <c r="M32" s="307"/>
      <c r="N32" s="13">
        <f t="shared" si="23"/>
        <v>0</v>
      </c>
      <c r="O32" s="311">
        <f t="shared" si="37"/>
        <v>0</v>
      </c>
      <c r="P32" s="307">
        <v>-8695917.6799999997</v>
      </c>
      <c r="Q32" s="307"/>
      <c r="R32" s="307"/>
      <c r="S32" s="13">
        <f t="shared" ref="S32:S37" si="48">O32+P32-Q32+SUM(R32:R32)</f>
        <v>-8695917.6799999997</v>
      </c>
      <c r="T32" s="13">
        <f t="shared" si="1"/>
        <v>0</v>
      </c>
      <c r="U32" s="307">
        <v>-154326.92000000001</v>
      </c>
      <c r="V32" s="307"/>
      <c r="W32" s="307"/>
      <c r="X32" s="23">
        <f t="shared" si="38"/>
        <v>-154326.92000000001</v>
      </c>
      <c r="Y32" s="311">
        <f t="shared" si="2"/>
        <v>-8695917.6799999997</v>
      </c>
      <c r="Z32" s="266">
        <v>9300673.2400000002</v>
      </c>
      <c r="AA32" s="266"/>
      <c r="AB32" s="266"/>
      <c r="AC32" s="13">
        <f t="shared" si="39"/>
        <v>604755.56000000052</v>
      </c>
      <c r="AD32" s="310">
        <f t="shared" si="3"/>
        <v>-154326.92000000001</v>
      </c>
      <c r="AE32" s="266">
        <v>-65930.35000000002</v>
      </c>
      <c r="AF32" s="266"/>
      <c r="AG32" s="266"/>
      <c r="AH32" s="23">
        <f t="shared" si="40"/>
        <v>-220257.27000000002</v>
      </c>
      <c r="AI32" s="311">
        <f t="shared" si="4"/>
        <v>604755.56000000052</v>
      </c>
      <c r="AJ32" s="266"/>
      <c r="AK32" s="266"/>
      <c r="AL32" s="266"/>
      <c r="AM32" s="13">
        <f t="shared" si="5"/>
        <v>604755.56000000052</v>
      </c>
      <c r="AN32" s="310">
        <f t="shared" si="6"/>
        <v>-220257.27000000002</v>
      </c>
      <c r="AO32" s="266">
        <v>8889.9600000000009</v>
      </c>
      <c r="AP32" s="266"/>
      <c r="AQ32" s="266"/>
      <c r="AR32" s="23">
        <f t="shared" si="41"/>
        <v>-211367.31000000003</v>
      </c>
      <c r="AS32" s="311">
        <f t="shared" si="7"/>
        <v>604755.56000000052</v>
      </c>
      <c r="AT32" s="266"/>
      <c r="AU32" s="266"/>
      <c r="AV32" s="266"/>
      <c r="AW32" s="13">
        <f t="shared" si="8"/>
        <v>604755.56000000052</v>
      </c>
      <c r="AX32" s="310">
        <f t="shared" si="9"/>
        <v>-211367.31000000003</v>
      </c>
      <c r="AY32" s="266">
        <v>8889.9600000000009</v>
      </c>
      <c r="AZ32" s="266"/>
      <c r="BA32" s="266"/>
      <c r="BB32" s="13">
        <f t="shared" si="42"/>
        <v>-202477.35000000003</v>
      </c>
      <c r="BC32" s="311">
        <f t="shared" si="10"/>
        <v>604755.56000000052</v>
      </c>
      <c r="BD32" s="266"/>
      <c r="BE32" s="266">
        <v>604755.56000000052</v>
      </c>
      <c r="BF32" s="266"/>
      <c r="BG32" s="13">
        <f t="shared" si="11"/>
        <v>0</v>
      </c>
      <c r="BH32" s="310">
        <f t="shared" si="12"/>
        <v>-202477.35000000003</v>
      </c>
      <c r="BI32" s="266"/>
      <c r="BJ32" s="266">
        <v>-202477.35000000003</v>
      </c>
      <c r="BK32" s="266"/>
      <c r="BL32" s="23">
        <f t="shared" si="43"/>
        <v>0</v>
      </c>
      <c r="BM32" s="311">
        <f t="shared" si="15"/>
        <v>0</v>
      </c>
      <c r="BN32" s="312"/>
      <c r="BO32" s="307"/>
      <c r="BP32" s="307"/>
      <c r="BQ32" s="13">
        <f t="shared" si="44"/>
        <v>0</v>
      </c>
      <c r="BR32" s="310">
        <f t="shared" si="13"/>
        <v>0</v>
      </c>
      <c r="BS32" s="312"/>
      <c r="BT32" s="307"/>
      <c r="BU32" s="307"/>
      <c r="BV32" s="23">
        <f t="shared" si="45"/>
        <v>0</v>
      </c>
      <c r="BW32" s="311">
        <f t="shared" si="16"/>
        <v>0</v>
      </c>
      <c r="BX32" s="312"/>
      <c r="BY32" s="307"/>
      <c r="BZ32" s="307"/>
      <c r="CA32" s="13">
        <f t="shared" si="36"/>
        <v>0</v>
      </c>
      <c r="CB32" s="310">
        <f t="shared" si="14"/>
        <v>0</v>
      </c>
      <c r="CC32" s="312"/>
      <c r="CD32" s="307"/>
      <c r="CE32" s="307"/>
      <c r="CF32" s="23">
        <f t="shared" si="34"/>
        <v>0</v>
      </c>
      <c r="CG32" s="313">
        <v>0</v>
      </c>
      <c r="CH32" s="312">
        <v>0</v>
      </c>
      <c r="CI32" s="310">
        <f t="shared" si="17"/>
        <v>0</v>
      </c>
      <c r="CJ32" s="314">
        <f t="shared" si="18"/>
        <v>0</v>
      </c>
      <c r="CK32" s="315">
        <f t="shared" si="19"/>
        <v>0</v>
      </c>
      <c r="CL32" s="312"/>
      <c r="CM32" s="316">
        <f t="shared" si="46"/>
        <v>0</v>
      </c>
      <c r="CN32" s="298">
        <f t="shared" si="47"/>
        <v>0</v>
      </c>
      <c r="CO32" s="317"/>
      <c r="CP32" s="318">
        <f t="shared" si="21"/>
        <v>0</v>
      </c>
      <c r="CQ32" s="5"/>
      <c r="CR32" s="5"/>
      <c r="CS32" s="5"/>
      <c r="CT32" s="5"/>
      <c r="CU32" s="5"/>
    </row>
    <row r="33" spans="1:99" ht="16.899999999999999" thickBot="1" x14ac:dyDescent="0.3">
      <c r="C33" s="27" t="s">
        <v>126</v>
      </c>
      <c r="D33" s="21">
        <v>1595</v>
      </c>
      <c r="E33" s="306"/>
      <c r="F33" s="307"/>
      <c r="G33" s="307"/>
      <c r="H33" s="307"/>
      <c r="I33" s="13">
        <f t="shared" si="22"/>
        <v>0</v>
      </c>
      <c r="J33" s="307"/>
      <c r="K33" s="307"/>
      <c r="L33" s="307"/>
      <c r="M33" s="307"/>
      <c r="N33" s="13">
        <f t="shared" si="23"/>
        <v>0</v>
      </c>
      <c r="O33" s="311">
        <f t="shared" si="37"/>
        <v>0</v>
      </c>
      <c r="P33" s="307">
        <v>0</v>
      </c>
      <c r="Q33" s="307"/>
      <c r="R33" s="307"/>
      <c r="S33" s="13">
        <f t="shared" si="48"/>
        <v>0</v>
      </c>
      <c r="T33" s="13">
        <f t="shared" si="1"/>
        <v>0</v>
      </c>
      <c r="U33" s="307">
        <v>0</v>
      </c>
      <c r="V33" s="307"/>
      <c r="W33" s="307"/>
      <c r="X33" s="23">
        <f t="shared" si="38"/>
        <v>0</v>
      </c>
      <c r="Y33" s="311">
        <f t="shared" si="2"/>
        <v>0</v>
      </c>
      <c r="Z33" s="266"/>
      <c r="AA33" s="266">
        <v>-2039038</v>
      </c>
      <c r="AB33" s="266">
        <v>-493721.79000000004</v>
      </c>
      <c r="AC33" s="13">
        <f t="shared" si="39"/>
        <v>1545316.21</v>
      </c>
      <c r="AD33" s="310">
        <f t="shared" si="3"/>
        <v>0</v>
      </c>
      <c r="AE33" s="266"/>
      <c r="AF33" s="266">
        <v>-1284828</v>
      </c>
      <c r="AG33" s="266">
        <v>2206.5</v>
      </c>
      <c r="AH33" s="23">
        <f t="shared" si="40"/>
        <v>1287034.5</v>
      </c>
      <c r="AI33" s="311">
        <f t="shared" si="4"/>
        <v>1545316.21</v>
      </c>
      <c r="AJ33" s="266">
        <v>-2940696.3899999997</v>
      </c>
      <c r="AK33" s="266"/>
      <c r="AL33" s="266"/>
      <c r="AM33" s="13">
        <f t="shared" si="5"/>
        <v>-1395380.1799999997</v>
      </c>
      <c r="AN33" s="310">
        <f t="shared" si="6"/>
        <v>1287034.5</v>
      </c>
      <c r="AO33" s="266">
        <v>1788.8500000000006</v>
      </c>
      <c r="AP33" s="266"/>
      <c r="AQ33" s="266">
        <v>1306.01415</v>
      </c>
      <c r="AR33" s="23">
        <f t="shared" si="41"/>
        <v>1290129.36415</v>
      </c>
      <c r="AS33" s="311">
        <f t="shared" si="7"/>
        <v>-1395380.1799999997</v>
      </c>
      <c r="AT33" s="266"/>
      <c r="AU33" s="266"/>
      <c r="AV33" s="266"/>
      <c r="AW33" s="13">
        <f t="shared" si="8"/>
        <v>-1395380.1799999997</v>
      </c>
      <c r="AX33" s="310">
        <f t="shared" si="9"/>
        <v>1290129.36415</v>
      </c>
      <c r="AY33" s="266">
        <v>-20512.079999999998</v>
      </c>
      <c r="AZ33" s="266"/>
      <c r="BA33" s="266"/>
      <c r="BB33" s="13">
        <f t="shared" si="42"/>
        <v>1269617.28415</v>
      </c>
      <c r="BC33" s="311">
        <f t="shared" si="10"/>
        <v>-1395380.1799999997</v>
      </c>
      <c r="BD33" s="266"/>
      <c r="BE33" s="266">
        <v>-1395380.1800000002</v>
      </c>
      <c r="BF33" s="266"/>
      <c r="BG33" s="13">
        <f t="shared" si="11"/>
        <v>4.6566128730773926E-10</v>
      </c>
      <c r="BH33" s="310">
        <f t="shared" si="12"/>
        <v>1269617.28415</v>
      </c>
      <c r="BI33" s="266"/>
      <c r="BJ33" s="266">
        <v>1269617.28</v>
      </c>
      <c r="BK33" s="266"/>
      <c r="BL33" s="23">
        <f t="shared" si="43"/>
        <v>4.1499999351799488E-3</v>
      </c>
      <c r="BM33" s="311">
        <f t="shared" si="15"/>
        <v>4.6566128730773926E-10</v>
      </c>
      <c r="BN33" s="312"/>
      <c r="BO33" s="307"/>
      <c r="BP33" s="307"/>
      <c r="BQ33" s="13">
        <f t="shared" si="44"/>
        <v>4.6566128730773926E-10</v>
      </c>
      <c r="BR33" s="310">
        <f t="shared" si="13"/>
        <v>4.1499999351799488E-3</v>
      </c>
      <c r="BS33" s="312"/>
      <c r="BT33" s="307"/>
      <c r="BU33" s="307"/>
      <c r="BV33" s="23">
        <f t="shared" si="45"/>
        <v>4.1499999351799488E-3</v>
      </c>
      <c r="BW33" s="311">
        <f t="shared" si="16"/>
        <v>4.6566128730773926E-10</v>
      </c>
      <c r="BX33" s="312"/>
      <c r="BY33" s="307"/>
      <c r="BZ33" s="307"/>
      <c r="CA33" s="13">
        <f t="shared" si="36"/>
        <v>4.6566128730773926E-10</v>
      </c>
      <c r="CB33" s="310">
        <f t="shared" si="14"/>
        <v>4.1499999351799488E-3</v>
      </c>
      <c r="CC33" s="312"/>
      <c r="CD33" s="307"/>
      <c r="CE33" s="307"/>
      <c r="CF33" s="23">
        <f t="shared" si="34"/>
        <v>4.1499999351799488E-3</v>
      </c>
      <c r="CG33" s="313">
        <v>4.6566128730773926E-10</v>
      </c>
      <c r="CH33" s="312">
        <v>4.1499999403022229E-3</v>
      </c>
      <c r="CI33" s="310">
        <f t="shared" si="17"/>
        <v>0</v>
      </c>
      <c r="CJ33" s="314">
        <f t="shared" si="18"/>
        <v>-5.1222741326295562E-12</v>
      </c>
      <c r="CK33" s="315">
        <f t="shared" si="19"/>
        <v>0</v>
      </c>
      <c r="CL33" s="312"/>
      <c r="CM33" s="316">
        <f t="shared" si="46"/>
        <v>-5.1222741326295562E-12</v>
      </c>
      <c r="CN33" s="298">
        <f t="shared" si="47"/>
        <v>0</v>
      </c>
      <c r="CO33" s="317"/>
      <c r="CP33" s="318">
        <f t="shared" si="21"/>
        <v>-4.1500004008412361E-3</v>
      </c>
      <c r="CQ33" s="5"/>
      <c r="CR33" s="5"/>
      <c r="CS33" s="5"/>
      <c r="CT33" s="5"/>
      <c r="CU33" s="5"/>
    </row>
    <row r="34" spans="1:99" ht="16.899999999999999" thickBot="1" x14ac:dyDescent="0.3">
      <c r="C34" s="27" t="s">
        <v>127</v>
      </c>
      <c r="D34" s="21">
        <v>1595</v>
      </c>
      <c r="E34" s="306"/>
      <c r="F34" s="307"/>
      <c r="G34" s="307"/>
      <c r="H34" s="307"/>
      <c r="I34" s="13">
        <f t="shared" si="22"/>
        <v>0</v>
      </c>
      <c r="J34" s="307"/>
      <c r="K34" s="307"/>
      <c r="L34" s="307"/>
      <c r="M34" s="307"/>
      <c r="N34" s="13">
        <f t="shared" si="23"/>
        <v>0</v>
      </c>
      <c r="O34" s="311">
        <f t="shared" si="37"/>
        <v>0</v>
      </c>
      <c r="P34" s="307">
        <v>0</v>
      </c>
      <c r="Q34" s="307"/>
      <c r="R34" s="307"/>
      <c r="S34" s="13">
        <f t="shared" si="48"/>
        <v>0</v>
      </c>
      <c r="T34" s="13">
        <f t="shared" si="1"/>
        <v>0</v>
      </c>
      <c r="U34" s="307">
        <v>0</v>
      </c>
      <c r="V34" s="307"/>
      <c r="W34" s="307"/>
      <c r="X34" s="23">
        <f t="shared" si="38"/>
        <v>0</v>
      </c>
      <c r="Y34" s="311">
        <f t="shared" si="2"/>
        <v>0</v>
      </c>
      <c r="Z34" s="266"/>
      <c r="AA34" s="266"/>
      <c r="AB34" s="266"/>
      <c r="AC34" s="13">
        <f t="shared" si="39"/>
        <v>0</v>
      </c>
      <c r="AD34" s="310">
        <f t="shared" si="3"/>
        <v>0</v>
      </c>
      <c r="AE34" s="266"/>
      <c r="AF34" s="266"/>
      <c r="AG34" s="266"/>
      <c r="AH34" s="23">
        <f t="shared" si="40"/>
        <v>0</v>
      </c>
      <c r="AI34" s="311">
        <f t="shared" si="4"/>
        <v>0</v>
      </c>
      <c r="AJ34" s="266">
        <v>5370488.5799999982</v>
      </c>
      <c r="AK34" s="266">
        <v>4894519.459999999</v>
      </c>
      <c r="AL34" s="266"/>
      <c r="AM34" s="13">
        <f t="shared" si="5"/>
        <v>475969.11999999918</v>
      </c>
      <c r="AN34" s="310">
        <f t="shared" si="6"/>
        <v>0</v>
      </c>
      <c r="AO34" s="266">
        <v>-30180.3035065</v>
      </c>
      <c r="AP34" s="266">
        <v>72247</v>
      </c>
      <c r="AQ34" s="266"/>
      <c r="AR34" s="23">
        <f t="shared" si="41"/>
        <v>-102427.3035065</v>
      </c>
      <c r="AS34" s="311">
        <f t="shared" si="7"/>
        <v>475969.11999999918</v>
      </c>
      <c r="AT34" s="266"/>
      <c r="AU34" s="266"/>
      <c r="AV34" s="266"/>
      <c r="AW34" s="13">
        <f t="shared" si="8"/>
        <v>475969.11999999918</v>
      </c>
      <c r="AX34" s="310">
        <f t="shared" si="9"/>
        <v>-102427.3035065</v>
      </c>
      <c r="AY34" s="266">
        <v>6996.722171999998</v>
      </c>
      <c r="AZ34" s="266"/>
      <c r="BA34" s="266"/>
      <c r="BB34" s="13">
        <f t="shared" si="42"/>
        <v>-95430.581334500006</v>
      </c>
      <c r="BC34" s="311">
        <f t="shared" si="10"/>
        <v>475969.11999999918</v>
      </c>
      <c r="BD34" s="266"/>
      <c r="BE34" s="266">
        <v>475969.12000000011</v>
      </c>
      <c r="BF34" s="266"/>
      <c r="BG34" s="13">
        <f t="shared" si="11"/>
        <v>-9.3132257461547852E-10</v>
      </c>
      <c r="BH34" s="310">
        <f t="shared" si="12"/>
        <v>-95430.581334500006</v>
      </c>
      <c r="BI34" s="266"/>
      <c r="BJ34" s="266">
        <v>-95430.58</v>
      </c>
      <c r="BK34" s="266"/>
      <c r="BL34" s="23">
        <f t="shared" si="43"/>
        <v>-1.3345000043045729E-3</v>
      </c>
      <c r="BM34" s="311">
        <f t="shared" si="15"/>
        <v>-9.3132257461547852E-10</v>
      </c>
      <c r="BN34" s="312"/>
      <c r="BO34" s="307"/>
      <c r="BP34" s="307"/>
      <c r="BQ34" s="13">
        <f t="shared" si="44"/>
        <v>-9.3132257461547852E-10</v>
      </c>
      <c r="BR34" s="310">
        <f t="shared" si="13"/>
        <v>-1.3345000043045729E-3</v>
      </c>
      <c r="BS34" s="312"/>
      <c r="BT34" s="307"/>
      <c r="BU34" s="307"/>
      <c r="BV34" s="23">
        <f t="shared" si="45"/>
        <v>-1.3345000043045729E-3</v>
      </c>
      <c r="BW34" s="311">
        <f t="shared" si="16"/>
        <v>-9.3132257461547852E-10</v>
      </c>
      <c r="BX34" s="312"/>
      <c r="BY34" s="307"/>
      <c r="BZ34" s="307"/>
      <c r="CA34" s="13">
        <f t="shared" si="36"/>
        <v>-9.3132257461547852E-10</v>
      </c>
      <c r="CB34" s="310">
        <f t="shared" si="14"/>
        <v>-1.3345000043045729E-3</v>
      </c>
      <c r="CC34" s="312"/>
      <c r="CD34" s="307"/>
      <c r="CE34" s="307"/>
      <c r="CF34" s="23">
        <f t="shared" si="34"/>
        <v>-1.3345000043045729E-3</v>
      </c>
      <c r="CG34" s="313">
        <v>-9.3132257461547852E-10</v>
      </c>
      <c r="CH34" s="312">
        <v>-1.3345000145491212E-3</v>
      </c>
      <c r="CI34" s="310">
        <f t="shared" si="17"/>
        <v>0</v>
      </c>
      <c r="CJ34" s="314">
        <f t="shared" si="18"/>
        <v>1.0244548265259112E-11</v>
      </c>
      <c r="CK34" s="315">
        <f t="shared" si="19"/>
        <v>0</v>
      </c>
      <c r="CL34" s="312"/>
      <c r="CM34" s="316">
        <f t="shared" si="46"/>
        <v>1.0244548265259112E-11</v>
      </c>
      <c r="CN34" s="298">
        <f t="shared" si="47"/>
        <v>0</v>
      </c>
      <c r="CO34" s="317"/>
      <c r="CP34" s="318">
        <f t="shared" si="21"/>
        <v>1.3345009356271476E-3</v>
      </c>
      <c r="CQ34" s="5"/>
      <c r="CR34" s="5"/>
      <c r="CS34" s="5"/>
      <c r="CT34" s="5"/>
      <c r="CU34" s="5"/>
    </row>
    <row r="35" spans="1:99" ht="16.899999999999999" thickBot="1" x14ac:dyDescent="0.3">
      <c r="C35" s="27" t="s">
        <v>128</v>
      </c>
      <c r="D35" s="21">
        <v>1595</v>
      </c>
      <c r="E35" s="306"/>
      <c r="F35" s="307"/>
      <c r="G35" s="307"/>
      <c r="H35" s="307"/>
      <c r="I35" s="13">
        <f t="shared" si="22"/>
        <v>0</v>
      </c>
      <c r="J35" s="307"/>
      <c r="K35" s="307"/>
      <c r="L35" s="307"/>
      <c r="M35" s="307"/>
      <c r="N35" s="13">
        <f t="shared" si="23"/>
        <v>0</v>
      </c>
      <c r="O35" s="311">
        <f t="shared" si="37"/>
        <v>0</v>
      </c>
      <c r="P35" s="307">
        <v>0</v>
      </c>
      <c r="Q35" s="307"/>
      <c r="R35" s="307"/>
      <c r="S35" s="13">
        <f t="shared" si="48"/>
        <v>0</v>
      </c>
      <c r="T35" s="13">
        <f t="shared" si="1"/>
        <v>0</v>
      </c>
      <c r="U35" s="307">
        <v>0</v>
      </c>
      <c r="V35" s="307"/>
      <c r="W35" s="307"/>
      <c r="X35" s="23">
        <f t="shared" si="38"/>
        <v>0</v>
      </c>
      <c r="Y35" s="311">
        <f t="shared" si="2"/>
        <v>0</v>
      </c>
      <c r="Z35" s="266"/>
      <c r="AA35" s="266"/>
      <c r="AB35" s="266"/>
      <c r="AC35" s="13">
        <f t="shared" si="39"/>
        <v>0</v>
      </c>
      <c r="AD35" s="310">
        <f t="shared" si="3"/>
        <v>0</v>
      </c>
      <c r="AE35" s="266"/>
      <c r="AF35" s="266"/>
      <c r="AG35" s="266"/>
      <c r="AH35" s="23">
        <f t="shared" si="40"/>
        <v>0</v>
      </c>
      <c r="AI35" s="311">
        <f t="shared" si="4"/>
        <v>0</v>
      </c>
      <c r="AJ35" s="266"/>
      <c r="AK35" s="266"/>
      <c r="AL35" s="266"/>
      <c r="AM35" s="13">
        <f t="shared" si="5"/>
        <v>0</v>
      </c>
      <c r="AN35" s="310">
        <f t="shared" si="6"/>
        <v>0</v>
      </c>
      <c r="AO35" s="266"/>
      <c r="AP35" s="266"/>
      <c r="AQ35" s="266"/>
      <c r="AR35" s="23">
        <f t="shared" si="41"/>
        <v>0</v>
      </c>
      <c r="AS35" s="311">
        <f t="shared" si="7"/>
        <v>0</v>
      </c>
      <c r="AT35" s="266">
        <v>10296123.939841045</v>
      </c>
      <c r="AU35" s="266">
        <v>10223947.43</v>
      </c>
      <c r="AV35" s="266"/>
      <c r="AW35" s="13">
        <f t="shared" si="8"/>
        <v>72176.509841045365</v>
      </c>
      <c r="AX35" s="310">
        <f t="shared" si="9"/>
        <v>0</v>
      </c>
      <c r="AY35" s="266">
        <v>174450.57</v>
      </c>
      <c r="AZ35" s="266">
        <v>175163.77000000002</v>
      </c>
      <c r="BA35" s="266"/>
      <c r="BB35" s="13">
        <f t="shared" si="42"/>
        <v>-713.20000000001164</v>
      </c>
      <c r="BC35" s="311">
        <f t="shared" si="10"/>
        <v>72176.509841045365</v>
      </c>
      <c r="BD35" s="266"/>
      <c r="BE35" s="266"/>
      <c r="BF35" s="266"/>
      <c r="BG35" s="13">
        <f t="shared" si="11"/>
        <v>72176.509841045365</v>
      </c>
      <c r="BH35" s="310">
        <f t="shared" si="12"/>
        <v>-713.20000000001164</v>
      </c>
      <c r="BI35" s="266">
        <v>860.7018008333331</v>
      </c>
      <c r="BJ35" s="266"/>
      <c r="BK35" s="266"/>
      <c r="BL35" s="23">
        <f t="shared" si="43"/>
        <v>147.50180083332145</v>
      </c>
      <c r="BM35" s="311">
        <f t="shared" si="15"/>
        <v>72176.509841045365</v>
      </c>
      <c r="BN35" s="312"/>
      <c r="BO35" s="307">
        <v>72176.509999999995</v>
      </c>
      <c r="BP35" s="307"/>
      <c r="BQ35" s="13">
        <f t="shared" si="44"/>
        <v>-1.5895463002379984E-4</v>
      </c>
      <c r="BR35" s="310">
        <f t="shared" si="13"/>
        <v>147.50180083332145</v>
      </c>
      <c r="BS35" s="312"/>
      <c r="BT35" s="307">
        <v>147.5</v>
      </c>
      <c r="BU35" s="307"/>
      <c r="BV35" s="23">
        <f t="shared" si="45"/>
        <v>1.8008333214538652E-3</v>
      </c>
      <c r="BW35" s="311">
        <f t="shared" si="16"/>
        <v>-1.5895463002379984E-4</v>
      </c>
      <c r="BX35" s="312"/>
      <c r="BY35" s="307"/>
      <c r="BZ35" s="307"/>
      <c r="CA35" s="13">
        <f t="shared" si="36"/>
        <v>-1.5895463002379984E-4</v>
      </c>
      <c r="CB35" s="310">
        <f t="shared" si="14"/>
        <v>1.8008333214538652E-3</v>
      </c>
      <c r="CC35" s="312"/>
      <c r="CD35" s="307"/>
      <c r="CE35" s="307"/>
      <c r="CF35" s="23">
        <f t="shared" si="34"/>
        <v>1.8008333214538652E-3</v>
      </c>
      <c r="CG35" s="313">
        <v>-1.5895463002379984E-4</v>
      </c>
      <c r="CH35" s="312">
        <v>1.7990848205236033E-3</v>
      </c>
      <c r="CI35" s="310">
        <f t="shared" si="17"/>
        <v>0</v>
      </c>
      <c r="CJ35" s="314">
        <f t="shared" si="18"/>
        <v>1.7485009302618815E-6</v>
      </c>
      <c r="CK35" s="315">
        <f t="shared" si="19"/>
        <v>0</v>
      </c>
      <c r="CL35" s="312"/>
      <c r="CM35" s="316">
        <f>CJ35+CK35+CL35</f>
        <v>1.7485009302618815E-6</v>
      </c>
      <c r="CN35" s="298">
        <f t="shared" si="47"/>
        <v>0</v>
      </c>
      <c r="CO35" s="317"/>
      <c r="CP35" s="318">
        <f t="shared" si="21"/>
        <v>-1.6418786914300654E-3</v>
      </c>
      <c r="CQ35" s="5"/>
      <c r="CR35" s="5"/>
      <c r="CS35" s="5"/>
      <c r="CT35" s="5"/>
      <c r="CU35" s="5"/>
    </row>
    <row r="36" spans="1:99" ht="16.899999999999999" thickBot="1" x14ac:dyDescent="0.3">
      <c r="C36" s="28" t="s">
        <v>129</v>
      </c>
      <c r="D36" s="21">
        <v>1595</v>
      </c>
      <c r="E36" s="306"/>
      <c r="F36" s="307"/>
      <c r="G36" s="307"/>
      <c r="H36" s="307"/>
      <c r="I36" s="13">
        <f t="shared" si="22"/>
        <v>0</v>
      </c>
      <c r="J36" s="307"/>
      <c r="K36" s="307"/>
      <c r="L36" s="307"/>
      <c r="M36" s="307"/>
      <c r="N36" s="13">
        <f t="shared" si="23"/>
        <v>0</v>
      </c>
      <c r="O36" s="311">
        <f t="shared" si="37"/>
        <v>0</v>
      </c>
      <c r="P36" s="307">
        <v>0</v>
      </c>
      <c r="Q36" s="307"/>
      <c r="R36" s="307"/>
      <c r="S36" s="13">
        <f t="shared" si="48"/>
        <v>0</v>
      </c>
      <c r="T36" s="13">
        <f t="shared" si="1"/>
        <v>0</v>
      </c>
      <c r="U36" s="307">
        <v>0</v>
      </c>
      <c r="V36" s="307"/>
      <c r="W36" s="307"/>
      <c r="X36" s="23">
        <f t="shared" si="38"/>
        <v>0</v>
      </c>
      <c r="Y36" s="311">
        <f t="shared" si="2"/>
        <v>0</v>
      </c>
      <c r="Z36" s="266"/>
      <c r="AA36" s="266"/>
      <c r="AB36" s="266"/>
      <c r="AC36" s="13">
        <f t="shared" si="39"/>
        <v>0</v>
      </c>
      <c r="AD36" s="310">
        <f t="shared" si="3"/>
        <v>0</v>
      </c>
      <c r="AE36" s="266"/>
      <c r="AF36" s="266"/>
      <c r="AG36" s="266"/>
      <c r="AH36" s="23">
        <f t="shared" si="40"/>
        <v>0</v>
      </c>
      <c r="AI36" s="311">
        <f t="shared" si="4"/>
        <v>0</v>
      </c>
      <c r="AJ36" s="266"/>
      <c r="AK36" s="266"/>
      <c r="AL36" s="266"/>
      <c r="AM36" s="13">
        <f t="shared" si="5"/>
        <v>0</v>
      </c>
      <c r="AN36" s="310">
        <f t="shared" si="6"/>
        <v>0</v>
      </c>
      <c r="AO36" s="266"/>
      <c r="AP36" s="266"/>
      <c r="AQ36" s="266"/>
      <c r="AR36" s="23">
        <f t="shared" si="41"/>
        <v>0</v>
      </c>
      <c r="AS36" s="311">
        <f t="shared" si="7"/>
        <v>0</v>
      </c>
      <c r="AT36" s="266"/>
      <c r="AU36" s="266"/>
      <c r="AV36" s="266"/>
      <c r="AW36" s="13">
        <f t="shared" si="8"/>
        <v>0</v>
      </c>
      <c r="AX36" s="310">
        <f t="shared" si="9"/>
        <v>0</v>
      </c>
      <c r="AY36" s="266"/>
      <c r="AZ36" s="266"/>
      <c r="BA36" s="266"/>
      <c r="BB36" s="13">
        <f t="shared" si="42"/>
        <v>0</v>
      </c>
      <c r="BC36" s="311">
        <f t="shared" si="10"/>
        <v>0</v>
      </c>
      <c r="BD36" s="266">
        <v>-256826.83052762854</v>
      </c>
      <c r="BE36" s="266">
        <v>-456725.31731672533</v>
      </c>
      <c r="BF36" s="266"/>
      <c r="BG36" s="13">
        <f t="shared" si="11"/>
        <v>199898.48678909679</v>
      </c>
      <c r="BH36" s="310">
        <f t="shared" si="12"/>
        <v>0</v>
      </c>
      <c r="BI36" s="266">
        <v>1587898.7337583362</v>
      </c>
      <c r="BJ36" s="266">
        <v>1610163.3623086384</v>
      </c>
      <c r="BK36" s="266">
        <v>4709.509837407868</v>
      </c>
      <c r="BL36" s="23">
        <f t="shared" si="43"/>
        <v>-17555.118712894371</v>
      </c>
      <c r="BM36" s="311">
        <f t="shared" si="15"/>
        <v>199898.48678909679</v>
      </c>
      <c r="BN36" s="312"/>
      <c r="BO36" s="307"/>
      <c r="BP36" s="307"/>
      <c r="BQ36" s="13">
        <f t="shared" si="44"/>
        <v>199898.48678909679</v>
      </c>
      <c r="BR36" s="310">
        <f t="shared" si="13"/>
        <v>-17555.118712894371</v>
      </c>
      <c r="BS36" s="312">
        <v>2198.883354680067</v>
      </c>
      <c r="BT36" s="307"/>
      <c r="BU36" s="307"/>
      <c r="BV36" s="23">
        <f t="shared" si="45"/>
        <v>-15356.235358214304</v>
      </c>
      <c r="BW36" s="311">
        <f t="shared" si="16"/>
        <v>199898.48678909679</v>
      </c>
      <c r="BX36" s="312"/>
      <c r="BY36" s="307">
        <f>127372+72526</f>
        <v>199898</v>
      </c>
      <c r="BZ36" s="307"/>
      <c r="CA36" s="13">
        <f t="shared" si="36"/>
        <v>0.48678909678710625</v>
      </c>
      <c r="CB36" s="310">
        <f t="shared" si="14"/>
        <v>-15356.235358214304</v>
      </c>
      <c r="CC36" s="312"/>
      <c r="CD36" s="307">
        <f>-47712+4715.9+27640</f>
        <v>-15356.099999999999</v>
      </c>
      <c r="CE36" s="307"/>
      <c r="CF36" s="23">
        <f t="shared" si="34"/>
        <v>-0.13535821430559736</v>
      </c>
      <c r="CG36" s="313">
        <v>0</v>
      </c>
      <c r="CH36" s="312">
        <v>3.3546799859323073E-3</v>
      </c>
      <c r="CI36" s="310">
        <f t="shared" si="17"/>
        <v>0.48678909678710625</v>
      </c>
      <c r="CJ36" s="314">
        <f t="shared" si="18"/>
        <v>-0.13871289429152966</v>
      </c>
      <c r="CK36" s="315">
        <f t="shared" si="19"/>
        <v>8.7256945599088788E-3</v>
      </c>
      <c r="CL36" s="312"/>
      <c r="CM36" s="316">
        <f t="shared" si="46"/>
        <v>-0.12998719973162079</v>
      </c>
      <c r="CN36" s="298">
        <f>IF(CD36=0,IF(SUM(CG36:CH36)=0,SUM(CI36:CL36),0),SUM(CI36:CL36))</f>
        <v>0.35680189705548548</v>
      </c>
      <c r="CO36" s="317"/>
      <c r="CP36" s="318">
        <f t="shared" si="21"/>
        <v>-0.35143088248150889</v>
      </c>
      <c r="CQ36" s="5"/>
      <c r="CR36" s="5"/>
      <c r="CS36" s="5"/>
      <c r="CT36" s="5"/>
      <c r="CU36" s="5"/>
    </row>
    <row r="37" spans="1:99" ht="16.899999999999999" thickBot="1" x14ac:dyDescent="0.3">
      <c r="C37" s="28" t="s">
        <v>130</v>
      </c>
      <c r="D37" s="21">
        <v>1595</v>
      </c>
      <c r="E37" s="129"/>
      <c r="F37" s="129"/>
      <c r="G37" s="129"/>
      <c r="H37" s="129"/>
      <c r="I37" s="13">
        <f t="shared" si="22"/>
        <v>0</v>
      </c>
      <c r="J37" s="129"/>
      <c r="K37" s="129"/>
      <c r="L37" s="129"/>
      <c r="M37" s="129"/>
      <c r="N37" s="13">
        <f t="shared" si="23"/>
        <v>0</v>
      </c>
      <c r="O37" s="311">
        <f t="shared" si="37"/>
        <v>0</v>
      </c>
      <c r="P37" s="307">
        <v>0</v>
      </c>
      <c r="Q37" s="307"/>
      <c r="R37" s="307"/>
      <c r="S37" s="13">
        <f t="shared" si="48"/>
        <v>0</v>
      </c>
      <c r="T37" s="13">
        <f t="shared" si="1"/>
        <v>0</v>
      </c>
      <c r="U37" s="307">
        <v>0</v>
      </c>
      <c r="V37" s="307"/>
      <c r="W37" s="307"/>
      <c r="X37" s="23">
        <f t="shared" si="38"/>
        <v>0</v>
      </c>
      <c r="Y37" s="311">
        <f t="shared" si="2"/>
        <v>0</v>
      </c>
      <c r="Z37" s="307"/>
      <c r="AA37" s="307"/>
      <c r="AB37" s="307"/>
      <c r="AC37" s="13">
        <f t="shared" si="39"/>
        <v>0</v>
      </c>
      <c r="AD37" s="310">
        <f t="shared" si="3"/>
        <v>0</v>
      </c>
      <c r="AE37" s="307"/>
      <c r="AF37" s="307"/>
      <c r="AG37" s="307"/>
      <c r="AH37" s="23">
        <f t="shared" si="40"/>
        <v>0</v>
      </c>
      <c r="AI37" s="311">
        <f t="shared" si="4"/>
        <v>0</v>
      </c>
      <c r="AJ37" s="307"/>
      <c r="AK37" s="307"/>
      <c r="AL37" s="322"/>
      <c r="AM37" s="13">
        <f t="shared" si="5"/>
        <v>0</v>
      </c>
      <c r="AN37" s="310">
        <f t="shared" si="6"/>
        <v>0</v>
      </c>
      <c r="AO37" s="307"/>
      <c r="AP37" s="307"/>
      <c r="AQ37" s="312"/>
      <c r="AR37" s="23">
        <f t="shared" si="41"/>
        <v>0</v>
      </c>
      <c r="AS37" s="311">
        <f t="shared" si="7"/>
        <v>0</v>
      </c>
      <c r="AT37" s="312"/>
      <c r="AU37" s="307"/>
      <c r="AV37" s="307"/>
      <c r="AW37" s="13">
        <f t="shared" si="8"/>
        <v>0</v>
      </c>
      <c r="AX37" s="310">
        <f t="shared" si="9"/>
        <v>0</v>
      </c>
      <c r="AY37" s="312"/>
      <c r="AZ37" s="307"/>
      <c r="BA37" s="307"/>
      <c r="BB37" s="13">
        <f t="shared" si="42"/>
        <v>0</v>
      </c>
      <c r="BC37" s="311">
        <f t="shared" si="10"/>
        <v>0</v>
      </c>
      <c r="BD37" s="312"/>
      <c r="BE37" s="307"/>
      <c r="BF37" s="307"/>
      <c r="BG37" s="13">
        <f t="shared" si="11"/>
        <v>0</v>
      </c>
      <c r="BH37" s="310">
        <f t="shared" si="12"/>
        <v>0</v>
      </c>
      <c r="BI37" s="312"/>
      <c r="BJ37" s="307"/>
      <c r="BK37" s="307"/>
      <c r="BL37" s="23">
        <f t="shared" si="43"/>
        <v>0</v>
      </c>
      <c r="BM37" s="311">
        <f t="shared" si="15"/>
        <v>0</v>
      </c>
      <c r="BN37" s="312">
        <v>-8988871.513268102</v>
      </c>
      <c r="BO37" s="307">
        <v>-9183779.8008410539</v>
      </c>
      <c r="BP37" s="307"/>
      <c r="BQ37" s="13">
        <f t="shared" si="44"/>
        <v>194908.28757295199</v>
      </c>
      <c r="BR37" s="310">
        <f t="shared" si="13"/>
        <v>0</v>
      </c>
      <c r="BS37" s="312">
        <v>47944.961923766954</v>
      </c>
      <c r="BT37" s="307">
        <v>-343677.95373252931</v>
      </c>
      <c r="BU37" s="307"/>
      <c r="BV37" s="23">
        <f t="shared" si="45"/>
        <v>391622.91565629625</v>
      </c>
      <c r="BW37" s="311">
        <f t="shared" si="16"/>
        <v>194908.28757295199</v>
      </c>
      <c r="BX37" s="312"/>
      <c r="BY37" s="307"/>
      <c r="BZ37" s="307"/>
      <c r="CA37" s="13">
        <f t="shared" si="36"/>
        <v>194908.28757295199</v>
      </c>
      <c r="CB37" s="310">
        <f t="shared" si="14"/>
        <v>391622.91565629625</v>
      </c>
      <c r="CC37" s="312">
        <f>2338.9-65.43</f>
        <v>2273.4700000000003</v>
      </c>
      <c r="CD37" s="307"/>
      <c r="CE37" s="307"/>
      <c r="CF37" s="23">
        <f t="shared" si="34"/>
        <v>393896.38565629622</v>
      </c>
      <c r="CG37" s="313">
        <v>194908.28757295199</v>
      </c>
      <c r="CH37" s="312">
        <v>393766.90681959869</v>
      </c>
      <c r="CI37" s="310">
        <f t="shared" si="17"/>
        <v>0</v>
      </c>
      <c r="CJ37" s="314">
        <f t="shared" si="18"/>
        <v>129.47883669752628</v>
      </c>
      <c r="CK37" s="315">
        <f t="shared" si="19"/>
        <v>0</v>
      </c>
      <c r="CL37" s="312"/>
      <c r="CM37" s="316">
        <f t="shared" si="46"/>
        <v>129.47883669752628</v>
      </c>
      <c r="CN37" s="298">
        <f t="shared" ref="CN37:CN38" si="49">IF(CD37=0,IF(SUM(CG37:CH37)=0,SUM(CI37:CL37),0),SUM(CI37:CL37))</f>
        <v>0</v>
      </c>
      <c r="CO37" s="317">
        <v>588804.67000000004</v>
      </c>
      <c r="CP37" s="318">
        <f t="shared" si="21"/>
        <v>-3.2292482210323215E-3</v>
      </c>
      <c r="CQ37" s="5"/>
      <c r="CR37" s="5"/>
      <c r="CS37" s="5"/>
      <c r="CT37" s="5"/>
      <c r="CU37" s="5"/>
    </row>
    <row r="38" spans="1:99" ht="16.899999999999999" thickBot="1" x14ac:dyDescent="0.3">
      <c r="C38" s="28" t="s">
        <v>131</v>
      </c>
      <c r="D38" s="21">
        <v>1595</v>
      </c>
      <c r="E38" s="129"/>
      <c r="F38" s="129"/>
      <c r="G38" s="129"/>
      <c r="H38" s="129"/>
      <c r="I38" s="13"/>
      <c r="J38" s="129"/>
      <c r="K38" s="129"/>
      <c r="L38" s="129"/>
      <c r="M38" s="129"/>
      <c r="N38" s="13"/>
      <c r="O38" s="283"/>
      <c r="P38" s="129"/>
      <c r="Q38" s="129"/>
      <c r="R38" s="129"/>
      <c r="S38" s="13"/>
      <c r="T38" s="13"/>
      <c r="U38" s="129"/>
      <c r="V38" s="129"/>
      <c r="W38" s="129"/>
      <c r="X38" s="23"/>
      <c r="Y38" s="283"/>
      <c r="Z38" s="129"/>
      <c r="AA38" s="129"/>
      <c r="AB38" s="129"/>
      <c r="AC38" s="13"/>
      <c r="AD38" s="284"/>
      <c r="AE38" s="129"/>
      <c r="AF38" s="129"/>
      <c r="AG38" s="129"/>
      <c r="AH38" s="23"/>
      <c r="AI38" s="283"/>
      <c r="AJ38" s="129"/>
      <c r="AK38" s="129"/>
      <c r="AL38" s="285"/>
      <c r="AM38" s="13"/>
      <c r="AN38" s="284"/>
      <c r="AO38" s="129"/>
      <c r="AP38" s="129"/>
      <c r="AQ38" s="285"/>
      <c r="AR38" s="23"/>
      <c r="AS38" s="311">
        <f t="shared" si="7"/>
        <v>0</v>
      </c>
      <c r="AT38" s="285"/>
      <c r="AU38" s="129"/>
      <c r="AV38" s="129"/>
      <c r="AW38" s="13"/>
      <c r="AX38" s="284"/>
      <c r="AY38" s="285"/>
      <c r="AZ38" s="129"/>
      <c r="BA38" s="129"/>
      <c r="BB38" s="13"/>
      <c r="BC38" s="283"/>
      <c r="BD38" s="285"/>
      <c r="BE38" s="129"/>
      <c r="BF38" s="129"/>
      <c r="BG38" s="13"/>
      <c r="BH38" s="284"/>
      <c r="BI38" s="285"/>
      <c r="BJ38" s="129"/>
      <c r="BK38" s="129"/>
      <c r="BL38" s="23"/>
      <c r="BM38" s="283"/>
      <c r="BN38" s="285"/>
      <c r="BO38" s="129"/>
      <c r="BP38" s="129"/>
      <c r="BQ38" s="13"/>
      <c r="BR38" s="284"/>
      <c r="BS38" s="285"/>
      <c r="BT38" s="129"/>
      <c r="BU38" s="129"/>
      <c r="BV38" s="23"/>
      <c r="BW38" s="311">
        <f t="shared" si="16"/>
        <v>0</v>
      </c>
      <c r="BX38" s="285">
        <f>7897024.61-458.44</f>
        <v>7896566.1699999999</v>
      </c>
      <c r="BY38" s="129">
        <v>8365783.4400000004</v>
      </c>
      <c r="BZ38" s="129"/>
      <c r="CA38" s="13">
        <f t="shared" si="36"/>
        <v>-469217.27000000048</v>
      </c>
      <c r="CB38" s="310">
        <f t="shared" si="14"/>
        <v>0</v>
      </c>
      <c r="CC38" s="285">
        <v>-46776.26</v>
      </c>
      <c r="CD38" s="129">
        <v>118765</v>
      </c>
      <c r="CE38" s="129"/>
      <c r="CF38" s="23">
        <f t="shared" si="34"/>
        <v>-165541.26</v>
      </c>
      <c r="CG38" s="313">
        <v>0</v>
      </c>
      <c r="CH38" s="312">
        <v>0</v>
      </c>
      <c r="CI38" s="310">
        <f t="shared" si="17"/>
        <v>-469217.27000000048</v>
      </c>
      <c r="CJ38" s="314">
        <f t="shared" si="18"/>
        <v>-165541.26</v>
      </c>
      <c r="CK38" s="315">
        <f t="shared" si="19"/>
        <v>-8410.7195647500084</v>
      </c>
      <c r="CL38" s="285"/>
      <c r="CM38" s="316">
        <v>0</v>
      </c>
      <c r="CN38" s="298">
        <v>0</v>
      </c>
      <c r="CO38" s="317">
        <v>-634758.53</v>
      </c>
      <c r="CP38" s="318">
        <f>CO38-SUM(CA38,CF38)</f>
        <v>0</v>
      </c>
      <c r="CQ38" s="5"/>
      <c r="CR38" s="5"/>
      <c r="CS38" s="5"/>
      <c r="CT38" s="5"/>
      <c r="CU38" s="5"/>
    </row>
    <row r="39" spans="1:99" ht="14.45" x14ac:dyDescent="0.3">
      <c r="C39" s="27"/>
      <c r="D39" s="21"/>
      <c r="E39" s="29"/>
      <c r="F39" s="29"/>
      <c r="G39" s="29"/>
      <c r="H39" s="29"/>
      <c r="I39" s="29"/>
      <c r="J39" s="29"/>
      <c r="K39" s="29"/>
      <c r="L39" s="29"/>
      <c r="M39" s="29"/>
      <c r="N39" s="30"/>
      <c r="O39" s="31"/>
      <c r="P39" s="29"/>
      <c r="Q39" s="29"/>
      <c r="R39" s="29"/>
      <c r="S39" s="29"/>
      <c r="T39" s="29"/>
      <c r="U39" s="29"/>
      <c r="V39" s="29"/>
      <c r="W39" s="29"/>
      <c r="X39" s="30"/>
      <c r="Y39" s="31"/>
      <c r="Z39" s="29"/>
      <c r="AA39" s="29"/>
      <c r="AB39" s="29"/>
      <c r="AC39" s="29"/>
      <c r="AD39" s="29"/>
      <c r="AE39" s="29"/>
      <c r="AF39" s="29"/>
      <c r="AG39" s="29"/>
      <c r="AH39" s="30"/>
      <c r="AI39" s="32"/>
      <c r="AJ39" s="33"/>
      <c r="AK39" s="33"/>
      <c r="AL39" s="33"/>
      <c r="AM39" s="33"/>
      <c r="AN39" s="33"/>
      <c r="AO39" s="33"/>
      <c r="AP39" s="33"/>
      <c r="AQ39" s="33"/>
      <c r="AR39" s="22"/>
      <c r="AS39" s="32"/>
      <c r="AT39" s="33"/>
      <c r="AU39" s="33"/>
      <c r="AV39" s="33"/>
      <c r="AW39" s="33"/>
      <c r="AX39" s="33"/>
      <c r="AY39" s="33"/>
      <c r="AZ39" s="33"/>
      <c r="BA39" s="33"/>
      <c r="BB39" s="33"/>
      <c r="BC39" s="32"/>
      <c r="BD39" s="33"/>
      <c r="BE39" s="33"/>
      <c r="BF39" s="33"/>
      <c r="BG39" s="33"/>
      <c r="BH39" s="33"/>
      <c r="BI39" s="33"/>
      <c r="BJ39" s="33"/>
      <c r="BK39" s="33"/>
      <c r="BL39" s="22"/>
      <c r="BM39" s="32"/>
      <c r="BN39" s="33"/>
      <c r="BO39" s="33"/>
      <c r="BP39" s="33"/>
      <c r="BQ39" s="33"/>
      <c r="BR39" s="33"/>
      <c r="BS39" s="33"/>
      <c r="BT39" s="33"/>
      <c r="BU39" s="33"/>
      <c r="BV39" s="22"/>
      <c r="BW39" s="32"/>
      <c r="BX39" s="33"/>
      <c r="BY39" s="33"/>
      <c r="BZ39" s="33"/>
      <c r="CA39" s="33"/>
      <c r="CB39" s="33"/>
      <c r="CC39" s="33"/>
      <c r="CD39" s="33"/>
      <c r="CE39" s="33"/>
      <c r="CF39" s="22"/>
      <c r="CG39" s="32"/>
      <c r="CH39" s="33"/>
      <c r="CI39" s="13"/>
      <c r="CJ39" s="23"/>
      <c r="CK39" s="34"/>
      <c r="CL39" s="35"/>
      <c r="CM39" s="19"/>
      <c r="CN39" s="36"/>
      <c r="CO39" s="323"/>
      <c r="CP39" s="318"/>
      <c r="CQ39" s="5"/>
      <c r="CR39" s="5"/>
      <c r="CS39" s="5"/>
      <c r="CT39" s="5"/>
      <c r="CU39" s="5"/>
    </row>
    <row r="40" spans="1:99" ht="14.45" thickBot="1" x14ac:dyDescent="0.3">
      <c r="C40" s="37" t="str">
        <f>C29</f>
        <v>RSVA - Global Adjustment</v>
      </c>
      <c r="D40" s="38">
        <v>1589</v>
      </c>
      <c r="E40" s="13">
        <f t="shared" ref="E40:BP40" si="50">E29</f>
        <v>0</v>
      </c>
      <c r="F40" s="13">
        <f t="shared" si="50"/>
        <v>0</v>
      </c>
      <c r="G40" s="13">
        <f t="shared" si="50"/>
        <v>0</v>
      </c>
      <c r="H40" s="13">
        <f t="shared" si="50"/>
        <v>0</v>
      </c>
      <c r="I40" s="13">
        <f t="shared" si="50"/>
        <v>0</v>
      </c>
      <c r="J40" s="13">
        <f t="shared" si="50"/>
        <v>0</v>
      </c>
      <c r="K40" s="13">
        <f t="shared" si="50"/>
        <v>0</v>
      </c>
      <c r="L40" s="13">
        <f t="shared" si="50"/>
        <v>0</v>
      </c>
      <c r="M40" s="13">
        <f t="shared" si="50"/>
        <v>0</v>
      </c>
      <c r="N40" s="13">
        <f t="shared" si="50"/>
        <v>0</v>
      </c>
      <c r="O40" s="12">
        <f t="shared" si="50"/>
        <v>0</v>
      </c>
      <c r="P40" s="13">
        <f t="shared" si="50"/>
        <v>1058062.9899999946</v>
      </c>
      <c r="Q40" s="13">
        <f t="shared" si="50"/>
        <v>0</v>
      </c>
      <c r="R40" s="13">
        <f t="shared" si="50"/>
        <v>0</v>
      </c>
      <c r="S40" s="13">
        <f t="shared" si="50"/>
        <v>1058062.9899999946</v>
      </c>
      <c r="T40" s="13">
        <f t="shared" si="50"/>
        <v>0</v>
      </c>
      <c r="U40" s="13">
        <f t="shared" si="50"/>
        <v>69597.939999999988</v>
      </c>
      <c r="V40" s="13">
        <f t="shared" si="50"/>
        <v>0</v>
      </c>
      <c r="W40" s="13">
        <f t="shared" si="50"/>
        <v>0</v>
      </c>
      <c r="X40" s="23">
        <f t="shared" si="50"/>
        <v>69597.939999999988</v>
      </c>
      <c r="Y40" s="12">
        <f t="shared" si="50"/>
        <v>1058062.9899999946</v>
      </c>
      <c r="Z40" s="13">
        <f t="shared" si="50"/>
        <v>-3235246.1200000048</v>
      </c>
      <c r="AA40" s="13">
        <f t="shared" si="50"/>
        <v>0</v>
      </c>
      <c r="AB40" s="13">
        <f t="shared" si="50"/>
        <v>0</v>
      </c>
      <c r="AC40" s="13">
        <f t="shared" si="50"/>
        <v>-2177183.1300000101</v>
      </c>
      <c r="AD40" s="13">
        <f t="shared" si="50"/>
        <v>69597.939999999988</v>
      </c>
      <c r="AE40" s="13">
        <f t="shared" si="50"/>
        <v>495.22</v>
      </c>
      <c r="AF40" s="13">
        <f t="shared" si="50"/>
        <v>0</v>
      </c>
      <c r="AG40" s="13">
        <f t="shared" si="50"/>
        <v>0</v>
      </c>
      <c r="AH40" s="23">
        <f t="shared" si="50"/>
        <v>70093.159999999989</v>
      </c>
      <c r="AI40" s="12">
        <f t="shared" si="50"/>
        <v>-2177183.1300000101</v>
      </c>
      <c r="AJ40" s="13">
        <f t="shared" si="50"/>
        <v>-1669046.0400000215</v>
      </c>
      <c r="AK40" s="13">
        <f t="shared" si="50"/>
        <v>1127660.93</v>
      </c>
      <c r="AL40" s="13">
        <f t="shared" si="50"/>
        <v>4668526.9869420975</v>
      </c>
      <c r="AM40" s="13">
        <f t="shared" si="50"/>
        <v>-305363.11305793375</v>
      </c>
      <c r="AN40" s="13">
        <f t="shared" si="50"/>
        <v>70093.159999999989</v>
      </c>
      <c r="AO40" s="13">
        <f t="shared" si="50"/>
        <v>-16958.78</v>
      </c>
      <c r="AP40" s="13">
        <f t="shared" si="50"/>
        <v>15553</v>
      </c>
      <c r="AQ40" s="13">
        <f t="shared" si="50"/>
        <v>60232.101746408574</v>
      </c>
      <c r="AR40" s="23">
        <f t="shared" si="50"/>
        <v>97813.481746408565</v>
      </c>
      <c r="AS40" s="12">
        <f t="shared" si="50"/>
        <v>-305363.11305793375</v>
      </c>
      <c r="AT40" s="13">
        <f t="shared" si="50"/>
        <v>1473743.9699999839</v>
      </c>
      <c r="AU40" s="13">
        <f t="shared" si="50"/>
        <v>-3304844.06</v>
      </c>
      <c r="AV40" s="13">
        <f t="shared" si="50"/>
        <v>5344769.4944851007</v>
      </c>
      <c r="AW40" s="13">
        <f t="shared" si="50"/>
        <v>9817994.4114271514</v>
      </c>
      <c r="AX40" s="13">
        <f t="shared" si="50"/>
        <v>97813.481746408565</v>
      </c>
      <c r="AY40" s="13">
        <f t="shared" si="50"/>
        <v>92778.54</v>
      </c>
      <c r="AZ40" s="13">
        <f t="shared" si="50"/>
        <v>5958.9500000000044</v>
      </c>
      <c r="BA40" s="13">
        <f t="shared" si="50"/>
        <v>0</v>
      </c>
      <c r="BB40" s="13">
        <f t="shared" si="50"/>
        <v>184633.07174640853</v>
      </c>
      <c r="BC40" s="12">
        <f t="shared" si="50"/>
        <v>9817994.4114271514</v>
      </c>
      <c r="BD40" s="13">
        <f t="shared" si="50"/>
        <v>2612620.8600000739</v>
      </c>
      <c r="BE40" s="13">
        <f t="shared" si="50"/>
        <v>2999480.9533259743</v>
      </c>
      <c r="BF40" s="13">
        <f t="shared" si="50"/>
        <v>0</v>
      </c>
      <c r="BG40" s="13">
        <f t="shared" si="50"/>
        <v>9431134.3181012515</v>
      </c>
      <c r="BH40" s="13">
        <f t="shared" si="50"/>
        <v>184633.07174640853</v>
      </c>
      <c r="BI40" s="13">
        <f t="shared" si="50"/>
        <v>97517.37999999999</v>
      </c>
      <c r="BJ40" s="13">
        <f t="shared" si="50"/>
        <v>87365.691746408585</v>
      </c>
      <c r="BK40" s="13">
        <f t="shared" si="50"/>
        <v>0</v>
      </c>
      <c r="BL40" s="23">
        <f t="shared" si="50"/>
        <v>194784.75999999995</v>
      </c>
      <c r="BM40" s="12">
        <f t="shared" si="50"/>
        <v>9431134.3181012515</v>
      </c>
      <c r="BN40" s="13">
        <f t="shared" si="50"/>
        <v>-3004934.7699999809</v>
      </c>
      <c r="BO40" s="13">
        <f t="shared" si="50"/>
        <v>6818513.4644850846</v>
      </c>
      <c r="BP40" s="13">
        <f t="shared" si="50"/>
        <v>-1808419</v>
      </c>
      <c r="BQ40" s="13">
        <f t="shared" ref="BQ40:CJ40" si="51">BQ29</f>
        <v>-2200732.9163838141</v>
      </c>
      <c r="BR40" s="13">
        <f t="shared" si="51"/>
        <v>194784.75999999995</v>
      </c>
      <c r="BS40" s="13">
        <f t="shared" si="51"/>
        <v>28693.39</v>
      </c>
      <c r="BT40" s="13">
        <f t="shared" si="51"/>
        <v>178578.15000000002</v>
      </c>
      <c r="BU40" s="13">
        <f t="shared" si="51"/>
        <v>0</v>
      </c>
      <c r="BV40" s="23">
        <f t="shared" si="51"/>
        <v>44899.999999999942</v>
      </c>
      <c r="BW40" s="12">
        <f t="shared" si="51"/>
        <v>-2200732.9163838141</v>
      </c>
      <c r="BX40" s="13"/>
      <c r="BY40" s="13"/>
      <c r="BZ40" s="13"/>
      <c r="CA40" s="13">
        <f>CA29</f>
        <v>-5163932.7763838135</v>
      </c>
      <c r="CB40" s="13">
        <f>CB29</f>
        <v>44899.999999999942</v>
      </c>
      <c r="CC40" s="13"/>
      <c r="CD40" s="13"/>
      <c r="CE40" s="13"/>
      <c r="CF40" s="23">
        <f>CF29</f>
        <v>-17345.480000000061</v>
      </c>
      <c r="CG40" s="12">
        <f t="shared" si="51"/>
        <v>-4813353.7763838582</v>
      </c>
      <c r="CH40" s="13">
        <f t="shared" si="51"/>
        <v>-52992.331540222513</v>
      </c>
      <c r="CI40" s="13">
        <f t="shared" si="51"/>
        <v>-350578.9999999553</v>
      </c>
      <c r="CJ40" s="23">
        <f t="shared" si="51"/>
        <v>35646.851540222451</v>
      </c>
      <c r="CK40" s="12">
        <f>CK29</f>
        <v>-6284.1285749991985</v>
      </c>
      <c r="CL40" s="13">
        <f>CL29</f>
        <v>0</v>
      </c>
      <c r="CM40" s="13">
        <f>CM29</f>
        <v>29362.722965223253</v>
      </c>
      <c r="CN40" s="298">
        <f>CN29</f>
        <v>-321216.27703473205</v>
      </c>
      <c r="CO40" s="132">
        <f>CO29</f>
        <v>-4345022.2699999996</v>
      </c>
      <c r="CP40" s="318">
        <f t="shared" ref="CP40:CP42" si="52">CO40-SUM(CA40,CF40)</f>
        <v>836255.98638381436</v>
      </c>
      <c r="CQ40" s="5"/>
      <c r="CR40" s="5"/>
      <c r="CS40" s="5"/>
      <c r="CT40" s="5"/>
      <c r="CU40" s="5"/>
    </row>
    <row r="41" spans="1:99" s="19" customFormat="1" thickBot="1" x14ac:dyDescent="0.35">
      <c r="A41"/>
      <c r="B41"/>
      <c r="C41" s="39" t="s">
        <v>132</v>
      </c>
      <c r="D41" s="40"/>
      <c r="E41" s="13">
        <f>SUM(E21:E37)-E29</f>
        <v>0</v>
      </c>
      <c r="F41" s="13">
        <f t="shared" ref="F41:BQ41" si="53">SUM(F21:F37)-F29</f>
        <v>0</v>
      </c>
      <c r="G41" s="13">
        <f t="shared" si="53"/>
        <v>0</v>
      </c>
      <c r="H41" s="13">
        <f t="shared" si="53"/>
        <v>0</v>
      </c>
      <c r="I41" s="13">
        <f t="shared" si="53"/>
        <v>0</v>
      </c>
      <c r="J41" s="13">
        <f t="shared" si="53"/>
        <v>0</v>
      </c>
      <c r="K41" s="13">
        <f t="shared" si="53"/>
        <v>0</v>
      </c>
      <c r="L41" s="13">
        <f t="shared" si="53"/>
        <v>0</v>
      </c>
      <c r="M41" s="13">
        <f t="shared" si="53"/>
        <v>0</v>
      </c>
      <c r="N41" s="13">
        <f t="shared" si="53"/>
        <v>0</v>
      </c>
      <c r="O41" s="12">
        <f t="shared" si="53"/>
        <v>0</v>
      </c>
      <c r="P41" s="13">
        <f t="shared" si="53"/>
        <v>-15655123.519999994</v>
      </c>
      <c r="Q41" s="13">
        <f t="shared" si="53"/>
        <v>0</v>
      </c>
      <c r="R41" s="13">
        <f t="shared" si="53"/>
        <v>0</v>
      </c>
      <c r="S41" s="13">
        <f t="shared" si="53"/>
        <v>-15655123.519999994</v>
      </c>
      <c r="T41" s="13">
        <f t="shared" si="53"/>
        <v>0</v>
      </c>
      <c r="U41" s="13">
        <f t="shared" si="53"/>
        <v>-2717393.33</v>
      </c>
      <c r="V41" s="13">
        <f t="shared" si="53"/>
        <v>0</v>
      </c>
      <c r="W41" s="13">
        <f t="shared" si="53"/>
        <v>0</v>
      </c>
      <c r="X41" s="13">
        <f t="shared" si="53"/>
        <v>-2717393.33</v>
      </c>
      <c r="Y41" s="12">
        <f t="shared" si="53"/>
        <v>-15655123.519999994</v>
      </c>
      <c r="Z41" s="13">
        <f t="shared" si="53"/>
        <v>2942153.7709999848</v>
      </c>
      <c r="AA41" s="13">
        <f t="shared" si="53"/>
        <v>-2039038</v>
      </c>
      <c r="AB41" s="13">
        <f t="shared" si="53"/>
        <v>-493721.79000000004</v>
      </c>
      <c r="AC41" s="13">
        <f t="shared" si="53"/>
        <v>-11167653.539000012</v>
      </c>
      <c r="AD41" s="13">
        <f t="shared" si="53"/>
        <v>-2717393.33</v>
      </c>
      <c r="AE41" s="13">
        <f t="shared" si="53"/>
        <v>-179947.01</v>
      </c>
      <c r="AF41" s="13">
        <f t="shared" si="53"/>
        <v>-1284828</v>
      </c>
      <c r="AG41" s="13">
        <f t="shared" si="53"/>
        <v>2206.5</v>
      </c>
      <c r="AH41" s="13">
        <f t="shared" si="53"/>
        <v>-1610305.8399999996</v>
      </c>
      <c r="AI41" s="12">
        <f t="shared" si="53"/>
        <v>-11167653.539000012</v>
      </c>
      <c r="AJ41" s="13">
        <f t="shared" si="53"/>
        <v>4900338.8500000592</v>
      </c>
      <c r="AK41" s="13">
        <f t="shared" si="53"/>
        <v>-1127660.93</v>
      </c>
      <c r="AL41" s="13">
        <f t="shared" si="53"/>
        <v>-4651558.9869420975</v>
      </c>
      <c r="AM41" s="13">
        <f t="shared" si="53"/>
        <v>-9791212.7459420469</v>
      </c>
      <c r="AN41" s="13">
        <f t="shared" si="53"/>
        <v>-1610305.8399999996</v>
      </c>
      <c r="AO41" s="13">
        <f t="shared" si="53"/>
        <v>-115737.62350649998</v>
      </c>
      <c r="AP41" s="13">
        <f t="shared" si="53"/>
        <v>-15553</v>
      </c>
      <c r="AQ41" s="13">
        <f t="shared" si="53"/>
        <v>-58926.087596408572</v>
      </c>
      <c r="AR41" s="13">
        <f t="shared" si="53"/>
        <v>-1769416.5511029081</v>
      </c>
      <c r="AS41" s="324">
        <f t="shared" si="53"/>
        <v>-9791212.7459420469</v>
      </c>
      <c r="AT41" s="13">
        <f t="shared" si="53"/>
        <v>15355499.309841059</v>
      </c>
      <c r="AU41" s="13">
        <f t="shared" si="53"/>
        <v>3304844.06</v>
      </c>
      <c r="AV41" s="13">
        <f t="shared" si="53"/>
        <v>-2766285.4944851007</v>
      </c>
      <c r="AW41" s="13">
        <f t="shared" si="53"/>
        <v>-506842.99058609083</v>
      </c>
      <c r="AX41" s="13">
        <f t="shared" si="53"/>
        <v>-1769416.5511029081</v>
      </c>
      <c r="AY41" s="13">
        <f t="shared" si="53"/>
        <v>168326.34217200003</v>
      </c>
      <c r="AZ41" s="13">
        <f t="shared" si="53"/>
        <v>-5958.9500000000044</v>
      </c>
      <c r="BA41" s="13">
        <f t="shared" si="53"/>
        <v>0</v>
      </c>
      <c r="BB41" s="13">
        <f t="shared" si="53"/>
        <v>-1595131.2589309085</v>
      </c>
      <c r="BC41" s="12">
        <f t="shared" si="53"/>
        <v>-506842.99058609083</v>
      </c>
      <c r="BD41" s="13">
        <f t="shared" si="53"/>
        <v>-11310386.100527661</v>
      </c>
      <c r="BE41" s="13">
        <f t="shared" si="53"/>
        <v>-3328834.650642694</v>
      </c>
      <c r="BF41" s="13">
        <f t="shared" si="53"/>
        <v>0</v>
      </c>
      <c r="BG41" s="13">
        <f t="shared" si="53"/>
        <v>-8488394.4404710587</v>
      </c>
      <c r="BH41" s="13">
        <f t="shared" si="53"/>
        <v>-1595131.2589309085</v>
      </c>
      <c r="BI41" s="13">
        <f t="shared" si="53"/>
        <v>1591086.8655591696</v>
      </c>
      <c r="BJ41" s="13">
        <f t="shared" si="53"/>
        <v>-121861.83544377051</v>
      </c>
      <c r="BK41" s="13">
        <f t="shared" si="53"/>
        <v>4709.509837407868</v>
      </c>
      <c r="BL41" s="23">
        <f t="shared" si="53"/>
        <v>122526.95190943929</v>
      </c>
      <c r="BM41" s="12">
        <f t="shared" si="53"/>
        <v>-8488394.4404710587</v>
      </c>
      <c r="BN41" s="13">
        <f>SUM(BN21:BN37)-BN29</f>
        <v>-12992103.523268089</v>
      </c>
      <c r="BO41" s="13">
        <f t="shared" si="53"/>
        <v>-6818513.4153261427</v>
      </c>
      <c r="BP41" s="13">
        <f t="shared" si="53"/>
        <v>819534</v>
      </c>
      <c r="BQ41" s="13">
        <f t="shared" si="53"/>
        <v>-13842450.548413003</v>
      </c>
      <c r="BR41" s="13">
        <f t="shared" ref="BR41:CL41" si="54">SUM(BR21:BR37)-BR29</f>
        <v>122526.95190943929</v>
      </c>
      <c r="BS41" s="13">
        <f t="shared" si="54"/>
        <v>-72019.264461552957</v>
      </c>
      <c r="BT41" s="13">
        <f t="shared" si="54"/>
        <v>-177507.65533977933</v>
      </c>
      <c r="BU41" s="13">
        <f t="shared" si="54"/>
        <v>0</v>
      </c>
      <c r="BV41" s="23">
        <f t="shared" si="54"/>
        <v>228015.34278766561</v>
      </c>
      <c r="BW41" s="12">
        <f>SUM(BW21:BW38)-BW29</f>
        <v>-13842450.548413003</v>
      </c>
      <c r="BX41" s="13"/>
      <c r="BY41" s="13"/>
      <c r="BZ41" s="13"/>
      <c r="CA41" s="13">
        <f>SUM(CA21:CA38)-CA29</f>
        <v>-11230616.298413005</v>
      </c>
      <c r="CB41" s="13">
        <f>SUM(CB21:CB38)-CB29</f>
        <v>228015.34278766561</v>
      </c>
      <c r="CC41" s="13"/>
      <c r="CD41" s="13"/>
      <c r="CE41" s="13"/>
      <c r="CF41" s="23">
        <f>SUM(CF21:CF38)-CF29</f>
        <v>153651.63278766561</v>
      </c>
      <c r="CG41" s="12">
        <f t="shared" si="54"/>
        <v>-2864046.2452020673</v>
      </c>
      <c r="CH41" s="13">
        <f t="shared" si="54"/>
        <v>360221.28212308715</v>
      </c>
      <c r="CI41" s="13">
        <f>SUM(CI21:CI38)-CI29</f>
        <v>-8366570.0532109365</v>
      </c>
      <c r="CJ41" s="23">
        <f>SUM(CJ21:CJ38)-CJ29</f>
        <v>-206569.64933542156</v>
      </c>
      <c r="CK41" s="12">
        <f>SUM(CK21:CK38)-CK29</f>
        <v>-149970.76820380604</v>
      </c>
      <c r="CL41" s="13">
        <f t="shared" si="54"/>
        <v>0</v>
      </c>
      <c r="CM41" s="13">
        <f>SUM(CM21:CM38)-CM29</f>
        <v>-182588.43797447759</v>
      </c>
      <c r="CN41" s="13">
        <f>SUM(CN21:CN38)-CN29</f>
        <v>-8080070.7000238597</v>
      </c>
      <c r="CO41" s="132">
        <f>SUM(CO21:CO38)-CO29</f>
        <v>-11664538.050000001</v>
      </c>
      <c r="CP41" s="318">
        <f t="shared" si="52"/>
        <v>-587573.38437466137</v>
      </c>
      <c r="CQ41" s="35"/>
      <c r="CR41" s="35"/>
      <c r="CS41" s="35"/>
      <c r="CT41" s="35"/>
      <c r="CU41" s="35"/>
    </row>
    <row r="42" spans="1:99" s="19" customFormat="1" thickBot="1" x14ac:dyDescent="0.35">
      <c r="A42"/>
      <c r="B42"/>
      <c r="C42" s="39" t="s">
        <v>133</v>
      </c>
      <c r="D42" s="40"/>
      <c r="E42" s="13">
        <f>SUM(E40,E41)</f>
        <v>0</v>
      </c>
      <c r="F42" s="13">
        <f t="shared" ref="F42:O42" si="55">SUM(F40,F41)</f>
        <v>0</v>
      </c>
      <c r="G42" s="13">
        <f t="shared" si="55"/>
        <v>0</v>
      </c>
      <c r="H42" s="13">
        <f t="shared" si="55"/>
        <v>0</v>
      </c>
      <c r="I42" s="13">
        <f t="shared" si="55"/>
        <v>0</v>
      </c>
      <c r="J42" s="13">
        <f t="shared" si="55"/>
        <v>0</v>
      </c>
      <c r="K42" s="13">
        <f t="shared" si="55"/>
        <v>0</v>
      </c>
      <c r="L42" s="13">
        <f t="shared" si="55"/>
        <v>0</v>
      </c>
      <c r="M42" s="13">
        <f t="shared" si="55"/>
        <v>0</v>
      </c>
      <c r="N42" s="13">
        <f t="shared" si="55"/>
        <v>0</v>
      </c>
      <c r="O42" s="12">
        <f t="shared" si="55"/>
        <v>0</v>
      </c>
      <c r="P42" s="13">
        <f>SUM(P40,P41)</f>
        <v>-14597060.529999999</v>
      </c>
      <c r="Q42" s="13">
        <f t="shared" ref="Q42:CM42" si="56">SUM(Q40,Q41)</f>
        <v>0</v>
      </c>
      <c r="R42" s="13">
        <f t="shared" si="56"/>
        <v>0</v>
      </c>
      <c r="S42" s="13">
        <f t="shared" si="56"/>
        <v>-14597060.529999999</v>
      </c>
      <c r="T42" s="13">
        <f t="shared" si="56"/>
        <v>0</v>
      </c>
      <c r="U42" s="13">
        <f t="shared" si="56"/>
        <v>-2647795.39</v>
      </c>
      <c r="V42" s="13">
        <f t="shared" si="56"/>
        <v>0</v>
      </c>
      <c r="W42" s="13">
        <f t="shared" si="56"/>
        <v>0</v>
      </c>
      <c r="X42" s="23">
        <f t="shared" si="56"/>
        <v>-2647795.39</v>
      </c>
      <c r="Y42" s="13">
        <f t="shared" si="56"/>
        <v>-14597060.529999999</v>
      </c>
      <c r="Z42" s="13">
        <f t="shared" si="56"/>
        <v>-293092.34900001995</v>
      </c>
      <c r="AA42" s="13">
        <f t="shared" si="56"/>
        <v>-2039038</v>
      </c>
      <c r="AB42" s="13">
        <f t="shared" si="56"/>
        <v>-493721.79000000004</v>
      </c>
      <c r="AC42" s="13">
        <f t="shared" si="56"/>
        <v>-13344836.669000022</v>
      </c>
      <c r="AD42" s="13">
        <f t="shared" si="56"/>
        <v>-2647795.39</v>
      </c>
      <c r="AE42" s="13">
        <f t="shared" si="56"/>
        <v>-179451.79</v>
      </c>
      <c r="AF42" s="13">
        <f t="shared" si="56"/>
        <v>-1284828</v>
      </c>
      <c r="AG42" s="13">
        <f t="shared" si="56"/>
        <v>2206.5</v>
      </c>
      <c r="AH42" s="23">
        <f t="shared" si="56"/>
        <v>-1540212.6799999997</v>
      </c>
      <c r="AI42" s="13">
        <f t="shared" si="56"/>
        <v>-13344836.669000022</v>
      </c>
      <c r="AJ42" s="13">
        <f t="shared" si="56"/>
        <v>3231292.8100000378</v>
      </c>
      <c r="AK42" s="13">
        <f t="shared" si="56"/>
        <v>0</v>
      </c>
      <c r="AL42" s="13">
        <f t="shared" si="56"/>
        <v>16968</v>
      </c>
      <c r="AM42" s="13">
        <f t="shared" si="56"/>
        <v>-10096575.858999981</v>
      </c>
      <c r="AN42" s="13">
        <f t="shared" si="56"/>
        <v>-1540212.6799999997</v>
      </c>
      <c r="AO42" s="13">
        <f t="shared" si="56"/>
        <v>-132696.40350649998</v>
      </c>
      <c r="AP42" s="13">
        <f t="shared" si="56"/>
        <v>0</v>
      </c>
      <c r="AQ42" s="13">
        <f t="shared" si="56"/>
        <v>1306.0141500000027</v>
      </c>
      <c r="AR42" s="13">
        <f t="shared" si="56"/>
        <v>-1671603.0693564995</v>
      </c>
      <c r="AS42" s="324">
        <f t="shared" si="56"/>
        <v>-10096575.858999981</v>
      </c>
      <c r="AT42" s="13">
        <f t="shared" si="56"/>
        <v>16829243.279841043</v>
      </c>
      <c r="AU42" s="13">
        <f t="shared" si="56"/>
        <v>0</v>
      </c>
      <c r="AV42" s="13">
        <f t="shared" si="56"/>
        <v>2578484</v>
      </c>
      <c r="AW42" s="13">
        <f t="shared" si="56"/>
        <v>9311151.4208410606</v>
      </c>
      <c r="AX42" s="13">
        <f t="shared" si="56"/>
        <v>-1671603.0693564995</v>
      </c>
      <c r="AY42" s="13">
        <f t="shared" si="56"/>
        <v>261104.88217200001</v>
      </c>
      <c r="AZ42" s="13">
        <f t="shared" si="56"/>
        <v>0</v>
      </c>
      <c r="BA42" s="13">
        <f t="shared" si="56"/>
        <v>0</v>
      </c>
      <c r="BB42" s="13">
        <f t="shared" si="56"/>
        <v>-1410498.1871845</v>
      </c>
      <c r="BC42" s="12">
        <f t="shared" si="56"/>
        <v>9311151.4208410606</v>
      </c>
      <c r="BD42" s="13">
        <f t="shared" si="56"/>
        <v>-8697765.240527587</v>
      </c>
      <c r="BE42" s="13">
        <f t="shared" si="56"/>
        <v>-329353.69731671968</v>
      </c>
      <c r="BF42" s="13">
        <f t="shared" si="56"/>
        <v>0</v>
      </c>
      <c r="BG42" s="13">
        <f t="shared" si="56"/>
        <v>942739.87763019279</v>
      </c>
      <c r="BH42" s="13">
        <f t="shared" si="56"/>
        <v>-1410498.1871845</v>
      </c>
      <c r="BI42" s="13">
        <f t="shared" si="56"/>
        <v>1688604.2455591694</v>
      </c>
      <c r="BJ42" s="13">
        <f t="shared" si="56"/>
        <v>-34496.143697361927</v>
      </c>
      <c r="BK42" s="13">
        <f t="shared" si="56"/>
        <v>4709.509837407868</v>
      </c>
      <c r="BL42" s="23">
        <f t="shared" si="56"/>
        <v>317311.71190943924</v>
      </c>
      <c r="BM42" s="12">
        <f t="shared" si="56"/>
        <v>942739.87763019279</v>
      </c>
      <c r="BN42" s="13">
        <f t="shared" si="56"/>
        <v>-15997038.29326807</v>
      </c>
      <c r="BO42" s="13">
        <f t="shared" si="56"/>
        <v>4.9158941954374313E-2</v>
      </c>
      <c r="BP42" s="13">
        <f t="shared" si="56"/>
        <v>-988885</v>
      </c>
      <c r="BQ42" s="13">
        <f t="shared" si="56"/>
        <v>-16043183.464796817</v>
      </c>
      <c r="BR42" s="13">
        <f t="shared" si="56"/>
        <v>317311.71190943924</v>
      </c>
      <c r="BS42" s="13">
        <f t="shared" si="56"/>
        <v>-43325.874461552958</v>
      </c>
      <c r="BT42" s="13">
        <f t="shared" si="56"/>
        <v>1070.494660220691</v>
      </c>
      <c r="BU42" s="13">
        <f t="shared" si="56"/>
        <v>0</v>
      </c>
      <c r="BV42" s="23">
        <f t="shared" si="56"/>
        <v>272915.34278766555</v>
      </c>
      <c r="BW42" s="12">
        <f t="shared" ref="BW42" si="57">SUM(BW40,BW41)</f>
        <v>-16043183.464796817</v>
      </c>
      <c r="BX42" s="13"/>
      <c r="BY42" s="13"/>
      <c r="BZ42" s="13"/>
      <c r="CA42" s="13">
        <f>SUM(CA40,CA41)</f>
        <v>-16394549.074796818</v>
      </c>
      <c r="CB42" s="13">
        <f>SUM(CB40,CB41)</f>
        <v>272915.34278766555</v>
      </c>
      <c r="CC42" s="13"/>
      <c r="CD42" s="13"/>
      <c r="CE42" s="13"/>
      <c r="CF42" s="23">
        <f>SUM(CF40,CF41)</f>
        <v>136306.15278766555</v>
      </c>
      <c r="CG42" s="12">
        <f t="shared" si="56"/>
        <v>-7677400.0215859255</v>
      </c>
      <c r="CH42" s="13">
        <f t="shared" si="56"/>
        <v>307228.95058286464</v>
      </c>
      <c r="CI42" s="13">
        <f t="shared" si="56"/>
        <v>-8717149.0532108918</v>
      </c>
      <c r="CJ42" s="23">
        <f t="shared" si="56"/>
        <v>-170922.79779519912</v>
      </c>
      <c r="CK42" s="12">
        <f>SUM(CK40,CK41)</f>
        <v>-156254.89677880524</v>
      </c>
      <c r="CL42" s="13">
        <f t="shared" si="56"/>
        <v>0</v>
      </c>
      <c r="CM42" s="13">
        <f t="shared" si="56"/>
        <v>-153225.71500925435</v>
      </c>
      <c r="CN42" s="13">
        <f>SUM(CN40,CN41)</f>
        <v>-8401286.9770585913</v>
      </c>
      <c r="CO42" s="132">
        <f>SUM(CO40,CO41)</f>
        <v>-16009560.32</v>
      </c>
      <c r="CP42" s="318">
        <f t="shared" si="52"/>
        <v>248682.60200915299</v>
      </c>
      <c r="CQ42" s="35"/>
      <c r="CR42" s="35"/>
      <c r="CS42" s="35"/>
      <c r="CT42" s="35"/>
      <c r="CU42" s="35"/>
    </row>
    <row r="43" spans="1:99" s="19" customFormat="1" thickBot="1" x14ac:dyDescent="0.35">
      <c r="A43"/>
      <c r="B43"/>
      <c r="C43" s="20"/>
      <c r="D43" s="41"/>
      <c r="E43" s="35"/>
      <c r="F43" s="35"/>
      <c r="G43" s="35"/>
      <c r="H43" s="35"/>
      <c r="I43" s="35"/>
      <c r="J43" s="35"/>
      <c r="K43" s="35"/>
      <c r="L43" s="35"/>
      <c r="M43" s="35"/>
      <c r="N43" s="42"/>
      <c r="O43" s="43"/>
      <c r="P43" s="325"/>
      <c r="Q43" s="325"/>
      <c r="R43" s="325"/>
      <c r="S43" s="325"/>
      <c r="T43" s="325"/>
      <c r="U43" s="325"/>
      <c r="V43" s="325"/>
      <c r="W43" s="325"/>
      <c r="X43" s="326"/>
      <c r="Y43" s="325"/>
      <c r="Z43" s="325"/>
      <c r="AA43" s="325"/>
      <c r="AB43" s="325"/>
      <c r="AC43" s="325"/>
      <c r="AD43" s="325"/>
      <c r="AE43" s="325"/>
      <c r="AF43" s="325"/>
      <c r="AG43" s="325"/>
      <c r="AH43" s="326"/>
      <c r="AI43" s="325"/>
      <c r="AJ43" s="325"/>
      <c r="AK43" s="325"/>
      <c r="AL43" s="325"/>
      <c r="AM43" s="325"/>
      <c r="AN43" s="325"/>
      <c r="AO43" s="325"/>
      <c r="AP43" s="325"/>
      <c r="AQ43" s="325"/>
      <c r="AR43" s="327"/>
      <c r="AS43" s="32"/>
      <c r="AT43" s="325"/>
      <c r="AU43" s="325"/>
      <c r="AV43" s="325"/>
      <c r="AW43" s="325"/>
      <c r="AX43" s="325"/>
      <c r="AY43" s="325"/>
      <c r="AZ43" s="325"/>
      <c r="BA43" s="325"/>
      <c r="BB43" s="325"/>
      <c r="BC43" s="328"/>
      <c r="BD43" s="325"/>
      <c r="BE43" s="325"/>
      <c r="BF43" s="325"/>
      <c r="BG43" s="325"/>
      <c r="BH43" s="325"/>
      <c r="BI43" s="325"/>
      <c r="BJ43" s="325"/>
      <c r="BK43" s="325"/>
      <c r="BL43" s="326"/>
      <c r="BM43" s="328"/>
      <c r="BN43" s="325"/>
      <c r="BO43" s="325"/>
      <c r="BP43" s="325"/>
      <c r="BQ43" s="325"/>
      <c r="BR43" s="325"/>
      <c r="BS43" s="325"/>
      <c r="BT43" s="325"/>
      <c r="BU43" s="325"/>
      <c r="BV43" s="326"/>
      <c r="BW43" s="328"/>
      <c r="BX43" s="325"/>
      <c r="BY43" s="325"/>
      <c r="BZ43" s="325"/>
      <c r="CA43" s="325"/>
      <c r="CB43" s="325"/>
      <c r="CC43" s="325"/>
      <c r="CD43" s="325"/>
      <c r="CE43" s="325"/>
      <c r="CF43" s="326"/>
      <c r="CG43" s="329"/>
      <c r="CH43" s="330"/>
      <c r="CI43" s="331"/>
      <c r="CJ43" s="332"/>
      <c r="CK43" s="329"/>
      <c r="CL43" s="330"/>
      <c r="CM43" s="9"/>
      <c r="CN43" s="298"/>
      <c r="CO43" s="323"/>
      <c r="CP43" s="332"/>
      <c r="CQ43" s="35"/>
      <c r="CR43" s="35"/>
      <c r="CS43" s="35"/>
      <c r="CT43" s="35"/>
      <c r="CU43" s="35"/>
    </row>
    <row r="44" spans="1:99" s="19" customFormat="1" thickBot="1" x14ac:dyDescent="0.35">
      <c r="A44">
        <v>29</v>
      </c>
      <c r="B44"/>
      <c r="C44" s="44" t="s">
        <v>134</v>
      </c>
      <c r="D44" s="45">
        <v>1568</v>
      </c>
      <c r="E44" s="46"/>
      <c r="F44" s="46"/>
      <c r="G44" s="46"/>
      <c r="H44" s="46"/>
      <c r="I44" s="46"/>
      <c r="J44" s="46"/>
      <c r="K44" s="46"/>
      <c r="L44" s="46"/>
      <c r="M44" s="46"/>
      <c r="N44" s="47"/>
      <c r="O44" s="48"/>
      <c r="P44" s="49"/>
      <c r="Q44" s="49"/>
      <c r="R44" s="49"/>
      <c r="S44" s="33">
        <f>O44+P44-Q44+SUM(R44:R44)</f>
        <v>0</v>
      </c>
      <c r="T44" s="49"/>
      <c r="U44" s="49"/>
      <c r="V44" s="49"/>
      <c r="W44" s="49"/>
      <c r="X44" s="22">
        <f>T44+U44-V44+W44</f>
        <v>0</v>
      </c>
      <c r="Y44" s="333">
        <f>S44</f>
        <v>0</v>
      </c>
      <c r="Z44" s="49">
        <v>-237216</v>
      </c>
      <c r="AA44" s="49"/>
      <c r="AB44" s="49"/>
      <c r="AC44" s="33">
        <f>Y44+Z44-AA44+SUM(AB44:AB44)</f>
        <v>-237216</v>
      </c>
      <c r="AD44" s="33">
        <f>X44</f>
        <v>0</v>
      </c>
      <c r="AE44" s="49">
        <v>-278</v>
      </c>
      <c r="AF44" s="49"/>
      <c r="AG44" s="307"/>
      <c r="AH44" s="22">
        <f>AD44+AE44-AF44+AG44</f>
        <v>-278</v>
      </c>
      <c r="AI44" s="309">
        <f>AC44</f>
        <v>-237216</v>
      </c>
      <c r="AJ44" s="49"/>
      <c r="AK44" s="49"/>
      <c r="AL44" s="50"/>
      <c r="AM44" s="33">
        <f>AI44+AJ44-AK44+SUM(AL44:AL44)</f>
        <v>-237216</v>
      </c>
      <c r="AN44" s="33">
        <f>AH44</f>
        <v>-278</v>
      </c>
      <c r="AO44" s="49">
        <v>-3487</v>
      </c>
      <c r="AP44" s="49"/>
      <c r="AQ44" s="50"/>
      <c r="AR44" s="22">
        <f>AN44+AO44-AP44+AQ44</f>
        <v>-3765</v>
      </c>
      <c r="AS44" s="309">
        <f>AM44</f>
        <v>-237216</v>
      </c>
      <c r="AT44" s="49">
        <v>-59871</v>
      </c>
      <c r="AU44" s="49"/>
      <c r="AV44" s="49"/>
      <c r="AW44" s="33">
        <f>AS44+AT44-AU44+SUM(AV44:AV44)</f>
        <v>-297087</v>
      </c>
      <c r="AX44" s="33">
        <f>AR44</f>
        <v>-3765</v>
      </c>
      <c r="AY44" s="312">
        <v>-3487</v>
      </c>
      <c r="AZ44" s="49"/>
      <c r="BA44" s="49"/>
      <c r="BB44" s="33">
        <f>AX44+AY44-AZ44+BA44</f>
        <v>-7252</v>
      </c>
      <c r="BC44" s="309">
        <f>AW44</f>
        <v>-297087</v>
      </c>
      <c r="BD44" s="312">
        <v>85881</v>
      </c>
      <c r="BE44" s="312">
        <v>-237216</v>
      </c>
      <c r="BF44" s="312"/>
      <c r="BG44" s="33">
        <f>BC44+BD44-BE44+SUM(BF44:BF44)</f>
        <v>26010</v>
      </c>
      <c r="BH44" s="33">
        <f>BB44</f>
        <v>-7252</v>
      </c>
      <c r="BI44" s="312">
        <v>-1005</v>
      </c>
      <c r="BJ44" s="49">
        <v>-7252</v>
      </c>
      <c r="BK44" s="49"/>
      <c r="BL44" s="22">
        <f>BH44+BI44-BJ44+BK44</f>
        <v>-1005</v>
      </c>
      <c r="BM44" s="309">
        <f>BG44</f>
        <v>26010</v>
      </c>
      <c r="BN44" s="312">
        <v>303456</v>
      </c>
      <c r="BO44" s="312"/>
      <c r="BP44" s="312"/>
      <c r="BQ44" s="33">
        <f>BM44+BN44-BO44+SUM(BP44:BP44)</f>
        <v>329466</v>
      </c>
      <c r="BR44" s="33">
        <f>BL44</f>
        <v>-1005</v>
      </c>
      <c r="BS44" s="312">
        <v>564</v>
      </c>
      <c r="BT44" s="49"/>
      <c r="BU44" s="49"/>
      <c r="BV44" s="22">
        <f>BR44+BS44-BT44+BU44</f>
        <v>-441</v>
      </c>
      <c r="BW44" s="309">
        <f>BQ44</f>
        <v>329466</v>
      </c>
      <c r="BX44" s="312">
        <f>2283050.55+1.5</f>
        <v>2283052.0499999998</v>
      </c>
      <c r="BY44" s="312"/>
      <c r="BZ44" s="312"/>
      <c r="CA44" s="33">
        <f>BW44+BX44-BY44+SUM(BZ44:BZ44)</f>
        <v>2612518.0499999998</v>
      </c>
      <c r="CB44" s="33">
        <f>BV44</f>
        <v>-441</v>
      </c>
      <c r="CC44" s="312">
        <v>67737.27</v>
      </c>
      <c r="CD44" s="49"/>
      <c r="CE44" s="49"/>
      <c r="CF44" s="22">
        <f>CB44+CC44-CD44+CE44</f>
        <v>67296.27</v>
      </c>
      <c r="CG44" s="313"/>
      <c r="CH44" s="312"/>
      <c r="CI44" s="310">
        <f t="shared" ref="CI44" si="58">CA44-CG44</f>
        <v>2612518.0499999998</v>
      </c>
      <c r="CJ44" s="314">
        <f t="shared" ref="CJ44" si="59">CF44-CH44</f>
        <v>67296.27</v>
      </c>
      <c r="CK44" s="315">
        <f t="shared" ref="CK44" si="60">CI44*((1.5%*25%)+(1.89%*75%))</f>
        <v>46829.386046249994</v>
      </c>
      <c r="CL44" s="312"/>
      <c r="CM44" s="316">
        <f>CJ44+CK44+CL44</f>
        <v>114125.65604624999</v>
      </c>
      <c r="CN44" s="298">
        <f t="shared" ref="CN44" si="61">SUM(CI44:CL44)</f>
        <v>2726643.7060462497</v>
      </c>
      <c r="CO44" s="132">
        <v>2679814.3199999998</v>
      </c>
      <c r="CP44" s="318">
        <f t="shared" ref="CP44" si="62">CO44-SUM(CA44,CF44)</f>
        <v>0</v>
      </c>
      <c r="CQ44" s="35"/>
      <c r="CR44" s="35"/>
      <c r="CS44" s="35"/>
      <c r="CT44" s="35"/>
      <c r="CU44" s="35"/>
    </row>
    <row r="45" spans="1:99" s="19" customFormat="1" ht="14.45" x14ac:dyDescent="0.3">
      <c r="A45"/>
      <c r="B45"/>
      <c r="C45" s="44"/>
      <c r="D45" s="45"/>
      <c r="E45" s="35"/>
      <c r="F45" s="35"/>
      <c r="G45" s="35"/>
      <c r="H45" s="35"/>
      <c r="I45" s="35"/>
      <c r="J45" s="35"/>
      <c r="K45" s="35"/>
      <c r="L45" s="35"/>
      <c r="M45" s="35"/>
      <c r="N45" s="42"/>
      <c r="O45" s="43"/>
      <c r="P45" s="325"/>
      <c r="Q45" s="325"/>
      <c r="R45" s="325"/>
      <c r="S45" s="325"/>
      <c r="T45" s="325"/>
      <c r="U45" s="325"/>
      <c r="V45" s="325"/>
      <c r="W45" s="325"/>
      <c r="X45" s="326"/>
      <c r="Y45" s="325"/>
      <c r="Z45" s="325"/>
      <c r="AA45" s="325"/>
      <c r="AB45" s="325"/>
      <c r="AC45" s="325"/>
      <c r="AD45" s="325"/>
      <c r="AE45" s="325"/>
      <c r="AF45" s="325"/>
      <c r="AG45" s="325"/>
      <c r="AH45" s="326"/>
      <c r="AI45" s="325"/>
      <c r="AJ45" s="325"/>
      <c r="AK45" s="325"/>
      <c r="AL45" s="325"/>
      <c r="AM45" s="325"/>
      <c r="AN45" s="325"/>
      <c r="AO45" s="325"/>
      <c r="AP45" s="325"/>
      <c r="AQ45" s="325"/>
      <c r="AR45" s="325"/>
      <c r="AS45" s="32"/>
      <c r="AT45" s="325"/>
      <c r="AU45" s="325"/>
      <c r="AV45" s="325"/>
      <c r="AW45" s="325"/>
      <c r="AX45" s="325"/>
      <c r="AY45" s="325"/>
      <c r="AZ45" s="325"/>
      <c r="BA45" s="325"/>
      <c r="BB45" s="325"/>
      <c r="BC45" s="328"/>
      <c r="BD45" s="325"/>
      <c r="BE45" s="325"/>
      <c r="BF45" s="325"/>
      <c r="BG45" s="325"/>
      <c r="BH45" s="325"/>
      <c r="BI45" s="325"/>
      <c r="BJ45" s="325"/>
      <c r="BK45" s="325"/>
      <c r="BL45" s="326"/>
      <c r="BM45" s="328"/>
      <c r="BN45" s="325"/>
      <c r="BO45" s="325"/>
      <c r="BP45" s="325"/>
      <c r="BQ45" s="325"/>
      <c r="BR45" s="325"/>
      <c r="BS45" s="325"/>
      <c r="BT45" s="325"/>
      <c r="BU45" s="325"/>
      <c r="BV45" s="326"/>
      <c r="BW45" s="328"/>
      <c r="BX45" s="325"/>
      <c r="BY45" s="325"/>
      <c r="BZ45" s="325"/>
      <c r="CA45" s="325"/>
      <c r="CB45" s="325"/>
      <c r="CC45" s="325"/>
      <c r="CD45" s="325"/>
      <c r="CE45" s="325"/>
      <c r="CF45" s="326"/>
      <c r="CG45" s="329"/>
      <c r="CH45" s="330"/>
      <c r="CI45" s="331"/>
      <c r="CJ45" s="332"/>
      <c r="CK45" s="329"/>
      <c r="CL45" s="330"/>
      <c r="CM45" s="331"/>
      <c r="CN45" s="298"/>
      <c r="CO45" s="323"/>
      <c r="CP45" s="332"/>
      <c r="CQ45" s="35"/>
      <c r="CR45" s="35"/>
      <c r="CS45" s="35"/>
      <c r="CT45" s="35"/>
      <c r="CU45" s="35"/>
    </row>
    <row r="46" spans="1:99" s="56" customFormat="1" thickBot="1" x14ac:dyDescent="0.35">
      <c r="A46" s="51"/>
      <c r="B46"/>
      <c r="C46" s="52" t="s">
        <v>135</v>
      </c>
      <c r="D46" s="53"/>
      <c r="E46" s="334">
        <f>SUM(E42,E44)</f>
        <v>0</v>
      </c>
      <c r="F46" s="334">
        <f t="shared" ref="F46:CK46" si="63">SUM(F42,F44)</f>
        <v>0</v>
      </c>
      <c r="G46" s="334">
        <f t="shared" si="63"/>
        <v>0</v>
      </c>
      <c r="H46" s="334">
        <f t="shared" si="63"/>
        <v>0</v>
      </c>
      <c r="I46" s="334">
        <f t="shared" si="63"/>
        <v>0</v>
      </c>
      <c r="J46" s="334">
        <f t="shared" si="63"/>
        <v>0</v>
      </c>
      <c r="K46" s="334">
        <f t="shared" si="63"/>
        <v>0</v>
      </c>
      <c r="L46" s="334">
        <f t="shared" si="63"/>
        <v>0</v>
      </c>
      <c r="M46" s="334">
        <f t="shared" si="63"/>
        <v>0</v>
      </c>
      <c r="N46" s="54">
        <f t="shared" si="63"/>
        <v>0</v>
      </c>
      <c r="O46" s="55">
        <f t="shared" si="63"/>
        <v>0</v>
      </c>
      <c r="P46" s="334">
        <f t="shared" si="63"/>
        <v>-14597060.529999999</v>
      </c>
      <c r="Q46" s="334">
        <f t="shared" si="63"/>
        <v>0</v>
      </c>
      <c r="R46" s="334">
        <f t="shared" si="63"/>
        <v>0</v>
      </c>
      <c r="S46" s="334">
        <f t="shared" si="63"/>
        <v>-14597060.529999999</v>
      </c>
      <c r="T46" s="334">
        <f t="shared" si="63"/>
        <v>0</v>
      </c>
      <c r="U46" s="334">
        <f t="shared" si="63"/>
        <v>-2647795.39</v>
      </c>
      <c r="V46" s="334">
        <f t="shared" si="63"/>
        <v>0</v>
      </c>
      <c r="W46" s="334">
        <f t="shared" si="63"/>
        <v>0</v>
      </c>
      <c r="X46" s="334">
        <f t="shared" si="63"/>
        <v>-2647795.39</v>
      </c>
      <c r="Y46" s="55">
        <f t="shared" si="63"/>
        <v>-14597060.529999999</v>
      </c>
      <c r="Z46" s="334">
        <f t="shared" si="63"/>
        <v>-530308.34900001995</v>
      </c>
      <c r="AA46" s="334">
        <f t="shared" si="63"/>
        <v>-2039038</v>
      </c>
      <c r="AB46" s="334">
        <f t="shared" si="63"/>
        <v>-493721.79000000004</v>
      </c>
      <c r="AC46" s="334">
        <f t="shared" si="63"/>
        <v>-13582052.669000022</v>
      </c>
      <c r="AD46" s="334">
        <f t="shared" si="63"/>
        <v>-2647795.39</v>
      </c>
      <c r="AE46" s="334">
        <f t="shared" si="63"/>
        <v>-179729.79</v>
      </c>
      <c r="AF46" s="334">
        <f t="shared" si="63"/>
        <v>-1284828</v>
      </c>
      <c r="AG46" s="334">
        <f t="shared" si="63"/>
        <v>2206.5</v>
      </c>
      <c r="AH46" s="334">
        <f t="shared" si="63"/>
        <v>-1540490.6799999997</v>
      </c>
      <c r="AI46" s="55">
        <f t="shared" si="63"/>
        <v>-13582052.669000022</v>
      </c>
      <c r="AJ46" s="334">
        <f t="shared" si="63"/>
        <v>3231292.8100000378</v>
      </c>
      <c r="AK46" s="334">
        <f t="shared" si="63"/>
        <v>0</v>
      </c>
      <c r="AL46" s="334">
        <f t="shared" si="63"/>
        <v>16968</v>
      </c>
      <c r="AM46" s="334">
        <f t="shared" si="63"/>
        <v>-10333791.858999981</v>
      </c>
      <c r="AN46" s="334">
        <f t="shared" si="63"/>
        <v>-1540490.6799999997</v>
      </c>
      <c r="AO46" s="334">
        <f t="shared" si="63"/>
        <v>-136183.40350649998</v>
      </c>
      <c r="AP46" s="334">
        <f t="shared" si="63"/>
        <v>0</v>
      </c>
      <c r="AQ46" s="334">
        <f t="shared" si="63"/>
        <v>1306.0141500000027</v>
      </c>
      <c r="AR46" s="334">
        <f t="shared" si="63"/>
        <v>-1675368.0693564995</v>
      </c>
      <c r="AS46" s="55">
        <f t="shared" si="63"/>
        <v>-10333791.858999981</v>
      </c>
      <c r="AT46" s="334">
        <f t="shared" si="63"/>
        <v>16769372.279841043</v>
      </c>
      <c r="AU46" s="334">
        <f t="shared" si="63"/>
        <v>0</v>
      </c>
      <c r="AV46" s="334">
        <f t="shared" si="63"/>
        <v>2578484</v>
      </c>
      <c r="AW46" s="334">
        <f t="shared" si="63"/>
        <v>9014064.4208410606</v>
      </c>
      <c r="AX46" s="334">
        <f t="shared" si="63"/>
        <v>-1675368.0693564995</v>
      </c>
      <c r="AY46" s="334">
        <f t="shared" si="63"/>
        <v>257617.88217200001</v>
      </c>
      <c r="AZ46" s="334">
        <f t="shared" si="63"/>
        <v>0</v>
      </c>
      <c r="BA46" s="334">
        <f t="shared" si="63"/>
        <v>0</v>
      </c>
      <c r="BB46" s="334">
        <f t="shared" si="63"/>
        <v>-1417750.1871845</v>
      </c>
      <c r="BC46" s="55">
        <f t="shared" si="63"/>
        <v>9014064.4208410606</v>
      </c>
      <c r="BD46" s="334">
        <f t="shared" si="63"/>
        <v>-8611884.240527587</v>
      </c>
      <c r="BE46" s="334">
        <f t="shared" si="63"/>
        <v>-566569.69731671968</v>
      </c>
      <c r="BF46" s="334">
        <f t="shared" si="63"/>
        <v>0</v>
      </c>
      <c r="BG46" s="334">
        <f t="shared" si="63"/>
        <v>968749.87763019279</v>
      </c>
      <c r="BH46" s="334">
        <f t="shared" si="63"/>
        <v>-1417750.1871845</v>
      </c>
      <c r="BI46" s="334">
        <f t="shared" si="63"/>
        <v>1687599.2455591694</v>
      </c>
      <c r="BJ46" s="334">
        <f t="shared" si="63"/>
        <v>-41748.143697361927</v>
      </c>
      <c r="BK46" s="334">
        <f t="shared" si="63"/>
        <v>4709.509837407868</v>
      </c>
      <c r="BL46" s="54">
        <f t="shared" si="63"/>
        <v>316306.71190943924</v>
      </c>
      <c r="BM46" s="55">
        <f t="shared" si="63"/>
        <v>968749.87763019279</v>
      </c>
      <c r="BN46" s="334">
        <f t="shared" si="63"/>
        <v>-15693582.29326807</v>
      </c>
      <c r="BO46" s="334">
        <f t="shared" si="63"/>
        <v>4.9158941954374313E-2</v>
      </c>
      <c r="BP46" s="334">
        <f t="shared" si="63"/>
        <v>-988885</v>
      </c>
      <c r="BQ46" s="334">
        <f t="shared" si="63"/>
        <v>-15713717.464796817</v>
      </c>
      <c r="BR46" s="334">
        <f t="shared" si="63"/>
        <v>316306.71190943924</v>
      </c>
      <c r="BS46" s="334">
        <f t="shared" si="63"/>
        <v>-42761.874461552958</v>
      </c>
      <c r="BT46" s="334">
        <f t="shared" si="63"/>
        <v>1070.494660220691</v>
      </c>
      <c r="BU46" s="334">
        <f t="shared" si="63"/>
        <v>0</v>
      </c>
      <c r="BV46" s="54">
        <f t="shared" si="63"/>
        <v>272474.34278766555</v>
      </c>
      <c r="BW46" s="55">
        <f t="shared" ref="BW46" si="64">SUM(BW42,BW44)</f>
        <v>-15713717.464796817</v>
      </c>
      <c r="BX46" s="334"/>
      <c r="BY46" s="334"/>
      <c r="BZ46" s="334"/>
      <c r="CA46" s="334">
        <f t="shared" ref="CA46:CB46" si="65">SUM(CA42,CA44)</f>
        <v>-13782031.024796817</v>
      </c>
      <c r="CB46" s="334">
        <f t="shared" si="65"/>
        <v>272474.34278766555</v>
      </c>
      <c r="CC46" s="334"/>
      <c r="CD46" s="334"/>
      <c r="CE46" s="334"/>
      <c r="CF46" s="54">
        <f t="shared" ref="CF46" si="66">SUM(CF42,CF44)</f>
        <v>203602.42278766556</v>
      </c>
      <c r="CG46" s="55">
        <f t="shared" si="63"/>
        <v>-7677400.0215859255</v>
      </c>
      <c r="CH46" s="334">
        <f t="shared" si="63"/>
        <v>307228.95058286464</v>
      </c>
      <c r="CI46" s="334">
        <f t="shared" si="63"/>
        <v>-6104631.003210892</v>
      </c>
      <c r="CJ46" s="54">
        <f t="shared" si="63"/>
        <v>-103626.52779519912</v>
      </c>
      <c r="CK46" s="55">
        <f t="shared" si="63"/>
        <v>-109425.51073255524</v>
      </c>
      <c r="CL46" s="334">
        <f>SUM(CL42,CL44)</f>
        <v>0</v>
      </c>
      <c r="CM46" s="334">
        <f>SUM(CM42,CM44)</f>
        <v>-39100.058963004354</v>
      </c>
      <c r="CN46" s="334">
        <f>SUM(CN42,CN44)</f>
        <v>-5674643.2710123416</v>
      </c>
      <c r="CO46" s="133">
        <f>SUM(CO42,CO44)</f>
        <v>-13329746</v>
      </c>
      <c r="CP46" s="318">
        <f t="shared" ref="CP46" si="67">CO46-SUM(CA46,CF46)</f>
        <v>248682.60200915113</v>
      </c>
      <c r="CQ46" s="335"/>
      <c r="CR46" s="335"/>
      <c r="CS46" s="335"/>
      <c r="CT46" s="335"/>
      <c r="CU46" s="335"/>
    </row>
    <row r="47" spans="1:99" s="19" customFormat="1" ht="14.45" x14ac:dyDescent="0.3">
      <c r="A47"/>
      <c r="B47"/>
      <c r="C47" s="6"/>
      <c r="D47" s="57"/>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35"/>
      <c r="CL47" s="35"/>
      <c r="CM47" s="35"/>
      <c r="CN47" s="35"/>
      <c r="CO47" s="35"/>
      <c r="CP47" s="35"/>
      <c r="CQ47" s="35"/>
      <c r="CR47" s="35"/>
      <c r="CS47" s="35"/>
      <c r="CT47" s="35"/>
      <c r="CU47" s="35"/>
    </row>
    <row r="48" spans="1:99" customFormat="1" ht="14.45" x14ac:dyDescent="0.3">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1"/>
      <c r="CR48" s="1"/>
      <c r="CS48" s="1"/>
      <c r="CT48" s="1"/>
      <c r="CU48" s="1"/>
    </row>
    <row r="49" spans="2:99" customFormat="1" x14ac:dyDescent="0.25">
      <c r="B49" s="98"/>
      <c r="C49" s="415" t="s">
        <v>136</v>
      </c>
      <c r="D49" s="415"/>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1"/>
      <c r="CR49" s="1"/>
      <c r="CS49" s="1"/>
      <c r="CT49" s="1"/>
      <c r="CU49" s="1"/>
    </row>
    <row r="50" spans="2:99" customFormat="1" ht="31.5" customHeight="1" x14ac:dyDescent="0.25">
      <c r="B50" s="99"/>
      <c r="C50" s="415"/>
      <c r="D50" s="415"/>
      <c r="E50" s="58"/>
      <c r="F50" s="58"/>
      <c r="G50" s="58"/>
      <c r="H50" s="58"/>
      <c r="I50" s="58"/>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f>+CA42-BZ28-BZ29</f>
        <v>-17134751.074796818</v>
      </c>
      <c r="CB50" s="4">
        <f>+CF42</f>
        <v>136306.15278766555</v>
      </c>
      <c r="CC50" s="4">
        <f>+CA50+CB50</f>
        <v>-16998444.922009151</v>
      </c>
      <c r="CD50" s="4"/>
      <c r="CE50" s="4"/>
      <c r="CF50" s="4"/>
      <c r="CG50" s="4"/>
      <c r="CH50" s="4"/>
      <c r="CI50" s="4"/>
      <c r="CJ50" s="4"/>
      <c r="CK50" s="4"/>
      <c r="CL50" s="4"/>
      <c r="CM50" s="4"/>
      <c r="CN50" s="4"/>
      <c r="CO50" s="286"/>
      <c r="CP50" s="4"/>
      <c r="CQ50" s="1"/>
      <c r="CR50" s="1"/>
      <c r="CS50" s="1"/>
      <c r="CT50" s="1"/>
      <c r="CU50" s="1"/>
    </row>
    <row r="51" spans="2:99" customFormat="1" ht="16.899999999999999" x14ac:dyDescent="0.3">
      <c r="B51" s="100"/>
      <c r="C51" s="59"/>
      <c r="D51" s="3"/>
      <c r="E51" s="58"/>
      <c r="F51" s="58"/>
      <c r="G51" s="58"/>
      <c r="H51" s="58"/>
      <c r="I51" s="58"/>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1"/>
      <c r="CR51" s="1"/>
      <c r="CS51" s="1"/>
      <c r="CT51" s="1"/>
      <c r="CU51" s="1"/>
    </row>
    <row r="52" spans="2:99" customFormat="1" ht="26.25" customHeight="1" x14ac:dyDescent="0.3">
      <c r="B52" s="101">
        <v>1</v>
      </c>
      <c r="C52" s="414" t="s">
        <v>137</v>
      </c>
      <c r="D52" s="414"/>
      <c r="E52" s="60"/>
      <c r="F52" s="60"/>
      <c r="G52" s="60"/>
      <c r="H52" s="60"/>
      <c r="I52" s="60"/>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1"/>
      <c r="CR52" s="1"/>
      <c r="CS52" s="1"/>
      <c r="CT52" s="1"/>
      <c r="CU52" s="1"/>
    </row>
    <row r="53" spans="2:99" customFormat="1" ht="26.25" customHeight="1" x14ac:dyDescent="0.3">
      <c r="B53" s="101">
        <v>2</v>
      </c>
      <c r="C53" s="414" t="s">
        <v>138</v>
      </c>
      <c r="D53" s="414"/>
      <c r="E53" s="58"/>
      <c r="F53" s="58"/>
      <c r="G53" s="58"/>
      <c r="H53" s="58"/>
      <c r="I53" s="58"/>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1"/>
      <c r="CR53" s="1"/>
      <c r="CS53" s="1"/>
      <c r="CT53" s="1"/>
      <c r="CU53" s="1"/>
    </row>
    <row r="54" spans="2:99" customFormat="1" ht="64.5" customHeight="1" x14ac:dyDescent="0.25">
      <c r="B54" s="101">
        <v>3</v>
      </c>
      <c r="C54" s="414" t="s">
        <v>139</v>
      </c>
      <c r="D54" s="414"/>
      <c r="E54" s="58"/>
      <c r="F54" s="58"/>
      <c r="G54" s="58"/>
      <c r="H54" s="58"/>
      <c r="I54" s="58"/>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1"/>
      <c r="CR54" s="1"/>
      <c r="CS54" s="1"/>
      <c r="CT54" s="1"/>
      <c r="CU54" s="1"/>
    </row>
    <row r="55" spans="2:99" customFormat="1" ht="36" customHeight="1" x14ac:dyDescent="0.25">
      <c r="B55" s="101">
        <v>4</v>
      </c>
      <c r="C55" s="414" t="s">
        <v>140</v>
      </c>
      <c r="D55" s="41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1"/>
      <c r="CR55" s="1"/>
      <c r="CS55" s="1"/>
      <c r="CT55" s="1"/>
      <c r="CU55" s="1"/>
    </row>
    <row r="56" spans="2:99"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5"/>
      <c r="CR56" s="5"/>
      <c r="CS56" s="5"/>
      <c r="CT56" s="5"/>
      <c r="CU56" s="5"/>
    </row>
    <row r="57" spans="2:99" ht="15.75" thickBot="1" x14ac:dyDescent="0.3">
      <c r="C57" s="98" t="s">
        <v>141</v>
      </c>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5"/>
      <c r="CR57" s="5"/>
      <c r="CS57" s="5"/>
      <c r="CT57" s="5"/>
      <c r="CU57" s="5"/>
    </row>
    <row r="58" spans="2:99" ht="63" customHeight="1" x14ac:dyDescent="0.25">
      <c r="C58" s="409" t="s">
        <v>142</v>
      </c>
      <c r="D58" s="410"/>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5"/>
      <c r="CR58" s="5"/>
      <c r="CS58" s="5"/>
      <c r="CT58" s="5"/>
      <c r="CU58" s="5"/>
    </row>
    <row r="59" spans="2:99" ht="15.75" thickBot="1" x14ac:dyDescent="0.3">
      <c r="C59" s="411"/>
      <c r="D59" s="412"/>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5"/>
      <c r="CR59" s="5"/>
      <c r="CS59" s="5"/>
      <c r="CT59" s="5"/>
      <c r="CU59" s="5"/>
    </row>
    <row r="60" spans="2:99" x14ac:dyDescent="0.25">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5"/>
      <c r="CR60" s="5"/>
      <c r="CS60" s="5"/>
      <c r="CT60" s="5"/>
      <c r="CU60" s="5"/>
    </row>
    <row r="61" spans="2:99" x14ac:dyDescent="0.25">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5"/>
      <c r="CR61" s="5"/>
      <c r="CS61" s="5"/>
      <c r="CT61" s="5"/>
      <c r="CU61" s="5"/>
    </row>
  </sheetData>
  <mergeCells count="110">
    <mergeCell ref="C58:D59"/>
    <mergeCell ref="C12:D15"/>
    <mergeCell ref="E16:N16"/>
    <mergeCell ref="O16:X16"/>
    <mergeCell ref="Y16:AH16"/>
    <mergeCell ref="Y17:Y19"/>
    <mergeCell ref="Z17:Z19"/>
    <mergeCell ref="C52:D52"/>
    <mergeCell ref="C53:D53"/>
    <mergeCell ref="C54:D54"/>
    <mergeCell ref="C55:D55"/>
    <mergeCell ref="C49:D50"/>
    <mergeCell ref="AA17:AA19"/>
    <mergeCell ref="P17:P19"/>
    <mergeCell ref="Q17:Q19"/>
    <mergeCell ref="R17:R19"/>
    <mergeCell ref="N17:N19"/>
    <mergeCell ref="S17:S19"/>
    <mergeCell ref="T17:T19"/>
    <mergeCell ref="U17:U19"/>
    <mergeCell ref="V17:V19"/>
    <mergeCell ref="W17:W19"/>
    <mergeCell ref="C2:Q9"/>
    <mergeCell ref="AI16:AR16"/>
    <mergeCell ref="O17:O19"/>
    <mergeCell ref="BC16:BL16"/>
    <mergeCell ref="CK16:CN16"/>
    <mergeCell ref="C17:C19"/>
    <mergeCell ref="D17:D19"/>
    <mergeCell ref="E17:E19"/>
    <mergeCell ref="F17:F19"/>
    <mergeCell ref="G17:G19"/>
    <mergeCell ref="H17:H19"/>
    <mergeCell ref="I17:I19"/>
    <mergeCell ref="AS16:BB16"/>
    <mergeCell ref="BM16:BV16"/>
    <mergeCell ref="BM17:BM19"/>
    <mergeCell ref="BN17:BN19"/>
    <mergeCell ref="AN17:AN19"/>
    <mergeCell ref="AO17:AO19"/>
    <mergeCell ref="AP17:AP19"/>
    <mergeCell ref="X17:X19"/>
    <mergeCell ref="J17:J19"/>
    <mergeCell ref="K17:K19"/>
    <mergeCell ref="L17:L19"/>
    <mergeCell ref="M17:M19"/>
    <mergeCell ref="AM17:AM19"/>
    <mergeCell ref="AB17:AB19"/>
    <mergeCell ref="AC17:AC19"/>
    <mergeCell ref="AD17:AD19"/>
    <mergeCell ref="AE17:AE19"/>
    <mergeCell ref="AF17:AF19"/>
    <mergeCell ref="AG17:AG19"/>
    <mergeCell ref="AH17:AH19"/>
    <mergeCell ref="AI17:AI19"/>
    <mergeCell ref="AJ17:AJ19"/>
    <mergeCell ref="AK17:AK19"/>
    <mergeCell ref="AL17:AL19"/>
    <mergeCell ref="CP17:CP19"/>
    <mergeCell ref="AT17:AT19"/>
    <mergeCell ref="AU17:AU19"/>
    <mergeCell ref="AV17:AV19"/>
    <mergeCell ref="AW17:AW19"/>
    <mergeCell ref="AX17:AX19"/>
    <mergeCell ref="AY17:AY19"/>
    <mergeCell ref="AQ17:AQ19"/>
    <mergeCell ref="AR17:AR19"/>
    <mergeCell ref="BV17:BV19"/>
    <mergeCell ref="CK17:CK19"/>
    <mergeCell ref="BF17:BF19"/>
    <mergeCell ref="BG17:BG19"/>
    <mergeCell ref="BH17:BH19"/>
    <mergeCell ref="BI17:BI19"/>
    <mergeCell ref="BJ17:BJ19"/>
    <mergeCell ref="BK17:BK19"/>
    <mergeCell ref="BP17:BP19"/>
    <mergeCell ref="BQ17:BQ19"/>
    <mergeCell ref="BR17:BR19"/>
    <mergeCell ref="BB17:BB19"/>
    <mergeCell ref="BC17:BC19"/>
    <mergeCell ref="AS17:AS19"/>
    <mergeCell ref="BL17:BL19"/>
    <mergeCell ref="CG16:CJ16"/>
    <mergeCell ref="CG17:CG19"/>
    <mergeCell ref="CH17:CH19"/>
    <mergeCell ref="CI17:CI19"/>
    <mergeCell ref="CJ17:CJ19"/>
    <mergeCell ref="CL17:CL19"/>
    <mergeCell ref="CM17:CM19"/>
    <mergeCell ref="CN17:CN19"/>
    <mergeCell ref="CO17:CO19"/>
    <mergeCell ref="BS17:BS19"/>
    <mergeCell ref="BT17:BT19"/>
    <mergeCell ref="BU17:BU19"/>
    <mergeCell ref="AZ17:AZ19"/>
    <mergeCell ref="BA17:BA19"/>
    <mergeCell ref="BE17:BE19"/>
    <mergeCell ref="BD17:BD19"/>
    <mergeCell ref="BO17:BO19"/>
    <mergeCell ref="BW16:CF16"/>
    <mergeCell ref="BW17:BW19"/>
    <mergeCell ref="BX17:BX19"/>
    <mergeCell ref="BY17:BY19"/>
    <mergeCell ref="BZ17:BZ19"/>
    <mergeCell ref="CA17:CA19"/>
    <mergeCell ref="CB17:CB19"/>
    <mergeCell ref="CC17:CC19"/>
    <mergeCell ref="CD17:CD19"/>
    <mergeCell ref="CE17:CE19"/>
    <mergeCell ref="CF17:CF19"/>
  </mergeCells>
  <hyperlinks>
    <hyperlink ref="A1" location="Index" display="Back to Index"/>
    <hyperlink ref="B1:B3" location="Index" display="Back to Index"/>
  </hyperlinks>
  <pageMargins left="0.7" right="0.7" top="0.75" bottom="0.75" header="0.3" footer="0.3"/>
  <pageSetup scale="40" fitToWidth="0" orientation="landscape" r:id="rId1"/>
  <colBreaks count="2" manualBreakCount="2">
    <brk id="4" min="1" max="53" man="1"/>
    <brk id="34" max="1048575" man="1"/>
  </colBreaks>
  <ignoredErrors>
    <ignoredError sqref="AJ24:AL25 Z22:AG22 AO24:AQ25 AT24:AV25 AY24:BA25 BD35:BF35 BO24:BO25 AJ30:AL32 AO35:AQ36 AA21:AD21 AF21:AG21 Z24:AG25 AA23:AD23 AF23:AG23 Z34:AG37 AA26:AD26 AF26:AG26 AA27:AD27 AF27:AG27 AA28:AD28 AF28:AG28 AA29:AD29 AF29:AG29 AA30:AD30 AF30:AG30 AA31:AD31 AF31:AG31 AA32:AD32 AF32:AG32 Z33 AC33:AE33 AL21 AQ21 AK22:AL22 AP22:AQ22 AL23 AQ23 AL27 AL26 AQ27 AQ26 AP30:AQ30 AP31:AQ31 AP32:AQ32 AJ35:AL36 AK33:AL33 AP33 AL34 AQ34 AV21 BA21 AV22 BA22 BA23 AT30:AV34 AV26 AY36:BA36 BA26 AV27 BA27 BA28 BA29 AZ30:BA30 AZ31:BA31 AZ32:BA32 AZ33:BA33 AZ34:BA34 AT36:AV36 AV35 BA35 BF21 BK21 BF22 BK22 BF23 BK23 BE24:BF24 BJ24:BK24 BE25:BF25 BJ25:BK25 BF26 BK26 BF27 BK27 BF28 BK28 BF29 BK29 BD30 BF30 BI30 BK30 BD31 BF31 BI31 BK31 BD32 BF32 BI32 BK32 BD33 BF33 BI33 BK33 BD34 BF34 BI34 BK34 BJ35:BK35 BF36 BT24 BT25"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BX44"/>
  <sheetViews>
    <sheetView view="pageBreakPreview" topLeftCell="G14" zoomScale="85" zoomScaleNormal="85" zoomScaleSheetLayoutView="85" workbookViewId="0">
      <selection activeCell="W30" sqref="W30"/>
    </sheetView>
  </sheetViews>
  <sheetFormatPr defaultColWidth="9.140625" defaultRowHeight="15" x14ac:dyDescent="0.25"/>
  <cols>
    <col min="1" max="1" width="12.85546875" style="107" bestFit="1" customWidth="1"/>
    <col min="2" max="2" width="60.140625" customWidth="1"/>
    <col min="3" max="3" width="9.140625" customWidth="1"/>
    <col min="4" max="4" width="19.5703125" customWidth="1"/>
    <col min="5" max="5" width="17.140625" customWidth="1"/>
    <col min="6" max="6" width="19.7109375" customWidth="1"/>
    <col min="7" max="9" width="17.7109375" customWidth="1"/>
    <col min="10" max="10" width="18" customWidth="1"/>
    <col min="11" max="11" width="17.7109375" customWidth="1"/>
    <col min="12" max="15" width="18.28515625" hidden="1" customWidth="1"/>
    <col min="16" max="20" width="19.140625" hidden="1" customWidth="1"/>
    <col min="21" max="21" width="19.140625" customWidth="1"/>
    <col min="22" max="22" width="22.42578125" customWidth="1"/>
    <col min="23" max="23" width="18.140625" customWidth="1"/>
    <col min="24" max="54" width="9.140625" customWidth="1"/>
  </cols>
  <sheetData>
    <row r="1" spans="1:76" s="62" customFormat="1" ht="14.45" x14ac:dyDescent="0.3">
      <c r="A1" s="164" t="s">
        <v>0</v>
      </c>
      <c r="B1" s="164"/>
      <c r="K1" s="109" t="s">
        <v>143</v>
      </c>
      <c r="U1" s="62" t="str">
        <f>IF(D18="YES", "YES", "NO")</f>
        <v>NO</v>
      </c>
      <c r="BX1" s="63"/>
    </row>
    <row r="2" spans="1:76" s="62" customFormat="1" ht="15" customHeight="1" x14ac:dyDescent="0.25">
      <c r="A2" s="207"/>
      <c r="B2" s="356" t="str">
        <f>+'1. Information Sheet'!B2</f>
        <v>INCENTIVE REGULATION MODEL FOR 2019 FILERS</v>
      </c>
      <c r="C2" s="356"/>
      <c r="D2" s="356"/>
      <c r="E2" s="356"/>
      <c r="F2" s="356"/>
      <c r="G2" s="356"/>
      <c r="H2" s="356"/>
      <c r="I2" s="356"/>
      <c r="J2" s="356"/>
    </row>
    <row r="3" spans="1:76" s="62" customFormat="1" ht="15" customHeight="1" x14ac:dyDescent="0.25">
      <c r="A3" s="207"/>
      <c r="B3" s="356"/>
      <c r="C3" s="356"/>
      <c r="D3" s="356"/>
      <c r="E3" s="356"/>
      <c r="F3" s="356"/>
      <c r="G3" s="356"/>
      <c r="H3" s="356"/>
      <c r="I3" s="356"/>
      <c r="J3" s="356"/>
    </row>
    <row r="4" spans="1:76" s="62" customFormat="1" ht="15" customHeight="1" x14ac:dyDescent="0.25">
      <c r="A4" s="207"/>
      <c r="B4" s="356"/>
      <c r="C4" s="419"/>
      <c r="D4" s="356"/>
      <c r="E4" s="356"/>
      <c r="F4" s="356"/>
      <c r="G4" s="356"/>
      <c r="H4" s="356"/>
      <c r="I4" s="356"/>
      <c r="J4" s="356"/>
    </row>
    <row r="5" spans="1:76" s="62" customFormat="1" ht="15.75" customHeight="1" thickBot="1" x14ac:dyDescent="0.3">
      <c r="A5" s="207"/>
      <c r="B5" s="356"/>
      <c r="C5" s="356"/>
      <c r="D5" s="356"/>
      <c r="E5" s="356"/>
      <c r="F5" s="356"/>
      <c r="G5" s="356"/>
      <c r="H5" s="356"/>
      <c r="I5" s="356"/>
      <c r="J5" s="356"/>
    </row>
    <row r="6" spans="1:76" s="62" customFormat="1" ht="15.75" customHeight="1" thickBot="1" x14ac:dyDescent="0.3">
      <c r="A6" s="207"/>
      <c r="B6" s="356"/>
      <c r="C6" s="356"/>
      <c r="D6" s="356"/>
      <c r="E6" s="356"/>
      <c r="F6" s="356"/>
      <c r="G6" s="356"/>
      <c r="H6" s="356"/>
      <c r="I6" s="356"/>
      <c r="J6" s="356"/>
      <c r="K6" s="65"/>
      <c r="L6" s="65"/>
      <c r="M6" s="65"/>
      <c r="N6" s="65"/>
      <c r="O6" s="65"/>
      <c r="P6" s="65"/>
      <c r="Q6" s="65"/>
      <c r="R6" s="65"/>
      <c r="S6" s="65"/>
      <c r="T6" s="65"/>
      <c r="U6" s="65"/>
      <c r="V6" s="66"/>
    </row>
    <row r="7" spans="1:76" s="62" customFormat="1" ht="15.75" customHeight="1" thickBot="1" x14ac:dyDescent="0.3">
      <c r="A7" s="207"/>
      <c r="B7" s="356"/>
      <c r="C7" s="356"/>
      <c r="D7" s="356"/>
      <c r="E7" s="356"/>
      <c r="F7" s="356"/>
      <c r="G7" s="356"/>
      <c r="H7" s="356"/>
      <c r="I7" s="356"/>
      <c r="J7" s="356"/>
      <c r="K7" s="65"/>
      <c r="L7" s="65"/>
      <c r="M7" s="65"/>
      <c r="N7" s="65"/>
      <c r="O7" s="65"/>
      <c r="P7" s="65"/>
      <c r="Q7" s="65"/>
      <c r="R7" s="65"/>
      <c r="S7" s="65"/>
      <c r="T7" s="65"/>
      <c r="U7" s="65"/>
      <c r="V7" s="66"/>
    </row>
    <row r="8" spans="1:76" s="62" customFormat="1" ht="15.75" customHeight="1" thickBot="1" x14ac:dyDescent="0.3">
      <c r="A8" s="207"/>
      <c r="B8" s="356"/>
      <c r="C8" s="356"/>
      <c r="D8" s="356"/>
      <c r="E8" s="356"/>
      <c r="F8" s="356"/>
      <c r="G8" s="356"/>
      <c r="H8" s="356"/>
      <c r="I8" s="356"/>
      <c r="J8" s="356"/>
      <c r="K8" s="65"/>
      <c r="L8" s="65"/>
      <c r="M8" s="65"/>
      <c r="N8" s="65"/>
      <c r="O8" s="65"/>
      <c r="P8" s="65"/>
      <c r="Q8" s="65"/>
      <c r="R8" s="65"/>
      <c r="S8" s="65"/>
      <c r="T8" s="65"/>
      <c r="U8" s="65"/>
      <c r="V8" s="66"/>
    </row>
    <row r="9" spans="1:76" s="62" customFormat="1" ht="15.75" customHeight="1" thickBot="1" x14ac:dyDescent="0.3">
      <c r="A9" s="207"/>
      <c r="B9" s="356"/>
      <c r="C9" s="356"/>
      <c r="D9" s="356"/>
      <c r="E9" s="356"/>
      <c r="F9" s="356"/>
      <c r="G9" s="356"/>
      <c r="H9" s="356"/>
      <c r="I9" s="356"/>
      <c r="J9" s="356"/>
      <c r="K9" s="65"/>
      <c r="L9" s="65"/>
      <c r="M9" s="65"/>
      <c r="N9" s="65"/>
      <c r="O9" s="65"/>
      <c r="P9" s="65"/>
      <c r="Q9" s="65"/>
      <c r="R9" s="65"/>
      <c r="S9" s="65"/>
      <c r="T9" s="65"/>
      <c r="U9" s="65"/>
      <c r="V9" s="66"/>
    </row>
    <row r="10" spans="1:76" s="62" customFormat="1" thickBot="1" x14ac:dyDescent="0.35">
      <c r="A10" s="207"/>
      <c r="C10" s="64"/>
      <c r="D10" s="65"/>
      <c r="E10" s="65"/>
      <c r="F10" s="65"/>
      <c r="G10" s="65"/>
      <c r="H10" s="65"/>
      <c r="I10" s="65"/>
      <c r="J10" s="65"/>
      <c r="K10" s="65"/>
      <c r="L10" s="65"/>
      <c r="M10" s="65"/>
      <c r="N10" s="65"/>
      <c r="O10" s="65"/>
      <c r="P10" s="65"/>
      <c r="Q10" s="65"/>
      <c r="R10" s="65"/>
      <c r="S10" s="65"/>
      <c r="T10" s="65"/>
      <c r="U10" s="65"/>
      <c r="V10" s="66"/>
    </row>
    <row r="11" spans="1:76" s="62" customFormat="1" thickBot="1" x14ac:dyDescent="0.35">
      <c r="A11" s="207"/>
      <c r="C11" s="64"/>
      <c r="D11" s="65"/>
      <c r="E11" s="65"/>
      <c r="F11" s="65"/>
      <c r="G11" s="65"/>
      <c r="H11" s="65"/>
      <c r="I11" s="65"/>
      <c r="J11" s="65"/>
      <c r="K11" s="65"/>
      <c r="L11" s="65"/>
      <c r="M11" s="65"/>
      <c r="N11" s="65"/>
      <c r="O11" s="65"/>
      <c r="P11" s="65"/>
      <c r="Q11" s="65"/>
      <c r="R11" s="65"/>
      <c r="S11" s="65"/>
      <c r="T11" s="65"/>
      <c r="U11" s="65"/>
      <c r="V11" s="66"/>
    </row>
    <row r="12" spans="1:76" s="62" customFormat="1" thickBot="1" x14ac:dyDescent="0.35">
      <c r="A12" s="207"/>
      <c r="B12" s="67"/>
      <c r="C12" s="64"/>
      <c r="D12" s="65"/>
      <c r="E12" s="65"/>
      <c r="F12" s="65"/>
      <c r="G12" s="65"/>
      <c r="H12" s="65"/>
      <c r="I12" s="65"/>
      <c r="J12" s="65"/>
      <c r="K12" s="65"/>
      <c r="L12" s="65"/>
      <c r="M12" s="65"/>
      <c r="N12" s="65"/>
      <c r="O12" s="65"/>
      <c r="P12" s="65"/>
      <c r="Q12" s="65"/>
      <c r="R12" s="65"/>
      <c r="S12" s="65"/>
      <c r="T12" s="65"/>
      <c r="U12" s="65"/>
      <c r="V12" s="66"/>
    </row>
    <row r="13" spans="1:76" ht="27" customHeight="1" thickBot="1" x14ac:dyDescent="0.35">
      <c r="B13" s="426" t="s">
        <v>144</v>
      </c>
      <c r="C13" s="427"/>
      <c r="D13" s="427"/>
      <c r="E13" s="427"/>
      <c r="F13" s="427"/>
      <c r="G13" s="427"/>
      <c r="H13" s="427"/>
      <c r="I13" s="192"/>
      <c r="J13" s="192"/>
      <c r="K13" s="192"/>
      <c r="L13" s="68"/>
      <c r="M13" s="68"/>
      <c r="N13" s="68"/>
      <c r="O13" s="68"/>
      <c r="P13" s="68"/>
      <c r="Q13" s="68"/>
      <c r="R13" s="68"/>
      <c r="S13" s="68"/>
      <c r="T13" s="68"/>
      <c r="U13" s="68"/>
      <c r="V13" s="66"/>
    </row>
    <row r="14" spans="1:76" s="62" customFormat="1" ht="15.75" customHeight="1" thickBot="1" x14ac:dyDescent="0.35">
      <c r="A14" s="207"/>
      <c r="D14" s="428"/>
      <c r="E14" s="428"/>
      <c r="F14" s="428"/>
      <c r="G14" s="428"/>
      <c r="H14" s="428"/>
      <c r="I14" s="428"/>
      <c r="J14" s="68"/>
      <c r="K14" s="68"/>
      <c r="L14" s="429" t="s">
        <v>145</v>
      </c>
      <c r="M14" s="430"/>
      <c r="N14" s="430"/>
      <c r="O14" s="430"/>
      <c r="P14" s="430"/>
      <c r="Q14" s="430"/>
      <c r="R14" s="430"/>
      <c r="S14" s="430"/>
      <c r="T14" s="431"/>
      <c r="U14" s="113"/>
      <c r="V14" s="66"/>
    </row>
    <row r="15" spans="1:76" s="62" customFormat="1" ht="22.5" customHeight="1" thickBot="1" x14ac:dyDescent="0.3">
      <c r="A15" s="207"/>
      <c r="B15" s="67"/>
      <c r="C15" s="67"/>
      <c r="D15" s="422" t="s">
        <v>146</v>
      </c>
      <c r="E15" s="422" t="s">
        <v>147</v>
      </c>
      <c r="F15" s="422" t="s">
        <v>148</v>
      </c>
      <c r="G15" s="422" t="s">
        <v>149</v>
      </c>
      <c r="H15" s="424" t="s">
        <v>150</v>
      </c>
      <c r="I15" s="424" t="s">
        <v>151</v>
      </c>
      <c r="J15" s="422" t="s">
        <v>152</v>
      </c>
      <c r="K15" s="422" t="s">
        <v>153</v>
      </c>
      <c r="L15" s="424" t="s">
        <v>154</v>
      </c>
      <c r="M15" s="424" t="s">
        <v>155</v>
      </c>
      <c r="N15" s="424" t="s">
        <v>156</v>
      </c>
      <c r="O15" s="424" t="s">
        <v>157</v>
      </c>
      <c r="P15" s="424" t="s">
        <v>158</v>
      </c>
      <c r="Q15" s="424" t="s">
        <v>159</v>
      </c>
      <c r="R15" s="424" t="s">
        <v>160</v>
      </c>
      <c r="S15" s="424" t="s">
        <v>161</v>
      </c>
      <c r="T15" s="424" t="s">
        <v>162</v>
      </c>
      <c r="U15" s="437" t="s">
        <v>163</v>
      </c>
      <c r="V15" s="420" t="s">
        <v>164</v>
      </c>
    </row>
    <row r="16" spans="1:76" s="67" customFormat="1" ht="46.5" customHeight="1" thickBot="1" x14ac:dyDescent="0.3">
      <c r="A16" s="208"/>
      <c r="B16" s="70" t="s">
        <v>165</v>
      </c>
      <c r="C16" s="71" t="s">
        <v>166</v>
      </c>
      <c r="D16" s="423"/>
      <c r="E16" s="423"/>
      <c r="F16" s="423"/>
      <c r="G16" s="423"/>
      <c r="H16" s="425"/>
      <c r="I16" s="425"/>
      <c r="J16" s="423"/>
      <c r="K16" s="423"/>
      <c r="L16" s="425"/>
      <c r="M16" s="425"/>
      <c r="N16" s="425"/>
      <c r="O16" s="425"/>
      <c r="P16" s="425"/>
      <c r="Q16" s="425"/>
      <c r="R16" s="425"/>
      <c r="S16" s="425"/>
      <c r="T16" s="425"/>
      <c r="U16" s="438"/>
      <c r="V16" s="421"/>
    </row>
    <row r="17" spans="1:22" thickBot="1" x14ac:dyDescent="0.35">
      <c r="B17" s="128" t="s">
        <v>167</v>
      </c>
      <c r="C17" s="108" t="s">
        <v>168</v>
      </c>
      <c r="D17" s="110">
        <v>1537580328.6899991</v>
      </c>
      <c r="E17" s="110">
        <v>0</v>
      </c>
      <c r="F17" s="110">
        <v>70075468</v>
      </c>
      <c r="G17" s="110">
        <v>0</v>
      </c>
      <c r="H17" s="110"/>
      <c r="I17" s="110"/>
      <c r="J17" s="111">
        <f>D17-H17</f>
        <v>1537580328.6899991</v>
      </c>
      <c r="K17" s="111">
        <f>E17-I17</f>
        <v>0</v>
      </c>
      <c r="L17" s="226"/>
      <c r="M17" s="172"/>
      <c r="N17" s="172"/>
      <c r="O17" s="172"/>
      <c r="P17" s="172"/>
      <c r="Q17" s="172"/>
      <c r="R17" s="172">
        <f>+$D17/$D$29</f>
        <v>0.29782845376443828</v>
      </c>
      <c r="S17" s="172">
        <f>+$D17/$D$29</f>
        <v>0.29782845376443828</v>
      </c>
      <c r="T17" s="172">
        <v>0</v>
      </c>
      <c r="U17" s="115">
        <v>379768.89497532236</v>
      </c>
      <c r="V17" s="114">
        <v>225004</v>
      </c>
    </row>
    <row r="18" spans="1:22" thickBot="1" x14ac:dyDescent="0.35">
      <c r="B18" s="128" t="s">
        <v>169</v>
      </c>
      <c r="C18" s="108" t="s">
        <v>168</v>
      </c>
      <c r="D18" s="110">
        <v>558828431.00972259</v>
      </c>
      <c r="E18" s="110">
        <v>0</v>
      </c>
      <c r="F18" s="110">
        <v>103616724</v>
      </c>
      <c r="G18" s="110">
        <v>0</v>
      </c>
      <c r="H18" s="110"/>
      <c r="I18" s="110"/>
      <c r="J18" s="111">
        <f t="shared" ref="J18:J28" si="0">D18-H18</f>
        <v>558828431.00972259</v>
      </c>
      <c r="K18" s="111">
        <f t="shared" ref="K18:K28" si="1">E18-I18</f>
        <v>0</v>
      </c>
      <c r="L18" s="226"/>
      <c r="M18" s="172"/>
      <c r="N18" s="172"/>
      <c r="O18" s="172"/>
      <c r="P18" s="172"/>
      <c r="Q18" s="172"/>
      <c r="R18" s="172">
        <f>+$D18/$D$29</f>
        <v>0.10824475601156623</v>
      </c>
      <c r="S18" s="172">
        <f t="shared" ref="R18:S28" si="2">+$D18/$D$29</f>
        <v>0.10824475601156623</v>
      </c>
      <c r="T18" s="172">
        <v>0</v>
      </c>
      <c r="U18" s="115">
        <v>298431.22066801263</v>
      </c>
      <c r="V18" s="114">
        <v>18847</v>
      </c>
    </row>
    <row r="19" spans="1:22" thickBot="1" x14ac:dyDescent="0.35">
      <c r="B19" s="128" t="s">
        <v>170</v>
      </c>
      <c r="C19" s="108" t="s">
        <v>171</v>
      </c>
      <c r="D19" s="110">
        <v>1751908545.0163753</v>
      </c>
      <c r="E19" s="110">
        <v>4824433.3829784254</v>
      </c>
      <c r="F19" s="110">
        <v>1588736386</v>
      </c>
      <c r="G19" s="110">
        <v>4041629.4929784252</v>
      </c>
      <c r="H19" s="110"/>
      <c r="I19" s="110"/>
      <c r="J19" s="111">
        <f>D19-H19</f>
        <v>1751908545.0163753</v>
      </c>
      <c r="K19" s="111">
        <f>E19-I19</f>
        <v>4824433.3829784254</v>
      </c>
      <c r="L19" s="226"/>
      <c r="M19" s="172"/>
      <c r="N19" s="172"/>
      <c r="O19" s="172"/>
      <c r="P19" s="172"/>
      <c r="Q19" s="172"/>
      <c r="R19" s="172">
        <f>+$D19/$D$29</f>
        <v>0.33934370995983959</v>
      </c>
      <c r="S19" s="172">
        <f t="shared" si="2"/>
        <v>0.33934370995983959</v>
      </c>
      <c r="T19" s="172">
        <v>0</v>
      </c>
      <c r="U19" s="115">
        <v>-62135.273344870548</v>
      </c>
      <c r="V19" s="114"/>
    </row>
    <row r="20" spans="1:22" thickBot="1" x14ac:dyDescent="0.35">
      <c r="B20" s="128" t="s">
        <v>172</v>
      </c>
      <c r="C20" s="108" t="s">
        <v>171</v>
      </c>
      <c r="D20" s="110">
        <v>220526376.81002384</v>
      </c>
      <c r="E20" s="110">
        <v>456125.73797999998</v>
      </c>
      <c r="F20" s="110">
        <v>220526376.81002384</v>
      </c>
      <c r="G20" s="110">
        <v>456125.73797999998</v>
      </c>
      <c r="H20" s="110">
        <v>34953648.313999996</v>
      </c>
      <c r="I20" s="110">
        <v>117811.20582</v>
      </c>
      <c r="J20" s="111">
        <f t="shared" si="0"/>
        <v>185572728.49602383</v>
      </c>
      <c r="K20" s="111">
        <f t="shared" si="1"/>
        <v>338314.53215999994</v>
      </c>
      <c r="L20" s="226"/>
      <c r="M20" s="172"/>
      <c r="N20" s="172"/>
      <c r="O20" s="172"/>
      <c r="P20" s="172"/>
      <c r="Q20" s="172"/>
      <c r="R20" s="172">
        <f t="shared" si="2"/>
        <v>4.2715836430842653E-2</v>
      </c>
      <c r="S20" s="172">
        <f t="shared" si="2"/>
        <v>4.2715836430842653E-2</v>
      </c>
      <c r="T20" s="172">
        <v>0</v>
      </c>
      <c r="U20" s="115">
        <v>8544.7637209973782</v>
      </c>
      <c r="V20" s="114"/>
    </row>
    <row r="21" spans="1:22" thickBot="1" x14ac:dyDescent="0.35">
      <c r="B21" s="128" t="s">
        <v>173</v>
      </c>
      <c r="C21" s="108" t="s">
        <v>171</v>
      </c>
      <c r="D21" s="110">
        <v>1050812632.4245863</v>
      </c>
      <c r="E21" s="110">
        <v>1982813.5380800001</v>
      </c>
      <c r="F21" s="110">
        <v>1050812632.4245863</v>
      </c>
      <c r="G21" s="110">
        <v>1982813.5380800001</v>
      </c>
      <c r="H21" s="110">
        <v>743436642.68899989</v>
      </c>
      <c r="I21" s="110">
        <v>1192576.56012</v>
      </c>
      <c r="J21" s="111">
        <f t="shared" si="0"/>
        <v>307375989.7355864</v>
      </c>
      <c r="K21" s="111">
        <f t="shared" si="1"/>
        <v>790236.97796000005</v>
      </c>
      <c r="L21" s="226"/>
      <c r="M21" s="172"/>
      <c r="N21" s="172"/>
      <c r="O21" s="172"/>
      <c r="P21" s="172"/>
      <c r="Q21" s="172"/>
      <c r="R21" s="172">
        <f t="shared" si="2"/>
        <v>0.20354182195982801</v>
      </c>
      <c r="S21" s="172">
        <f t="shared" si="2"/>
        <v>0.20354182195982801</v>
      </c>
      <c r="T21" s="172">
        <v>0</v>
      </c>
      <c r="U21" s="115">
        <v>11840.939110272371</v>
      </c>
      <c r="V21" s="114"/>
    </row>
    <row r="22" spans="1:22" thickBot="1" x14ac:dyDescent="0.35">
      <c r="B22" s="128" t="s">
        <v>174</v>
      </c>
      <c r="C22" s="108" t="s">
        <v>168</v>
      </c>
      <c r="D22" s="110">
        <v>11347508.416576881</v>
      </c>
      <c r="E22" s="110">
        <v>0</v>
      </c>
      <c r="F22" s="110">
        <v>427147</v>
      </c>
      <c r="G22" s="110">
        <v>0</v>
      </c>
      <c r="H22" s="110"/>
      <c r="I22" s="110"/>
      <c r="J22" s="111">
        <f t="shared" si="0"/>
        <v>11347508.416576881</v>
      </c>
      <c r="K22" s="111">
        <f t="shared" si="1"/>
        <v>0</v>
      </c>
      <c r="L22" s="226"/>
      <c r="M22" s="172"/>
      <c r="N22" s="172"/>
      <c r="O22" s="172"/>
      <c r="P22" s="172"/>
      <c r="Q22" s="172"/>
      <c r="R22" s="172">
        <f t="shared" si="2"/>
        <v>2.1980060636359938E-3</v>
      </c>
      <c r="S22" s="172">
        <f t="shared" si="2"/>
        <v>2.1980060636359938E-3</v>
      </c>
      <c r="T22" s="172">
        <v>0</v>
      </c>
      <c r="U22" s="115"/>
      <c r="V22" s="114"/>
    </row>
    <row r="23" spans="1:22" thickBot="1" x14ac:dyDescent="0.35">
      <c r="B23" s="128" t="s">
        <v>175</v>
      </c>
      <c r="C23" s="108" t="s">
        <v>171</v>
      </c>
      <c r="D23" s="110">
        <v>439954.02282899455</v>
      </c>
      <c r="E23" s="110">
        <v>946.91011767210034</v>
      </c>
      <c r="F23" s="110">
        <v>5557</v>
      </c>
      <c r="G23" s="110">
        <v>16.169999999999959</v>
      </c>
      <c r="H23" s="110"/>
      <c r="I23" s="110"/>
      <c r="J23" s="111">
        <f>D23-H23</f>
        <v>439954.02282899455</v>
      </c>
      <c r="K23" s="111">
        <f t="shared" si="1"/>
        <v>946.91011767210034</v>
      </c>
      <c r="L23" s="226"/>
      <c r="M23" s="172"/>
      <c r="N23" s="172"/>
      <c r="O23" s="172"/>
      <c r="P23" s="172"/>
      <c r="Q23" s="172"/>
      <c r="R23" s="172">
        <f t="shared" si="2"/>
        <v>8.5218849319073048E-5</v>
      </c>
      <c r="S23" s="172">
        <f t="shared" si="2"/>
        <v>8.5218849319073048E-5</v>
      </c>
      <c r="T23" s="172">
        <v>0</v>
      </c>
      <c r="U23" s="115"/>
      <c r="V23" s="114"/>
    </row>
    <row r="24" spans="1:22" thickBot="1" x14ac:dyDescent="0.35">
      <c r="B24" s="128" t="s">
        <v>176</v>
      </c>
      <c r="C24" s="108" t="s">
        <v>171</v>
      </c>
      <c r="D24" s="110">
        <v>31193672.300799686</v>
      </c>
      <c r="E24" s="110">
        <v>87344.171000000002</v>
      </c>
      <c r="F24" s="110">
        <v>30966099.30725503</v>
      </c>
      <c r="G24" s="110">
        <v>86709.010999999999</v>
      </c>
      <c r="H24" s="110"/>
      <c r="I24" s="110"/>
      <c r="J24" s="111">
        <f>D24-H24</f>
        <v>31193672.300799686</v>
      </c>
      <c r="K24" s="111">
        <f t="shared" si="1"/>
        <v>87344.171000000002</v>
      </c>
      <c r="L24" s="226"/>
      <c r="M24" s="172"/>
      <c r="N24" s="172"/>
      <c r="O24" s="172"/>
      <c r="P24" s="172"/>
      <c r="Q24" s="172"/>
      <c r="R24" s="172">
        <f t="shared" si="2"/>
        <v>6.0421969605302132E-3</v>
      </c>
      <c r="S24" s="172">
        <f t="shared" si="2"/>
        <v>6.0421969605302132E-3</v>
      </c>
      <c r="T24" s="172">
        <v>0</v>
      </c>
      <c r="U24" s="115">
        <v>127563.88310872387</v>
      </c>
      <c r="V24" s="114"/>
    </row>
    <row r="25" spans="1:22" thickBot="1" x14ac:dyDescent="0.35">
      <c r="B25" s="128"/>
      <c r="C25" s="108"/>
      <c r="D25" s="110"/>
      <c r="E25" s="110"/>
      <c r="F25" s="110"/>
      <c r="G25" s="110"/>
      <c r="H25" s="110"/>
      <c r="I25" s="110"/>
      <c r="J25" s="111">
        <f>D25-H25</f>
        <v>0</v>
      </c>
      <c r="K25" s="111">
        <f t="shared" si="1"/>
        <v>0</v>
      </c>
      <c r="L25" s="112"/>
      <c r="M25" s="112"/>
      <c r="N25" s="112"/>
      <c r="O25" s="112"/>
      <c r="P25" s="112"/>
      <c r="Q25" s="112"/>
      <c r="R25" s="172">
        <f t="shared" si="2"/>
        <v>0</v>
      </c>
      <c r="S25" s="172">
        <f t="shared" si="2"/>
        <v>0</v>
      </c>
      <c r="T25" s="172">
        <v>0</v>
      </c>
      <c r="U25" s="115"/>
      <c r="V25" s="114"/>
    </row>
    <row r="26" spans="1:22" thickBot="1" x14ac:dyDescent="0.35">
      <c r="B26" s="128"/>
      <c r="C26" s="108"/>
      <c r="D26" s="110"/>
      <c r="E26" s="110"/>
      <c r="F26" s="110"/>
      <c r="G26" s="110"/>
      <c r="H26" s="110"/>
      <c r="I26" s="110"/>
      <c r="J26" s="111">
        <f t="shared" si="0"/>
        <v>0</v>
      </c>
      <c r="K26" s="111">
        <f t="shared" si="1"/>
        <v>0</v>
      </c>
      <c r="L26" s="112"/>
      <c r="M26" s="112"/>
      <c r="N26" s="112"/>
      <c r="O26" s="112"/>
      <c r="P26" s="112"/>
      <c r="Q26" s="112"/>
      <c r="R26" s="172">
        <f t="shared" si="2"/>
        <v>0</v>
      </c>
      <c r="S26" s="172">
        <f t="shared" si="2"/>
        <v>0</v>
      </c>
      <c r="T26" s="172">
        <v>0</v>
      </c>
      <c r="U26" s="115"/>
      <c r="V26" s="114"/>
    </row>
    <row r="27" spans="1:22" thickBot="1" x14ac:dyDescent="0.35">
      <c r="B27" s="128"/>
      <c r="C27" s="108"/>
      <c r="D27" s="110"/>
      <c r="E27" s="110"/>
      <c r="F27" s="110"/>
      <c r="G27" s="110"/>
      <c r="H27" s="110"/>
      <c r="I27" s="110"/>
      <c r="J27" s="111">
        <f t="shared" si="0"/>
        <v>0</v>
      </c>
      <c r="K27" s="111">
        <f t="shared" si="1"/>
        <v>0</v>
      </c>
      <c r="L27" s="112"/>
      <c r="M27" s="112"/>
      <c r="N27" s="112"/>
      <c r="O27" s="112"/>
      <c r="P27" s="112"/>
      <c r="Q27" s="112"/>
      <c r="R27" s="172">
        <f t="shared" si="2"/>
        <v>0</v>
      </c>
      <c r="S27" s="172">
        <f t="shared" si="2"/>
        <v>0</v>
      </c>
      <c r="T27" s="172">
        <v>0</v>
      </c>
      <c r="U27" s="115"/>
      <c r="V27" s="114"/>
    </row>
    <row r="28" spans="1:22" thickBot="1" x14ac:dyDescent="0.35">
      <c r="B28" s="128"/>
      <c r="C28" s="108"/>
      <c r="D28" s="110"/>
      <c r="E28" s="110"/>
      <c r="F28" s="110"/>
      <c r="G28" s="110"/>
      <c r="H28" s="110"/>
      <c r="I28" s="110"/>
      <c r="J28" s="111">
        <f t="shared" si="0"/>
        <v>0</v>
      </c>
      <c r="K28" s="111">
        <f t="shared" si="1"/>
        <v>0</v>
      </c>
      <c r="L28" s="112"/>
      <c r="M28" s="112"/>
      <c r="N28" s="112"/>
      <c r="O28" s="112"/>
      <c r="P28" s="112"/>
      <c r="Q28" s="112"/>
      <c r="R28" s="172">
        <f t="shared" si="2"/>
        <v>0</v>
      </c>
      <c r="S28" s="172">
        <f t="shared" si="2"/>
        <v>0</v>
      </c>
      <c r="T28" s="172">
        <v>0</v>
      </c>
      <c r="U28" s="115"/>
      <c r="V28" s="114"/>
    </row>
    <row r="29" spans="1:22" s="77" customFormat="1" ht="24" customHeight="1" thickBot="1" x14ac:dyDescent="0.35">
      <c r="A29" s="209"/>
      <c r="C29" s="116" t="s">
        <v>177</v>
      </c>
      <c r="D29" s="336">
        <f>SUM(D17:D28)</f>
        <v>5162637448.6909122</v>
      </c>
      <c r="E29" s="336">
        <f t="shared" ref="E29:V29" si="3">SUM(E17:E28)</f>
        <v>7351663.7401560973</v>
      </c>
      <c r="F29" s="336">
        <f t="shared" si="3"/>
        <v>3065166390.5418653</v>
      </c>
      <c r="G29" s="336">
        <f t="shared" si="3"/>
        <v>6567293.9500384256</v>
      </c>
      <c r="H29" s="336">
        <f t="shared" si="3"/>
        <v>778390291.0029999</v>
      </c>
      <c r="I29" s="336">
        <f t="shared" si="3"/>
        <v>1310387.7659400001</v>
      </c>
      <c r="J29" s="337">
        <f t="shared" si="3"/>
        <v>4384247157.6879129</v>
      </c>
      <c r="K29" s="337">
        <f t="shared" si="3"/>
        <v>6041275.974216097</v>
      </c>
      <c r="L29" s="338">
        <f t="shared" si="3"/>
        <v>0</v>
      </c>
      <c r="M29" s="338">
        <f t="shared" si="3"/>
        <v>0</v>
      </c>
      <c r="N29" s="338">
        <f t="shared" si="3"/>
        <v>0</v>
      </c>
      <c r="O29" s="338">
        <f t="shared" si="3"/>
        <v>0</v>
      </c>
      <c r="P29" s="338">
        <f t="shared" si="3"/>
        <v>0</v>
      </c>
      <c r="Q29" s="338">
        <f t="shared" si="3"/>
        <v>0</v>
      </c>
      <c r="R29" s="338">
        <f t="shared" si="3"/>
        <v>1.0000000000000002</v>
      </c>
      <c r="S29" s="338">
        <f t="shared" ref="S29" si="4">SUM(S17:S28)</f>
        <v>1.0000000000000002</v>
      </c>
      <c r="T29" s="338">
        <f t="shared" si="3"/>
        <v>0</v>
      </c>
      <c r="U29" s="339">
        <f t="shared" si="3"/>
        <v>764014.42823845812</v>
      </c>
      <c r="V29" s="340">
        <f t="shared" si="3"/>
        <v>243851</v>
      </c>
    </row>
    <row r="31" spans="1:22" thickBot="1" x14ac:dyDescent="0.35"/>
    <row r="32" spans="1:22" thickBot="1" x14ac:dyDescent="0.35">
      <c r="B32" s="118" t="s">
        <v>178</v>
      </c>
      <c r="C32" s="69"/>
      <c r="D32" s="69"/>
      <c r="F32" s="271"/>
      <c r="R32" s="432" t="s">
        <v>179</v>
      </c>
      <c r="S32" s="433"/>
      <c r="T32" s="433"/>
      <c r="U32" s="433"/>
      <c r="V32" s="122">
        <f>'3. Continuity Schedule'!CN44</f>
        <v>2726643.7060462497</v>
      </c>
    </row>
    <row r="33" spans="2:22" ht="25.5" customHeight="1" thickBot="1" x14ac:dyDescent="0.35">
      <c r="B33" s="85" t="s">
        <v>180</v>
      </c>
      <c r="C33" s="69"/>
      <c r="D33" s="173">
        <f>'3. Continuity Schedule'!CN46</f>
        <v>-5674643.2710123416</v>
      </c>
      <c r="H33" s="271"/>
      <c r="R33" s="434" t="str">
        <f>IF(V32=U29,"Total Balance of Account 1568 in Column R matches the amount entered on the Continuity Schedule","Total Balance of Account 1568 in Column T DOES NOT MATCH the amount entered on the Continuity Schedule")</f>
        <v>Total Balance of Account 1568 in Column T DOES NOT MATCH the amount entered on the Continuity Schedule</v>
      </c>
      <c r="S33" s="435"/>
      <c r="T33" s="435"/>
      <c r="U33" s="435"/>
      <c r="V33" s="436"/>
    </row>
    <row r="34" spans="2:22" ht="14.45" x14ac:dyDescent="0.3">
      <c r="B34" s="85" t="s">
        <v>181</v>
      </c>
      <c r="C34" s="69"/>
      <c r="D34" s="173">
        <f>+'3. Continuity Schedule'!CN42</f>
        <v>-8401286.9770585913</v>
      </c>
      <c r="H34" s="120"/>
    </row>
    <row r="35" spans="2:22" ht="16.149999999999999" x14ac:dyDescent="0.3">
      <c r="B35" s="85" t="s">
        <v>182</v>
      </c>
      <c r="C35" s="69"/>
      <c r="D35" s="169">
        <f>IFERROR(D34/D29,"")</f>
        <v>-1.6273246108321827E-3</v>
      </c>
    </row>
    <row r="36" spans="2:22" thickBot="1" x14ac:dyDescent="0.35">
      <c r="B36" s="85" t="s">
        <v>183</v>
      </c>
      <c r="C36" s="69"/>
      <c r="D36" s="124" t="str">
        <f>IF(D35="","",IF(OR(D35&gt;0.001,D35&lt;-0.001),"Yes","No"))</f>
        <v>Yes</v>
      </c>
    </row>
    <row r="37" spans="2:22" ht="15.6" thickTop="1" thickBot="1" x14ac:dyDescent="0.35">
      <c r="B37" s="121" t="s">
        <v>184</v>
      </c>
      <c r="C37" s="69"/>
      <c r="D37" s="125" t="s">
        <v>143</v>
      </c>
    </row>
    <row r="38" spans="2:22" thickTop="1" x14ac:dyDescent="0.3"/>
    <row r="40" spans="2:22" ht="21" x14ac:dyDescent="0.3">
      <c r="B40" s="119" t="s">
        <v>185</v>
      </c>
      <c r="C40" s="72"/>
      <c r="D40" s="72"/>
      <c r="E40" s="72"/>
      <c r="F40" s="72"/>
      <c r="G40" s="72"/>
      <c r="H40" s="72"/>
      <c r="I40" s="72"/>
      <c r="J40" s="72"/>
    </row>
    <row r="41" spans="2:22" ht="15.75" x14ac:dyDescent="0.25">
      <c r="B41" s="123" t="s">
        <v>186</v>
      </c>
    </row>
    <row r="42" spans="2:22" ht="15.75" x14ac:dyDescent="0.25">
      <c r="B42" s="123" t="s">
        <v>187</v>
      </c>
    </row>
    <row r="43" spans="2:22" ht="15.75" x14ac:dyDescent="0.25">
      <c r="B43" s="123" t="s">
        <v>188</v>
      </c>
    </row>
    <row r="44" spans="2:22" ht="21" x14ac:dyDescent="0.3">
      <c r="B44" s="117"/>
    </row>
  </sheetData>
  <mergeCells count="25">
    <mergeCell ref="R32:U32"/>
    <mergeCell ref="R33:V33"/>
    <mergeCell ref="I15:I16"/>
    <mergeCell ref="J15:J16"/>
    <mergeCell ref="Q15:Q16"/>
    <mergeCell ref="R15:R16"/>
    <mergeCell ref="U15:U16"/>
    <mergeCell ref="T15:T16"/>
    <mergeCell ref="S15:S16"/>
    <mergeCell ref="B2:J9"/>
    <mergeCell ref="V15:V16"/>
    <mergeCell ref="K15:K16"/>
    <mergeCell ref="L15:L16"/>
    <mergeCell ref="M15:M16"/>
    <mergeCell ref="N15:N16"/>
    <mergeCell ref="O15:O16"/>
    <mergeCell ref="P15:P16"/>
    <mergeCell ref="B13:H13"/>
    <mergeCell ref="D14:I14"/>
    <mergeCell ref="D15:D16"/>
    <mergeCell ref="E15:E16"/>
    <mergeCell ref="F15:F16"/>
    <mergeCell ref="G15:G16"/>
    <mergeCell ref="H15:H16"/>
    <mergeCell ref="L14:T14"/>
  </mergeCells>
  <dataValidations count="3">
    <dataValidation type="list" allowBlank="1" showInputMessage="1" showErrorMessage="1" sqref="C13">
      <formula1>"kWh, kW, kVA"</formula1>
    </dataValidation>
    <dataValidation type="list" allowBlank="1" showInputMessage="1" showErrorMessage="1" sqref="D37">
      <formula1>$L$3:$L$4</formula1>
    </dataValidation>
    <dataValidation type="list" allowBlank="1" showInputMessage="1" showErrorMessage="1" sqref="G35 C17:C28">
      <formula1>#REF!</formula1>
    </dataValidation>
  </dataValidations>
  <hyperlinks>
    <hyperlink ref="C4" location="Index" display="Back to Index"/>
    <hyperlink ref="A1" location="Index" display="Back to Index"/>
  </hyperlinks>
  <pageMargins left="0.70866141732283472" right="0.70866141732283472" top="0.74803149606299213" bottom="0.74803149606299213" header="0.31496062992125984" footer="0.31496062992125984"/>
  <pageSetup scale="47" orientation="landscape" r:id="rId1"/>
  <colBreaks count="1" manualBreakCount="1">
    <brk id="11" max="1048575" man="1"/>
  </colBreaks>
  <ignoredErrors>
    <ignoredError sqref="D29:I29 U29 T29 R20:R29"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W44"/>
  <sheetViews>
    <sheetView view="pageBreakPreview" topLeftCell="E10" zoomScale="70" zoomScaleNormal="85" zoomScaleSheetLayoutView="70" workbookViewId="0">
      <selection activeCell="N36" sqref="N36"/>
    </sheetView>
  </sheetViews>
  <sheetFormatPr defaultColWidth="9.140625" defaultRowHeight="15" outlineLevelRow="1" x14ac:dyDescent="0.25"/>
  <cols>
    <col min="1" max="1" width="12.85546875" style="107" bestFit="1" customWidth="1"/>
    <col min="2" max="2" width="58.85546875" style="75" customWidth="1"/>
    <col min="3" max="4" width="14.85546875" customWidth="1"/>
    <col min="5" max="5" width="11.85546875" customWidth="1"/>
    <col min="6" max="6" width="14.7109375" customWidth="1"/>
    <col min="7" max="8" width="14.85546875" customWidth="1"/>
    <col min="9" max="9" width="19.7109375" customWidth="1"/>
    <col min="10" max="10" width="14.7109375" hidden="1" customWidth="1"/>
    <col min="11" max="11" width="14.85546875" hidden="1" customWidth="1"/>
    <col min="12" max="14" width="14.85546875" customWidth="1"/>
    <col min="15" max="22" width="14.85546875" hidden="1" customWidth="1"/>
    <col min="23" max="23" width="14" customWidth="1"/>
  </cols>
  <sheetData>
    <row r="1" spans="1:23" ht="14.45" x14ac:dyDescent="0.3">
      <c r="A1" s="162" t="s">
        <v>0</v>
      </c>
      <c r="B1" s="165"/>
    </row>
    <row r="2" spans="1:23" ht="15" customHeight="1" x14ac:dyDescent="0.25">
      <c r="B2" s="356" t="str">
        <f>+'1. Information Sheet'!B2</f>
        <v>INCENTIVE REGULATION MODEL FOR 2019 FILERS</v>
      </c>
      <c r="C2" s="356"/>
      <c r="D2" s="356"/>
      <c r="E2" s="356"/>
      <c r="F2" s="356"/>
      <c r="G2" s="356"/>
      <c r="H2" s="356"/>
    </row>
    <row r="3" spans="1:23" ht="15" customHeight="1" x14ac:dyDescent="0.25">
      <c r="B3" s="356"/>
      <c r="C3" s="356"/>
      <c r="D3" s="356"/>
      <c r="E3" s="356"/>
      <c r="F3" s="356"/>
      <c r="G3" s="356"/>
      <c r="H3" s="356"/>
    </row>
    <row r="4" spans="1:23" ht="15" customHeight="1" x14ac:dyDescent="0.25">
      <c r="B4" s="356"/>
      <c r="C4" s="439"/>
      <c r="D4" s="356"/>
      <c r="E4" s="356"/>
      <c r="F4" s="356"/>
      <c r="G4" s="356"/>
      <c r="H4" s="356"/>
    </row>
    <row r="5" spans="1:23" ht="15" customHeight="1" x14ac:dyDescent="0.25">
      <c r="B5" s="356"/>
      <c r="C5" s="356"/>
      <c r="D5" s="356"/>
      <c r="E5" s="356"/>
      <c r="F5" s="356"/>
      <c r="G5" s="356"/>
      <c r="H5" s="356"/>
    </row>
    <row r="6" spans="1:23" ht="15" customHeight="1" x14ac:dyDescent="0.25">
      <c r="B6" s="356"/>
      <c r="C6" s="356"/>
      <c r="D6" s="356"/>
      <c r="E6" s="356"/>
      <c r="F6" s="356"/>
      <c r="G6" s="356"/>
      <c r="H6" s="356"/>
    </row>
    <row r="7" spans="1:23" ht="15" customHeight="1" x14ac:dyDescent="0.25">
      <c r="B7" s="356"/>
      <c r="C7" s="356"/>
      <c r="D7" s="356"/>
      <c r="E7" s="356"/>
      <c r="F7" s="356"/>
      <c r="G7" s="356"/>
      <c r="H7" s="356"/>
    </row>
    <row r="8" spans="1:23" ht="15" customHeight="1" x14ac:dyDescent="0.25">
      <c r="B8" s="356"/>
      <c r="C8" s="356"/>
      <c r="D8" s="356"/>
      <c r="E8" s="356"/>
      <c r="F8" s="356"/>
      <c r="G8" s="356"/>
      <c r="H8" s="356"/>
    </row>
    <row r="9" spans="1:23" ht="15" customHeight="1" x14ac:dyDescent="0.25">
      <c r="B9" s="356"/>
      <c r="C9" s="356"/>
      <c r="D9" s="356"/>
      <c r="E9" s="356"/>
      <c r="F9" s="356"/>
      <c r="G9" s="356"/>
      <c r="H9" s="356"/>
    </row>
    <row r="11" spans="1:23" x14ac:dyDescent="0.25">
      <c r="B11" s="442" t="s">
        <v>189</v>
      </c>
      <c r="C11" s="442"/>
      <c r="D11" s="442"/>
      <c r="E11" s="442"/>
      <c r="F11" s="442"/>
      <c r="G11" s="442"/>
      <c r="H11" s="442"/>
      <c r="I11" s="442"/>
      <c r="J11" s="442"/>
      <c r="K11" s="442"/>
      <c r="L11" s="442"/>
    </row>
    <row r="12" spans="1:23" x14ac:dyDescent="0.25">
      <c r="B12" s="442"/>
      <c r="C12" s="442"/>
      <c r="D12" s="442"/>
      <c r="E12" s="442"/>
      <c r="F12" s="442"/>
      <c r="G12" s="442"/>
      <c r="H12" s="442"/>
      <c r="I12" s="442"/>
      <c r="J12" s="442"/>
      <c r="K12" s="442"/>
      <c r="L12" s="442"/>
    </row>
    <row r="13" spans="1:23" ht="17.45" x14ac:dyDescent="0.3">
      <c r="B13" s="73" t="s">
        <v>190</v>
      </c>
    </row>
    <row r="14" spans="1:23" s="74" customFormat="1" ht="23.25" x14ac:dyDescent="0.25">
      <c r="A14" s="107"/>
      <c r="B14" s="211"/>
      <c r="C14" s="443" t="s">
        <v>191</v>
      </c>
      <c r="D14" s="443" t="s">
        <v>192</v>
      </c>
      <c r="E14" s="443" t="s">
        <v>193</v>
      </c>
      <c r="F14" s="445" t="s">
        <v>194</v>
      </c>
      <c r="G14" s="212"/>
      <c r="H14" s="213"/>
      <c r="I14" s="213" t="s">
        <v>195</v>
      </c>
      <c r="J14" s="213"/>
      <c r="K14" s="213"/>
      <c r="L14" s="212"/>
      <c r="M14" s="212"/>
      <c r="N14" s="213" t="s">
        <v>195</v>
      </c>
      <c r="O14" s="440" t="s">
        <v>196</v>
      </c>
      <c r="P14" s="440" t="s">
        <v>197</v>
      </c>
      <c r="Q14" s="440" t="s">
        <v>198</v>
      </c>
      <c r="R14" s="440" t="s">
        <v>199</v>
      </c>
      <c r="S14" s="440" t="s">
        <v>200</v>
      </c>
      <c r="T14" s="440" t="s">
        <v>201</v>
      </c>
      <c r="U14" s="440" t="s">
        <v>202</v>
      </c>
      <c r="V14" s="440" t="s">
        <v>203</v>
      </c>
      <c r="W14" s="440">
        <v>1568</v>
      </c>
    </row>
    <row r="15" spans="1:23" s="74" customFormat="1" ht="39" customHeight="1" x14ac:dyDescent="0.25">
      <c r="A15" s="107"/>
      <c r="B15" s="214" t="s">
        <v>165</v>
      </c>
      <c r="C15" s="444"/>
      <c r="D15" s="444"/>
      <c r="E15" s="444"/>
      <c r="F15" s="446"/>
      <c r="G15" s="215">
        <v>1550</v>
      </c>
      <c r="H15" s="215">
        <v>1551</v>
      </c>
      <c r="I15" s="215">
        <v>1580</v>
      </c>
      <c r="J15" s="215" t="s">
        <v>204</v>
      </c>
      <c r="K15" s="215" t="s">
        <v>205</v>
      </c>
      <c r="L15" s="215">
        <v>1584</v>
      </c>
      <c r="M15" s="215">
        <v>1586</v>
      </c>
      <c r="N15" s="215">
        <v>1588</v>
      </c>
      <c r="O15" s="441"/>
      <c r="P15" s="441"/>
      <c r="Q15" s="441"/>
      <c r="R15" s="441"/>
      <c r="S15" s="441"/>
      <c r="T15" s="441"/>
      <c r="U15" s="441"/>
      <c r="V15" s="441"/>
      <c r="W15" s="441"/>
    </row>
    <row r="16" spans="1:23" ht="14.45" x14ac:dyDescent="0.3">
      <c r="B16" s="216" t="str">
        <f>'4. Billing Det. for Def-Var'!B17</f>
        <v>RESIDENTIAL</v>
      </c>
      <c r="C16" s="221">
        <f>IFERROR('4. Billing Det. for Def-Var'!D17/'4. Billing Det. for Def-Var'!D$29,"")</f>
        <v>0.29782845376443828</v>
      </c>
      <c r="D16" s="221">
        <f>IFERROR('4. Billing Det. for Def-Var'!F17/'4. Billing Det. for Def-Var'!F$29,"")</f>
        <v>2.2861880587047655E-2</v>
      </c>
      <c r="E16" s="221">
        <f>IFERROR('4. Billing Det. for Def-Var'!V17/'4. Billing Det. for Def-Var'!V$29,"")</f>
        <v>0.92271099974984727</v>
      </c>
      <c r="F16" s="221">
        <f>IFERROR('4. Billing Det. for Def-Var'!J17/'4. Billing Det. for Def-Var'!J$29,"")</f>
        <v>0.35070566813136994</v>
      </c>
      <c r="G16" s="191">
        <f>IFERROR(G$28*C16,"")</f>
        <v>179027.62649375241</v>
      </c>
      <c r="H16" s="191">
        <f>IFERROR(H$28*E16,"")</f>
        <v>-26423.656542270037</v>
      </c>
      <c r="I16" s="191">
        <f>IFERROR(I$28*F16,"")</f>
        <v>-1676576.6005883282</v>
      </c>
      <c r="J16" s="191"/>
      <c r="K16" s="191"/>
      <c r="L16" s="191">
        <f>IFERROR(L$28*$C16,"")</f>
        <v>-57383.900450529058</v>
      </c>
      <c r="M16" s="191">
        <f>IFERROR(M$28*$C16,"")</f>
        <v>132088.66163591214</v>
      </c>
      <c r="N16" s="191">
        <f>IFERROR(N$28*$F16,"")</f>
        <v>-1445887.6421087664</v>
      </c>
      <c r="O16" s="191">
        <f>'4. Billing Det. for Def-Var'!$L17*O$28</f>
        <v>0</v>
      </c>
      <c r="P16" s="191">
        <f>'4. Billing Det. for Def-Var'!$L17*P$28</f>
        <v>0</v>
      </c>
      <c r="Q16" s="191">
        <f>'4. Billing Det. for Def-Var'!$L17*Q$28</f>
        <v>0</v>
      </c>
      <c r="R16" s="191">
        <f>'4. Billing Det. for Def-Var'!$L17*R$28</f>
        <v>0</v>
      </c>
      <c r="S16" s="191">
        <f>'4. Billing Det. for Def-Var'!$L17*S$28</f>
        <v>0</v>
      </c>
      <c r="T16" s="191">
        <f>'4. Billing Det. for Def-Var'!$L17*T$28</f>
        <v>0</v>
      </c>
      <c r="U16" s="191">
        <v>0</v>
      </c>
      <c r="V16" s="191">
        <f>+$V$28*'4. Billing Det. for Def-Var'!T17</f>
        <v>0</v>
      </c>
      <c r="W16" s="191">
        <f>'4. Billing Det. for Def-Var'!U17</f>
        <v>379768.89497532236</v>
      </c>
    </row>
    <row r="17" spans="1:23" ht="14.45" x14ac:dyDescent="0.3">
      <c r="B17" s="216" t="str">
        <f>'4. Billing Det. for Def-Var'!B18</f>
        <v>GENERAL SERVICE LESS THAN 50 KW</v>
      </c>
      <c r="C17" s="221">
        <f>IFERROR('4. Billing Det. for Def-Var'!D18/'4. Billing Det. for Def-Var'!D$29,"")</f>
        <v>0.10824475601156623</v>
      </c>
      <c r="D17" s="221">
        <f>IFERROR('4. Billing Det. for Def-Var'!F18/'4. Billing Det. for Def-Var'!F$29,"")</f>
        <v>3.3804600076435806E-2</v>
      </c>
      <c r="E17" s="221">
        <f>IFERROR('4. Billing Det. for Def-Var'!V18/'4. Billing Det. for Def-Var'!V$29,"")</f>
        <v>7.7289000250152756E-2</v>
      </c>
      <c r="F17" s="221">
        <f>IFERROR('4. Billing Det. for Def-Var'!J18/'4. Billing Det. for Def-Var'!J$29,"")</f>
        <v>0.12746280282802935</v>
      </c>
      <c r="G17" s="191">
        <f t="shared" ref="G17:G23" si="0">IFERROR(G$28*C17,"")</f>
        <v>65066.99243878603</v>
      </c>
      <c r="H17" s="191">
        <f>IFERROR(H$28*E17,"")</f>
        <v>-2213.3235624796152</v>
      </c>
      <c r="I17" s="191">
        <f t="shared" ref="I17:I23" si="1">IFERROR(I$28*F17,"")</f>
        <v>-609346.16142795852</v>
      </c>
      <c r="J17" s="191"/>
      <c r="K17" s="191"/>
      <c r="L17" s="191">
        <f t="shared" ref="L17:M23" si="2">IFERROR(L$28*$C17,"")</f>
        <v>-20855.986809683389</v>
      </c>
      <c r="M17" s="191">
        <f t="shared" si="2"/>
        <v>48007.182557454005</v>
      </c>
      <c r="N17" s="191">
        <f t="shared" ref="N17:N23" si="3">IFERROR(N$28*$F17,"")</f>
        <v>-525503.03055996995</v>
      </c>
      <c r="O17" s="191">
        <f>'4. Billing Det. for Def-Var'!$L18*O$28</f>
        <v>0</v>
      </c>
      <c r="P17" s="191">
        <f>'4. Billing Det. for Def-Var'!$L18*P$28</f>
        <v>0</v>
      </c>
      <c r="Q17" s="191">
        <f>'4. Billing Det. for Def-Var'!$L18*Q$28</f>
        <v>0</v>
      </c>
      <c r="R17" s="191">
        <f>'4. Billing Det. for Def-Var'!$L18*R$28</f>
        <v>0</v>
      </c>
      <c r="S17" s="191">
        <f>'4. Billing Det. for Def-Var'!$L18*S$28</f>
        <v>0</v>
      </c>
      <c r="T17" s="191">
        <f>'4. Billing Det. for Def-Var'!$L18*T$28</f>
        <v>0</v>
      </c>
      <c r="U17" s="191">
        <v>0</v>
      </c>
      <c r="V17" s="191">
        <f>+$V$28*'4. Billing Det. for Def-Var'!T18</f>
        <v>0</v>
      </c>
      <c r="W17" s="191">
        <f>'4. Billing Det. for Def-Var'!U18</f>
        <v>298431.22066801263</v>
      </c>
    </row>
    <row r="18" spans="1:23" ht="14.45" x14ac:dyDescent="0.3">
      <c r="B18" s="216" t="str">
        <f>'4. Billing Det. for Def-Var'!B19</f>
        <v>GENERAL SERVICE 50 TO 4,999 KW</v>
      </c>
      <c r="C18" s="221">
        <f>IFERROR('4. Billing Det. for Def-Var'!D19/'4. Billing Det. for Def-Var'!D$29,"")</f>
        <v>0.33934370995983959</v>
      </c>
      <c r="D18" s="221">
        <f>IFERROR('4. Billing Det. for Def-Var'!F19/'4. Billing Det. for Def-Var'!F$29,"")</f>
        <v>0.51831978547798851</v>
      </c>
      <c r="E18" s="221">
        <f>IFERROR('4. Billing Det. for Def-Var'!V19/'4. Billing Det. for Def-Var'!V$29,"")</f>
        <v>0</v>
      </c>
      <c r="F18" s="221">
        <f>IFERROR('4. Billing Det. for Def-Var'!J19/'4. Billing Det. for Def-Var'!J$29,"")</f>
        <v>0.39959164755215715</v>
      </c>
      <c r="G18" s="191">
        <f>IFERROR(G$28*C18,"")</f>
        <v>203982.85721801774</v>
      </c>
      <c r="H18" s="191">
        <v>0</v>
      </c>
      <c r="I18" s="191">
        <f>IFERROR(I$28*F18,"")</f>
        <v>-1910279.9496971106</v>
      </c>
      <c r="J18" s="191"/>
      <c r="K18" s="191"/>
      <c r="L18" s="191">
        <f t="shared" si="2"/>
        <v>-65382.82499445245</v>
      </c>
      <c r="M18" s="191">
        <f t="shared" si="2"/>
        <v>150500.92063605384</v>
      </c>
      <c r="N18" s="191">
        <f>IFERROR(N$28*$F18,"")</f>
        <v>-1647434.522983308</v>
      </c>
      <c r="O18" s="191">
        <f>'4. Billing Det. for Def-Var'!$L19*O$28</f>
        <v>0</v>
      </c>
      <c r="P18" s="191">
        <f>'4. Billing Det. for Def-Var'!$L19*P$28</f>
        <v>0</v>
      </c>
      <c r="Q18" s="191">
        <f>'4. Billing Det. for Def-Var'!$L19*Q$28</f>
        <v>0</v>
      </c>
      <c r="R18" s="191">
        <f>'4. Billing Det. for Def-Var'!$L19*R$28</f>
        <v>0</v>
      </c>
      <c r="S18" s="191">
        <f>'4. Billing Det. for Def-Var'!$L19*S$28</f>
        <v>0</v>
      </c>
      <c r="T18" s="191">
        <f>'4. Billing Det. for Def-Var'!$L19*T$28</f>
        <v>0</v>
      </c>
      <c r="U18" s="191">
        <v>0</v>
      </c>
      <c r="V18" s="191">
        <f>+$V$28*'4. Billing Det. for Def-Var'!T19</f>
        <v>0</v>
      </c>
      <c r="W18" s="191">
        <f>'4. Billing Det. for Def-Var'!U19</f>
        <v>-62135.273344870548</v>
      </c>
    </row>
    <row r="19" spans="1:23" ht="14.45" x14ac:dyDescent="0.3">
      <c r="B19" s="216" t="str">
        <f>'4. Billing Det. for Def-Var'!B20</f>
        <v>LARGE USE (1)</v>
      </c>
      <c r="C19" s="221">
        <f>IFERROR('4. Billing Det. for Def-Var'!D20/'4. Billing Det. for Def-Var'!D$29,"")</f>
        <v>4.2715836430842653E-2</v>
      </c>
      <c r="D19" s="221">
        <f>IFERROR('4. Billing Det. for Def-Var'!F20/'4. Billing Det. for Def-Var'!F$29,"")</f>
        <v>7.1945972489617052E-2</v>
      </c>
      <c r="E19" s="221">
        <f>IFERROR('4. Billing Det. for Def-Var'!V20/'4. Billing Det. for Def-Var'!V$29,"")</f>
        <v>0</v>
      </c>
      <c r="F19" s="221">
        <f>IFERROR('4. Billing Det. for Def-Var'!J20/'4. Billing Det. for Def-Var'!J$29,"")</f>
        <v>4.2327159446432283E-2</v>
      </c>
      <c r="G19" s="191">
        <f t="shared" si="0"/>
        <v>25676.911367097309</v>
      </c>
      <c r="H19" s="191">
        <v>0</v>
      </c>
      <c r="I19" s="191">
        <f t="shared" si="1"/>
        <v>-202348.38368987263</v>
      </c>
      <c r="J19" s="191"/>
      <c r="K19" s="191"/>
      <c r="L19" s="191">
        <f t="shared" si="2"/>
        <v>-8230.2455471473786</v>
      </c>
      <c r="M19" s="191">
        <f t="shared" si="2"/>
        <v>18944.723358336996</v>
      </c>
      <c r="N19" s="191">
        <f t="shared" si="3"/>
        <v>-174506.20942413426</v>
      </c>
      <c r="O19" s="191">
        <f>'4. Billing Det. for Def-Var'!$L20*O$28</f>
        <v>0</v>
      </c>
      <c r="P19" s="191">
        <f>'4. Billing Det. for Def-Var'!$L20*P$28</f>
        <v>0</v>
      </c>
      <c r="Q19" s="191">
        <f>'4. Billing Det. for Def-Var'!$L20*Q$28</f>
        <v>0</v>
      </c>
      <c r="R19" s="191">
        <f>'4. Billing Det. for Def-Var'!$L20*R$28</f>
        <v>0</v>
      </c>
      <c r="S19" s="191">
        <f>'4. Billing Det. for Def-Var'!$L20*S$28</f>
        <v>0</v>
      </c>
      <c r="T19" s="191">
        <f>'4. Billing Det. for Def-Var'!$L20*T$28</f>
        <v>0</v>
      </c>
      <c r="U19" s="191">
        <v>0</v>
      </c>
      <c r="V19" s="191">
        <f>+$V$28*'4. Billing Det. for Def-Var'!T20</f>
        <v>0</v>
      </c>
      <c r="W19" s="191">
        <f>'4. Billing Det. for Def-Var'!U20</f>
        <v>8544.7637209973782</v>
      </c>
    </row>
    <row r="20" spans="1:23" ht="14.45" x14ac:dyDescent="0.3">
      <c r="B20" s="216" t="str">
        <f>'4. Billing Det. for Def-Var'!B21</f>
        <v>LARGE USE (2)</v>
      </c>
      <c r="C20" s="221">
        <f>IFERROR('4. Billing Det. for Def-Var'!D21/'4. Billing Det. for Def-Var'!D$29,"")</f>
        <v>0.20354182195982801</v>
      </c>
      <c r="D20" s="221">
        <f>IFERROR('4. Billing Det. for Def-Var'!F21/'4. Billing Det. for Def-Var'!F$29,"")</f>
        <v>0.34282400970696469</v>
      </c>
      <c r="E20" s="221">
        <f>IFERROR('4. Billing Det. for Def-Var'!V21/'4. Billing Det. for Def-Var'!V$29,"")</f>
        <v>0</v>
      </c>
      <c r="F20" s="221">
        <f>IFERROR('4. Billing Det. for Def-Var'!J21/'4. Billing Det. for Def-Var'!J$29,"")</f>
        <v>7.0109183784630644E-2</v>
      </c>
      <c r="G20" s="191">
        <f t="shared" si="0"/>
        <v>122351.00044035132</v>
      </c>
      <c r="H20" s="191">
        <v>0</v>
      </c>
      <c r="I20" s="191">
        <f t="shared" si="1"/>
        <v>-335162.58133480779</v>
      </c>
      <c r="J20" s="191"/>
      <c r="K20" s="191"/>
      <c r="L20" s="191">
        <f t="shared" si="2"/>
        <v>-39217.285995448139</v>
      </c>
      <c r="M20" s="191">
        <f t="shared" si="2"/>
        <v>90271.988823718697</v>
      </c>
      <c r="N20" s="191">
        <f t="shared" si="3"/>
        <v>-289045.80576826556</v>
      </c>
      <c r="O20" s="191">
        <f>'4. Billing Det. for Def-Var'!$L21*O$28</f>
        <v>0</v>
      </c>
      <c r="P20" s="191">
        <f>'4. Billing Det. for Def-Var'!$L21*P$28</f>
        <v>0</v>
      </c>
      <c r="Q20" s="191">
        <f>'4. Billing Det. for Def-Var'!$L21*Q$28</f>
        <v>0</v>
      </c>
      <c r="R20" s="191">
        <f>'4. Billing Det. for Def-Var'!$L21*R$28</f>
        <v>0</v>
      </c>
      <c r="S20" s="191">
        <f>'4. Billing Det. for Def-Var'!$L21*S$28</f>
        <v>0</v>
      </c>
      <c r="T20" s="191">
        <f>'4. Billing Det. for Def-Var'!$L21*T$28</f>
        <v>0</v>
      </c>
      <c r="U20" s="191">
        <v>0</v>
      </c>
      <c r="V20" s="191">
        <f>+$V$28*'4. Billing Det. for Def-Var'!T21</f>
        <v>0</v>
      </c>
      <c r="W20" s="191">
        <f>'4. Billing Det. for Def-Var'!U21</f>
        <v>11840.939110272371</v>
      </c>
    </row>
    <row r="21" spans="1:23" ht="14.45" x14ac:dyDescent="0.3">
      <c r="B21" s="216" t="str">
        <f>'4. Billing Det. for Def-Var'!B22</f>
        <v>UNMETERED SCATTERED LOAD</v>
      </c>
      <c r="C21" s="221">
        <f>IFERROR('4. Billing Det. for Def-Var'!D22/'4. Billing Det. for Def-Var'!D$29,"")</f>
        <v>2.1980060636359938E-3</v>
      </c>
      <c r="D21" s="221">
        <f>IFERROR('4. Billing Det. for Def-Var'!F22/'4. Billing Det. for Def-Var'!F$29,"")</f>
        <v>1.3935524065448473E-4</v>
      </c>
      <c r="E21" s="221">
        <f>IFERROR('4. Billing Det. for Def-Var'!V22/'4. Billing Det. for Def-Var'!V$29,"")</f>
        <v>0</v>
      </c>
      <c r="F21" s="221">
        <f>IFERROR('4. Billing Det. for Def-Var'!J22/'4. Billing Det. for Def-Var'!J$29,"")</f>
        <v>2.5882456003144517E-3</v>
      </c>
      <c r="G21" s="191">
        <f t="shared" si="0"/>
        <v>1321.2431640358379</v>
      </c>
      <c r="H21" s="191">
        <v>0</v>
      </c>
      <c r="I21" s="191">
        <f t="shared" si="1"/>
        <v>-12373.315872492309</v>
      </c>
      <c r="J21" s="191"/>
      <c r="K21" s="191"/>
      <c r="L21" s="191">
        <f t="shared" si="2"/>
        <v>-423.49936532628055</v>
      </c>
      <c r="M21" s="191">
        <f t="shared" si="2"/>
        <v>974.82854825862353</v>
      </c>
      <c r="N21" s="191">
        <f t="shared" si="3"/>
        <v>-10670.806514696043</v>
      </c>
      <c r="O21" s="191">
        <f>'4. Billing Det. for Def-Var'!$L22*O$28</f>
        <v>0</v>
      </c>
      <c r="P21" s="191">
        <f>'4. Billing Det. for Def-Var'!$L22*P$28</f>
        <v>0</v>
      </c>
      <c r="Q21" s="191">
        <f>'4. Billing Det. for Def-Var'!$L22*Q$28</f>
        <v>0</v>
      </c>
      <c r="R21" s="191">
        <f>'4. Billing Det. for Def-Var'!$L22*R$28</f>
        <v>0</v>
      </c>
      <c r="S21" s="191">
        <f>'4. Billing Det. for Def-Var'!$L22*S$28</f>
        <v>0</v>
      </c>
      <c r="T21" s="191">
        <f>'4. Billing Det. for Def-Var'!$L22*T$28</f>
        <v>0</v>
      </c>
      <c r="U21" s="191">
        <v>0</v>
      </c>
      <c r="V21" s="191">
        <f>+$V$28*'4. Billing Det. for Def-Var'!T22</f>
        <v>0</v>
      </c>
      <c r="W21" s="191">
        <f>'4. Billing Det. for Def-Var'!U22</f>
        <v>0</v>
      </c>
    </row>
    <row r="22" spans="1:23" ht="14.45" x14ac:dyDescent="0.3">
      <c r="B22" s="216" t="str">
        <f>'4. Billing Det. for Def-Var'!B23</f>
        <v>SENTINEL LIGHTING</v>
      </c>
      <c r="C22" s="221">
        <f>IFERROR('4. Billing Det. for Def-Var'!D23/'4. Billing Det. for Def-Var'!D$29,"")</f>
        <v>8.5218849319073048E-5</v>
      </c>
      <c r="D22" s="221">
        <f>IFERROR('4. Billing Det. for Def-Var'!F23/'4. Billing Det. for Def-Var'!F$29,"")</f>
        <v>1.812952150704492E-6</v>
      </c>
      <c r="E22" s="221">
        <f>IFERROR('4. Billing Det. for Def-Var'!V23/'4. Billing Det. for Def-Var'!V$29,"")</f>
        <v>0</v>
      </c>
      <c r="F22" s="221">
        <f>IFERROR('4. Billing Det. for Def-Var'!J23/'4. Billing Det. for Def-Var'!J$29,"")</f>
        <v>1.0034881862385919E-4</v>
      </c>
      <c r="G22" s="191">
        <f t="shared" si="0"/>
        <v>51.225892399754507</v>
      </c>
      <c r="H22" s="191">
        <v>0</v>
      </c>
      <c r="I22" s="191">
        <f t="shared" si="1"/>
        <v>-479.72558327293143</v>
      </c>
      <c r="J22" s="191"/>
      <c r="K22" s="191"/>
      <c r="L22" s="191">
        <f t="shared" si="2"/>
        <v>-16.419485458908255</v>
      </c>
      <c r="M22" s="191">
        <f t="shared" si="2"/>
        <v>37.795058230439899</v>
      </c>
      <c r="N22" s="191">
        <f t="shared" si="3"/>
        <v>-413.71762686795807</v>
      </c>
      <c r="O22" s="191">
        <f>'4. Billing Det. for Def-Var'!$L23*O$28</f>
        <v>0</v>
      </c>
      <c r="P22" s="191">
        <f>'4. Billing Det. for Def-Var'!$L23*P$28</f>
        <v>0</v>
      </c>
      <c r="Q22" s="191">
        <f>'4. Billing Det. for Def-Var'!$L23*Q$28</f>
        <v>0</v>
      </c>
      <c r="R22" s="191">
        <f>'4. Billing Det. for Def-Var'!$L23*R$28</f>
        <v>0</v>
      </c>
      <c r="S22" s="191">
        <f>'4. Billing Det. for Def-Var'!$L23*S$28</f>
        <v>0</v>
      </c>
      <c r="T22" s="191">
        <f>'4. Billing Det. for Def-Var'!$L23*T$28</f>
        <v>0</v>
      </c>
      <c r="U22" s="191">
        <v>0</v>
      </c>
      <c r="V22" s="191">
        <f>+$V$28*'4. Billing Det. for Def-Var'!T23</f>
        <v>0</v>
      </c>
      <c r="W22" s="191">
        <f>'4. Billing Det. for Def-Var'!U23</f>
        <v>0</v>
      </c>
    </row>
    <row r="23" spans="1:23" ht="14.45" x14ac:dyDescent="0.3">
      <c r="B23" s="216" t="str">
        <f>'4. Billing Det. for Def-Var'!B24</f>
        <v>STREET LIGHTING</v>
      </c>
      <c r="C23" s="221">
        <f>IFERROR('4. Billing Det. for Def-Var'!D24/'4. Billing Det. for Def-Var'!D$29,"")</f>
        <v>6.0421969605302132E-3</v>
      </c>
      <c r="D23" s="221">
        <f>IFERROR('4. Billing Det. for Def-Var'!F24/'4. Billing Det. for Def-Var'!F$29,"")</f>
        <v>1.0102583469141063E-2</v>
      </c>
      <c r="E23" s="221">
        <f>IFERROR('4. Billing Det. for Def-Var'!V24/'4. Billing Det. for Def-Var'!V$29,"")</f>
        <v>0</v>
      </c>
      <c r="F23" s="221">
        <f>IFERROR('4. Billing Det. for Def-Var'!J24/'4. Billing Det. for Def-Var'!J$29,"")</f>
        <v>7.1149438384422777E-3</v>
      </c>
      <c r="G23" s="191">
        <f t="shared" si="0"/>
        <v>3632.0242978095539</v>
      </c>
      <c r="H23" s="191">
        <v>0</v>
      </c>
      <c r="I23" s="191">
        <f t="shared" si="1"/>
        <v>-34013.560195907827</v>
      </c>
      <c r="J23" s="191"/>
      <c r="K23" s="191"/>
      <c r="L23" s="191">
        <f t="shared" si="2"/>
        <v>-1164.176305195441</v>
      </c>
      <c r="M23" s="191">
        <f t="shared" si="2"/>
        <v>2679.7497007732463</v>
      </c>
      <c r="N23" s="191">
        <f t="shared" si="3"/>
        <v>-29333.456242994245</v>
      </c>
      <c r="O23" s="191">
        <f>'4. Billing Det. for Def-Var'!$L24*O$28</f>
        <v>0</v>
      </c>
      <c r="P23" s="191">
        <f>'4. Billing Det. for Def-Var'!$L24*P$28</f>
        <v>0</v>
      </c>
      <c r="Q23" s="191">
        <f>'4. Billing Det. for Def-Var'!$L24*Q$28</f>
        <v>0</v>
      </c>
      <c r="R23" s="191">
        <f>'4. Billing Det. for Def-Var'!$L24*R$28</f>
        <v>0</v>
      </c>
      <c r="S23" s="191">
        <f>'4. Billing Det. for Def-Var'!$L24*S$28</f>
        <v>0</v>
      </c>
      <c r="T23" s="191">
        <f>'4. Billing Det. for Def-Var'!$L24*T$28</f>
        <v>0</v>
      </c>
      <c r="U23" s="191">
        <v>0</v>
      </c>
      <c r="V23" s="191">
        <f>+$V$28*'4. Billing Det. for Def-Var'!T24</f>
        <v>0</v>
      </c>
      <c r="W23" s="191">
        <f>'4. Billing Det. for Def-Var'!U24</f>
        <v>127563.88310872387</v>
      </c>
    </row>
    <row r="24" spans="1:23" ht="14.45" x14ac:dyDescent="0.3">
      <c r="B24" s="216">
        <f>'4. Billing Det. for Def-Var'!B25</f>
        <v>0</v>
      </c>
      <c r="C24" s="217"/>
      <c r="D24" s="217"/>
      <c r="E24" s="217"/>
      <c r="F24" s="217"/>
      <c r="G24" s="191"/>
      <c r="H24" s="191"/>
      <c r="I24" s="191"/>
      <c r="J24" s="191"/>
      <c r="K24" s="191"/>
      <c r="L24" s="191"/>
      <c r="M24" s="191"/>
      <c r="N24" s="191"/>
      <c r="O24" s="191">
        <f>'4. Billing Det. for Def-Var'!$L25*O$28</f>
        <v>0</v>
      </c>
      <c r="P24" s="191">
        <f>'4. Billing Det. for Def-Var'!$L25*P$28</f>
        <v>0</v>
      </c>
      <c r="Q24" s="191">
        <f>'4. Billing Det. for Def-Var'!$L25*Q$28</f>
        <v>0</v>
      </c>
      <c r="R24" s="191">
        <f>'4. Billing Det. for Def-Var'!$L25*R$28</f>
        <v>0</v>
      </c>
      <c r="S24" s="191">
        <f>'4. Billing Det. for Def-Var'!$L25*S$28</f>
        <v>0</v>
      </c>
      <c r="T24" s="191">
        <f>'4. Billing Det. for Def-Var'!$L25*T$28</f>
        <v>0</v>
      </c>
      <c r="U24" s="191"/>
      <c r="V24" s="191"/>
      <c r="W24" s="191"/>
    </row>
    <row r="25" spans="1:23" ht="14.45" x14ac:dyDescent="0.3">
      <c r="B25" s="216">
        <f>'4. Billing Det. for Def-Var'!B26</f>
        <v>0</v>
      </c>
      <c r="C25" s="217"/>
      <c r="D25" s="217"/>
      <c r="E25" s="217"/>
      <c r="F25" s="217"/>
      <c r="G25" s="191"/>
      <c r="H25" s="191"/>
      <c r="I25" s="191"/>
      <c r="J25" s="191"/>
      <c r="K25" s="191"/>
      <c r="L25" s="191"/>
      <c r="M25" s="191"/>
      <c r="N25" s="191"/>
      <c r="O25" s="191"/>
      <c r="P25" s="191"/>
      <c r="Q25" s="191"/>
      <c r="R25" s="191"/>
      <c r="S25" s="191"/>
      <c r="T25" s="191"/>
      <c r="U25" s="191"/>
      <c r="V25" s="191"/>
      <c r="W25" s="191"/>
    </row>
    <row r="26" spans="1:23" ht="14.45" x14ac:dyDescent="0.3">
      <c r="B26" s="216"/>
      <c r="C26" s="217"/>
      <c r="D26" s="217"/>
      <c r="E26" s="217"/>
      <c r="F26" s="217"/>
      <c r="G26" s="191"/>
      <c r="H26" s="191"/>
      <c r="I26" s="191"/>
      <c r="J26" s="191"/>
      <c r="K26" s="191"/>
      <c r="L26" s="191"/>
      <c r="M26" s="191"/>
      <c r="N26" s="191"/>
      <c r="O26" s="191"/>
      <c r="P26" s="191"/>
      <c r="Q26" s="191"/>
      <c r="R26" s="191"/>
      <c r="S26" s="191"/>
      <c r="T26" s="191"/>
      <c r="U26" s="191"/>
      <c r="V26" s="191"/>
      <c r="W26" s="191"/>
    </row>
    <row r="27" spans="1:23" thickBot="1" x14ac:dyDescent="0.35">
      <c r="B27" s="216"/>
      <c r="C27" s="217"/>
      <c r="D27" s="217"/>
      <c r="E27" s="217"/>
      <c r="F27" s="217"/>
      <c r="G27" s="191"/>
      <c r="H27" s="191"/>
      <c r="I27" s="191"/>
      <c r="J27" s="191"/>
      <c r="K27" s="191"/>
      <c r="L27" s="191"/>
      <c r="M27" s="191"/>
      <c r="N27" s="191"/>
      <c r="O27" s="191"/>
      <c r="P27" s="191"/>
      <c r="Q27" s="191"/>
      <c r="R27" s="191"/>
      <c r="S27" s="191"/>
      <c r="T27" s="191"/>
      <c r="U27" s="191"/>
      <c r="V27" s="191"/>
      <c r="W27" s="191"/>
    </row>
    <row r="28" spans="1:23" s="77" customFormat="1" ht="30" customHeight="1" thickBot="1" x14ac:dyDescent="0.3">
      <c r="A28" s="209"/>
      <c r="B28" s="218"/>
      <c r="C28" s="341">
        <f>SUM(C16:C27)</f>
        <v>1.0000000000000002</v>
      </c>
      <c r="D28" s="341">
        <f>SUM(D16:D27)</f>
        <v>1</v>
      </c>
      <c r="E28" s="341">
        <f>SUM(E16:E27)</f>
        <v>1</v>
      </c>
      <c r="F28" s="341">
        <f>SUM(F16:F27)</f>
        <v>0.99999999999999989</v>
      </c>
      <c r="G28" s="342">
        <f>'3. Continuity Schedule'!CN21</f>
        <v>601109.88131224993</v>
      </c>
      <c r="H28" s="342">
        <f>'3. Continuity Schedule'!CN22</f>
        <v>-28636.980104749651</v>
      </c>
      <c r="I28" s="342">
        <f>'3. Continuity Schedule'!CN23+'3. Continuity Schedule'!CN25</f>
        <v>-4780580.278389751</v>
      </c>
      <c r="J28" s="342"/>
      <c r="K28" s="342"/>
      <c r="L28" s="342">
        <f>'3. Continuity Schedule'!CN26</f>
        <v>-192674.33895324104</v>
      </c>
      <c r="M28" s="342">
        <f>'3. Continuity Schedule'!CN27</f>
        <v>443505.85031873797</v>
      </c>
      <c r="N28" s="342">
        <f>'3. Continuity Schedule'!CN28</f>
        <v>-4122795.1912290026</v>
      </c>
      <c r="O28" s="342"/>
      <c r="P28" s="342"/>
      <c r="Q28" s="342"/>
      <c r="R28" s="342"/>
      <c r="S28" s="342"/>
      <c r="T28" s="342"/>
      <c r="U28" s="342"/>
      <c r="V28" s="342"/>
      <c r="W28" s="342">
        <f>SUM(W16:W27)</f>
        <v>764014.42823845812</v>
      </c>
    </row>
    <row r="29" spans="1:23" outlineLevel="1" x14ac:dyDescent="0.25">
      <c r="G29" s="343">
        <f>SUM(G16:G27)-G28</f>
        <v>0</v>
      </c>
      <c r="H29" s="343">
        <f t="shared" ref="H29:W29" si="4">SUM(H16:H27)-H28</f>
        <v>0</v>
      </c>
      <c r="I29" s="343">
        <f t="shared" si="4"/>
        <v>0</v>
      </c>
      <c r="J29" s="343">
        <f t="shared" si="4"/>
        <v>0</v>
      </c>
      <c r="K29" s="343">
        <f t="shared" si="4"/>
        <v>0</v>
      </c>
      <c r="L29" s="343">
        <f t="shared" si="4"/>
        <v>0</v>
      </c>
      <c r="M29" s="343">
        <f t="shared" si="4"/>
        <v>0</v>
      </c>
      <c r="N29" s="343">
        <f t="shared" si="4"/>
        <v>0</v>
      </c>
      <c r="O29" s="343">
        <f t="shared" si="4"/>
        <v>0</v>
      </c>
      <c r="P29" s="343">
        <f t="shared" si="4"/>
        <v>0</v>
      </c>
      <c r="Q29" s="343">
        <f t="shared" si="4"/>
        <v>0</v>
      </c>
      <c r="R29" s="343">
        <f t="shared" si="4"/>
        <v>0</v>
      </c>
      <c r="S29" s="343">
        <f t="shared" si="4"/>
        <v>0</v>
      </c>
      <c r="T29" s="343">
        <f t="shared" si="4"/>
        <v>0</v>
      </c>
      <c r="U29" s="343">
        <f t="shared" si="4"/>
        <v>0</v>
      </c>
      <c r="V29" s="343">
        <f t="shared" si="4"/>
        <v>0</v>
      </c>
      <c r="W29" s="343">
        <f t="shared" si="4"/>
        <v>0</v>
      </c>
    </row>
    <row r="30" spans="1:23" x14ac:dyDescent="0.25">
      <c r="B30" s="216"/>
      <c r="C30" s="62"/>
      <c r="D30" s="62"/>
      <c r="E30" s="62"/>
      <c r="F30" s="62"/>
      <c r="G30" s="191"/>
      <c r="H30" s="191"/>
      <c r="I30" s="191"/>
      <c r="J30" s="191"/>
      <c r="K30" s="191"/>
      <c r="L30" s="191"/>
      <c r="M30" s="191"/>
      <c r="N30" s="191"/>
      <c r="O30" s="62"/>
      <c r="P30" s="62"/>
      <c r="Q30" s="62"/>
      <c r="R30" s="62"/>
      <c r="S30" s="62"/>
      <c r="T30" s="62"/>
      <c r="U30" s="62"/>
      <c r="V30" s="62"/>
      <c r="W30" s="191"/>
    </row>
    <row r="31" spans="1:23" ht="14.45" x14ac:dyDescent="0.3">
      <c r="B31" s="216"/>
      <c r="C31" s="62"/>
      <c r="D31" s="62"/>
      <c r="E31" s="62"/>
      <c r="F31" s="62"/>
      <c r="G31" s="62"/>
      <c r="H31" s="62"/>
      <c r="I31" s="62"/>
      <c r="J31" s="62"/>
      <c r="K31" s="62"/>
      <c r="L31" s="62"/>
      <c r="M31" s="62"/>
      <c r="N31" s="62"/>
      <c r="O31" s="62"/>
      <c r="P31" s="62"/>
      <c r="Q31" s="62"/>
      <c r="R31" s="62"/>
      <c r="S31" s="62"/>
      <c r="T31" s="62"/>
      <c r="U31" s="62"/>
      <c r="V31" s="62"/>
      <c r="W31" s="62"/>
    </row>
    <row r="32" spans="1:23" ht="14.45" x14ac:dyDescent="0.3">
      <c r="B32" s="220" t="s">
        <v>206</v>
      </c>
      <c r="C32" s="62"/>
      <c r="D32" s="62"/>
      <c r="E32" s="62"/>
      <c r="F32" s="62"/>
      <c r="G32" s="62"/>
      <c r="H32" s="62"/>
      <c r="I32" s="62"/>
      <c r="J32" s="62"/>
      <c r="K32" s="62"/>
      <c r="L32" s="62"/>
      <c r="M32" s="62"/>
      <c r="N32" s="62"/>
      <c r="O32" s="62"/>
      <c r="P32" s="62"/>
      <c r="Q32" s="62"/>
      <c r="R32" s="62"/>
      <c r="S32" s="62"/>
      <c r="T32" s="62"/>
      <c r="U32" s="62"/>
      <c r="V32" s="62"/>
      <c r="W32" s="62"/>
    </row>
    <row r="33" spans="2:23" ht="14.45" x14ac:dyDescent="0.3">
      <c r="B33" s="216"/>
      <c r="C33" s="62"/>
      <c r="D33" s="62"/>
      <c r="E33" s="62"/>
      <c r="F33" s="62"/>
      <c r="G33" s="62"/>
      <c r="H33" s="191"/>
      <c r="I33" s="62"/>
      <c r="J33" s="62"/>
      <c r="K33" s="62"/>
      <c r="L33" s="62"/>
      <c r="M33" s="62"/>
      <c r="N33" s="62"/>
      <c r="O33" s="62"/>
      <c r="P33" s="62"/>
      <c r="Q33" s="62"/>
      <c r="R33" s="62"/>
      <c r="S33" s="62"/>
      <c r="T33" s="62"/>
      <c r="U33" s="62"/>
      <c r="V33" s="62"/>
      <c r="W33" s="62"/>
    </row>
    <row r="34" spans="2:23" ht="14.45" x14ac:dyDescent="0.3">
      <c r="B34"/>
      <c r="H34" s="191"/>
      <c r="I34" s="36"/>
    </row>
    <row r="35" spans="2:23" ht="14.45" x14ac:dyDescent="0.3">
      <c r="B35" s="127"/>
      <c r="C35" s="127"/>
      <c r="D35" s="127"/>
      <c r="E35" s="127"/>
      <c r="F35" s="127"/>
      <c r="H35" s="191"/>
      <c r="I35" s="36"/>
      <c r="J35" s="126"/>
      <c r="K35" s="126"/>
      <c r="L35" s="126"/>
      <c r="M35" s="126"/>
      <c r="N35" s="126"/>
    </row>
    <row r="36" spans="2:23" ht="14.45" x14ac:dyDescent="0.3">
      <c r="B36" s="127"/>
      <c r="C36" s="127"/>
      <c r="D36" s="127"/>
      <c r="E36" s="127"/>
      <c r="F36" s="127"/>
      <c r="H36" s="191"/>
      <c r="I36" s="36"/>
      <c r="J36" s="126"/>
      <c r="K36" s="126"/>
      <c r="L36" s="126"/>
      <c r="M36" s="126"/>
      <c r="N36" s="126"/>
    </row>
    <row r="37" spans="2:23" ht="14.45" x14ac:dyDescent="0.3">
      <c r="C37" s="127"/>
      <c r="D37" s="127"/>
      <c r="E37" s="127"/>
      <c r="F37" s="127"/>
      <c r="H37" s="191"/>
      <c r="I37" s="36"/>
      <c r="J37" s="126"/>
      <c r="K37" s="126"/>
      <c r="L37" s="126"/>
      <c r="M37" s="126"/>
      <c r="N37" s="126"/>
    </row>
    <row r="38" spans="2:23" ht="14.45" x14ac:dyDescent="0.3">
      <c r="C38" s="127"/>
      <c r="D38" s="127"/>
      <c r="E38" s="127"/>
      <c r="F38" s="127"/>
      <c r="H38" s="191"/>
      <c r="I38" s="36"/>
      <c r="J38" s="126"/>
      <c r="K38" s="126"/>
      <c r="L38" s="126"/>
      <c r="M38" s="126"/>
      <c r="N38" s="126"/>
    </row>
    <row r="39" spans="2:23" ht="14.45" x14ac:dyDescent="0.3">
      <c r="C39" s="127"/>
      <c r="D39" s="127"/>
      <c r="E39" s="127"/>
      <c r="F39" s="127"/>
      <c r="H39" s="191"/>
      <c r="I39" s="36"/>
      <c r="J39" s="126"/>
      <c r="K39" s="126"/>
      <c r="L39" s="126"/>
      <c r="M39" s="126"/>
      <c r="N39" s="126"/>
    </row>
    <row r="40" spans="2:23" ht="14.45" x14ac:dyDescent="0.3">
      <c r="C40" s="127"/>
      <c r="D40" s="127"/>
      <c r="E40" s="127"/>
      <c r="F40" s="127"/>
      <c r="H40" s="191"/>
      <c r="I40" s="36"/>
      <c r="J40" s="126"/>
      <c r="K40" s="126"/>
      <c r="L40" s="126"/>
      <c r="M40" s="126"/>
      <c r="N40" s="126"/>
    </row>
    <row r="41" spans="2:23" ht="14.45" x14ac:dyDescent="0.3">
      <c r="C41" s="127"/>
      <c r="D41" s="127"/>
      <c r="E41" s="127"/>
      <c r="F41" s="127"/>
      <c r="H41" s="191"/>
      <c r="I41" s="36"/>
      <c r="J41" s="126"/>
      <c r="K41" s="126"/>
      <c r="L41" s="126"/>
      <c r="M41" s="126"/>
      <c r="N41" s="126"/>
    </row>
    <row r="42" spans="2:23" ht="14.45" x14ac:dyDescent="0.3">
      <c r="C42" s="127"/>
      <c r="D42" s="127"/>
      <c r="E42" s="127"/>
      <c r="F42" s="127"/>
      <c r="H42" s="191"/>
      <c r="I42" s="36"/>
      <c r="J42" s="126"/>
      <c r="K42" s="126"/>
      <c r="L42" s="126"/>
      <c r="M42" s="126"/>
      <c r="N42" s="126"/>
    </row>
    <row r="43" spans="2:23" ht="14.45" x14ac:dyDescent="0.3">
      <c r="C43" s="127"/>
      <c r="D43" s="127"/>
      <c r="E43" s="127"/>
      <c r="F43" s="127"/>
      <c r="H43" s="126"/>
      <c r="I43" s="36"/>
      <c r="J43" s="126"/>
      <c r="K43" s="126"/>
      <c r="L43" s="126"/>
      <c r="M43" s="126"/>
      <c r="N43" s="126"/>
    </row>
    <row r="44" spans="2:23" ht="14.45" x14ac:dyDescent="0.3">
      <c r="C44" s="127"/>
      <c r="D44" s="127"/>
      <c r="E44" s="127"/>
      <c r="F44" s="127"/>
      <c r="G44" s="127"/>
    </row>
  </sheetData>
  <mergeCells count="15">
    <mergeCell ref="B2:H9"/>
    <mergeCell ref="W14:W15"/>
    <mergeCell ref="P14:P15"/>
    <mergeCell ref="Q14:Q15"/>
    <mergeCell ref="R14:R15"/>
    <mergeCell ref="S14:S15"/>
    <mergeCell ref="T14:T15"/>
    <mergeCell ref="U14:U15"/>
    <mergeCell ref="O14:O15"/>
    <mergeCell ref="B11:L12"/>
    <mergeCell ref="C14:C15"/>
    <mergeCell ref="D14:D15"/>
    <mergeCell ref="E14:E15"/>
    <mergeCell ref="F14:F15"/>
    <mergeCell ref="V14:V15"/>
  </mergeCells>
  <hyperlinks>
    <hyperlink ref="C4" location="Index" display="Back to Index"/>
    <hyperlink ref="A1" location="Index" display="Back to Index"/>
  </hyperlinks>
  <pageMargins left="0.70866141732283472" right="0.70866141732283472" top="0.74803149606299213" bottom="0.74803149606299213" header="0.31496062992125984" footer="0.31496062992125984"/>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35"/>
  <sheetViews>
    <sheetView view="pageBreakPreview" topLeftCell="E29" zoomScale="80" zoomScaleNormal="55" zoomScaleSheetLayoutView="80" workbookViewId="0">
      <selection activeCell="E55" sqref="E55"/>
    </sheetView>
  </sheetViews>
  <sheetFormatPr defaultColWidth="9.140625" defaultRowHeight="15" outlineLevelCol="1" x14ac:dyDescent="0.25"/>
  <cols>
    <col min="1" max="1" width="12.85546875" style="107" bestFit="1" customWidth="1"/>
    <col min="2" max="2" width="68.7109375" customWidth="1"/>
    <col min="3" max="3" width="25.140625" customWidth="1"/>
    <col min="4" max="4" width="4" hidden="1" customWidth="1"/>
    <col min="5" max="5" width="29.140625" customWidth="1"/>
    <col min="6" max="6" width="4" hidden="1" customWidth="1"/>
    <col min="7" max="7" width="31.85546875" customWidth="1"/>
    <col min="8" max="8" width="33.140625" customWidth="1"/>
    <col min="9" max="9" width="41.7109375" customWidth="1"/>
    <col min="10" max="10" width="24.85546875" hidden="1" customWidth="1"/>
    <col min="11" max="11" width="18.5703125" customWidth="1"/>
    <col min="12" max="12" width="18.85546875" customWidth="1"/>
    <col min="13" max="13" width="18.28515625" customWidth="1"/>
    <col min="14" max="14" width="9.42578125" style="76" customWidth="1"/>
    <col min="15" max="15" width="29.28515625" hidden="1" customWidth="1" outlineLevel="1"/>
    <col min="16" max="16" width="20.5703125" hidden="1" customWidth="1" outlineLevel="1"/>
    <col min="17" max="17" width="9.140625" collapsed="1"/>
  </cols>
  <sheetData>
    <row r="1" spans="1:17" ht="14.45" x14ac:dyDescent="0.3">
      <c r="A1" s="162" t="s">
        <v>0</v>
      </c>
      <c r="B1" s="162"/>
    </row>
    <row r="2" spans="1:17" ht="15" customHeight="1" x14ac:dyDescent="0.25">
      <c r="B2" s="356" t="str">
        <f>+'1. Information Sheet'!B2</f>
        <v>INCENTIVE REGULATION MODEL FOR 2019 FILERS</v>
      </c>
      <c r="C2" s="356"/>
      <c r="D2" s="356"/>
      <c r="E2" s="356"/>
      <c r="F2" s="356"/>
      <c r="G2" s="356"/>
    </row>
    <row r="3" spans="1:17" ht="15" customHeight="1" x14ac:dyDescent="0.25">
      <c r="B3" s="356"/>
      <c r="C3" s="356"/>
      <c r="D3" s="356"/>
      <c r="E3" s="356"/>
      <c r="F3" s="356"/>
      <c r="G3" s="356"/>
    </row>
    <row r="4" spans="1:17" ht="15" customHeight="1" x14ac:dyDescent="0.25">
      <c r="B4" s="356"/>
      <c r="C4" s="356"/>
      <c r="D4" s="356"/>
      <c r="E4" s="356"/>
      <c r="F4" s="356"/>
      <c r="G4" s="356"/>
    </row>
    <row r="5" spans="1:17" ht="15" customHeight="1" x14ac:dyDescent="0.25">
      <c r="B5" s="356"/>
      <c r="C5" s="356"/>
      <c r="D5" s="356"/>
      <c r="E5" s="356"/>
      <c r="F5" s="356"/>
      <c r="G5" s="356"/>
    </row>
    <row r="6" spans="1:17" ht="15" customHeight="1" x14ac:dyDescent="0.25">
      <c r="B6" s="356"/>
      <c r="C6" s="356"/>
      <c r="D6" s="356"/>
      <c r="E6" s="356"/>
      <c r="F6" s="356"/>
      <c r="G6" s="356"/>
    </row>
    <row r="7" spans="1:17" ht="15" customHeight="1" x14ac:dyDescent="0.25">
      <c r="B7" s="356"/>
      <c r="C7" s="356"/>
      <c r="D7" s="356"/>
      <c r="E7" s="356"/>
      <c r="F7" s="356"/>
      <c r="G7" s="356"/>
    </row>
    <row r="8" spans="1:17" ht="15" customHeight="1" x14ac:dyDescent="0.25">
      <c r="B8" s="356"/>
      <c r="C8" s="356"/>
      <c r="D8" s="356"/>
      <c r="E8" s="356"/>
      <c r="F8" s="356"/>
      <c r="G8" s="356"/>
    </row>
    <row r="9" spans="1:17" ht="15" customHeight="1" x14ac:dyDescent="0.25">
      <c r="B9" s="356"/>
      <c r="C9" s="356"/>
      <c r="D9" s="356"/>
      <c r="E9" s="356"/>
      <c r="F9" s="356"/>
      <c r="G9" s="356"/>
    </row>
    <row r="13" spans="1:17" ht="56.25" customHeight="1" x14ac:dyDescent="0.3">
      <c r="B13" s="447" t="s">
        <v>207</v>
      </c>
      <c r="C13" s="448"/>
      <c r="D13" s="448"/>
      <c r="E13" s="448"/>
      <c r="F13" s="448"/>
      <c r="G13" s="448"/>
      <c r="H13" s="448"/>
      <c r="I13" s="448"/>
      <c r="J13" s="448"/>
      <c r="K13" s="448"/>
      <c r="L13" s="448"/>
    </row>
    <row r="14" spans="1:17" s="77" customFormat="1" ht="84" customHeight="1" x14ac:dyDescent="0.3">
      <c r="A14" s="209"/>
      <c r="B14" s="198"/>
      <c r="C14" s="199" t="s">
        <v>208</v>
      </c>
      <c r="D14" s="199"/>
      <c r="E14" s="199" t="s">
        <v>209</v>
      </c>
      <c r="F14" s="199"/>
      <c r="G14" s="199" t="s">
        <v>210</v>
      </c>
      <c r="H14" s="199" t="s">
        <v>211</v>
      </c>
      <c r="I14" s="199" t="s">
        <v>212</v>
      </c>
      <c r="J14" s="200"/>
      <c r="K14" s="201" t="s">
        <v>213</v>
      </c>
      <c r="L14" s="199" t="s">
        <v>214</v>
      </c>
      <c r="M14" s="222" t="s">
        <v>215</v>
      </c>
      <c r="N14" s="78"/>
      <c r="O14" s="78" t="s">
        <v>216</v>
      </c>
      <c r="P14" s="78" t="s">
        <v>217</v>
      </c>
      <c r="Q14" s="78"/>
    </row>
    <row r="15" spans="1:17" s="76" customFormat="1" ht="14.45" x14ac:dyDescent="0.3">
      <c r="A15" s="210"/>
      <c r="B15" s="109"/>
      <c r="C15" s="202" t="s">
        <v>168</v>
      </c>
      <c r="D15" s="202" t="s">
        <v>171</v>
      </c>
      <c r="E15" s="202" t="s">
        <v>168</v>
      </c>
      <c r="F15" s="202" t="s">
        <v>171</v>
      </c>
      <c r="G15" s="202" t="s">
        <v>168</v>
      </c>
      <c r="H15" s="202" t="s">
        <v>168</v>
      </c>
      <c r="I15" s="202" t="s">
        <v>168</v>
      </c>
      <c r="J15" s="202" t="s">
        <v>171</v>
      </c>
      <c r="K15" s="109"/>
      <c r="L15" s="109"/>
      <c r="M15" s="223"/>
    </row>
    <row r="16" spans="1:17" ht="14.45" x14ac:dyDescent="0.3">
      <c r="B16" s="62"/>
      <c r="C16" s="62"/>
      <c r="D16" s="62"/>
      <c r="E16" s="62"/>
      <c r="F16" s="62"/>
      <c r="G16" s="62"/>
      <c r="H16" s="62"/>
      <c r="I16" s="62"/>
      <c r="J16" s="62"/>
      <c r="K16" s="62"/>
      <c r="L16" s="62"/>
      <c r="M16" s="224"/>
    </row>
    <row r="17" spans="1:17" ht="14.45" x14ac:dyDescent="0.3">
      <c r="B17" s="62" t="str">
        <f>'4. Billing Det. for Def-Var'!B17</f>
        <v>RESIDENTIAL</v>
      </c>
      <c r="C17" s="203">
        <f>'4. Billing Det. for Def-Var'!F17-'4. Billing Det. for Def-Var'!H17</f>
        <v>70075468</v>
      </c>
      <c r="D17" s="203"/>
      <c r="E17" s="197"/>
      <c r="F17" s="196"/>
      <c r="G17" s="197"/>
      <c r="H17" s="197"/>
      <c r="I17" s="203">
        <f>C17-E17-G17-H17</f>
        <v>70075468</v>
      </c>
      <c r="J17" s="203"/>
      <c r="K17" s="255">
        <f>IFERROR(I17/I$29,"")</f>
        <v>5.1309802771410548E-2</v>
      </c>
      <c r="L17" s="205">
        <f>IFERROR(L$29*K17,"")</f>
        <v>-15014.125023501043</v>
      </c>
      <c r="M17" s="225">
        <f>IFERROR(L17/I17,"")</f>
        <v>-2.1425650733436475E-4</v>
      </c>
      <c r="N17" s="136" t="s">
        <v>218</v>
      </c>
      <c r="O17" s="205">
        <f>ROUND(M17,4)*I17</f>
        <v>-14015.0936</v>
      </c>
      <c r="P17" s="205">
        <f>L17-O17</f>
        <v>-999.03142350104281</v>
      </c>
      <c r="Q17" s="277"/>
    </row>
    <row r="18" spans="1:17" ht="14.45" x14ac:dyDescent="0.3">
      <c r="B18" s="62" t="str">
        <f>'4. Billing Det. for Def-Var'!B18</f>
        <v>GENERAL SERVICE LESS THAN 50 KW</v>
      </c>
      <c r="C18" s="203">
        <f>'4. Billing Det. for Def-Var'!F18-'4. Billing Det. for Def-Var'!H18</f>
        <v>103616724</v>
      </c>
      <c r="D18" s="203"/>
      <c r="E18" s="197"/>
      <c r="F18" s="196"/>
      <c r="G18" s="197"/>
      <c r="H18" s="197"/>
      <c r="I18" s="203">
        <f t="shared" ref="I18:I24" si="0">C18-E18-G18-H18</f>
        <v>103616724</v>
      </c>
      <c r="J18" s="203"/>
      <c r="K18" s="255">
        <f t="shared" ref="K18:K24" si="1">IFERROR(I18/I$29,"")</f>
        <v>7.5868971324739229E-2</v>
      </c>
      <c r="L18" s="205">
        <f>IFERROR(L$29*K18,"")</f>
        <v>-22200.557385668846</v>
      </c>
      <c r="M18" s="225">
        <f>IFERROR(L18/I18,"")</f>
        <v>-2.1425650733436472E-4</v>
      </c>
      <c r="N18" s="136" t="s">
        <v>218</v>
      </c>
      <c r="O18" s="205">
        <f t="shared" ref="O18:O24" si="2">ROUND(M18,4)*I18</f>
        <v>-20723.344800000003</v>
      </c>
      <c r="P18" s="205">
        <f t="shared" ref="P18:P24" si="3">L18-O18</f>
        <v>-1477.2125856688435</v>
      </c>
    </row>
    <row r="19" spans="1:17" ht="14.45" x14ac:dyDescent="0.3">
      <c r="B19" s="62" t="str">
        <f>'4. Billing Det. for Def-Var'!B19</f>
        <v>GENERAL SERVICE 50 TO 4,999 KW</v>
      </c>
      <c r="C19" s="203">
        <f>'4. Billing Det. for Def-Var'!F19-'4. Billing Det. for Def-Var'!H19</f>
        <v>1588736386</v>
      </c>
      <c r="D19" s="203"/>
      <c r="E19" s="197">
        <v>294613747</v>
      </c>
      <c r="F19" s="196"/>
      <c r="G19" s="197">
        <v>127847550</v>
      </c>
      <c r="H19" s="197">
        <v>5633530</v>
      </c>
      <c r="I19" s="203">
        <f>C19-E19-G19-H19</f>
        <v>1160641559</v>
      </c>
      <c r="J19" s="203"/>
      <c r="K19" s="255">
        <f t="shared" si="1"/>
        <v>0.84983077787782246</v>
      </c>
      <c r="L19" s="205">
        <f t="shared" ref="L19:L24" si="4">IFERROR(L$29*K19,"")</f>
        <v>-248675.00669845202</v>
      </c>
      <c r="M19" s="225">
        <f t="shared" ref="M19:M24" si="5">IFERROR(L19/I19,"")</f>
        <v>-2.1425650733436475E-4</v>
      </c>
      <c r="N19" s="136" t="s">
        <v>218</v>
      </c>
      <c r="O19" s="205">
        <f t="shared" si="2"/>
        <v>-232128.31180000002</v>
      </c>
      <c r="P19" s="205">
        <f t="shared" si="3"/>
        <v>-16546.694898451999</v>
      </c>
    </row>
    <row r="20" spans="1:17" ht="14.45" x14ac:dyDescent="0.3">
      <c r="B20" s="62" t="str">
        <f>'4. Billing Det. for Def-Var'!B20</f>
        <v>LARGE USE (1)</v>
      </c>
      <c r="C20" s="203">
        <f>'4. Billing Det. for Def-Var'!F20-'4. Billing Det. for Def-Var'!H20</f>
        <v>185572728.49602383</v>
      </c>
      <c r="D20" s="203"/>
      <c r="E20" s="197">
        <v>185572728.49602383</v>
      </c>
      <c r="F20" s="196"/>
      <c r="G20" s="197"/>
      <c r="H20" s="197"/>
      <c r="I20" s="203">
        <f t="shared" si="0"/>
        <v>0</v>
      </c>
      <c r="J20" s="203"/>
      <c r="K20" s="255">
        <f t="shared" si="1"/>
        <v>0</v>
      </c>
      <c r="L20" s="205">
        <f t="shared" si="4"/>
        <v>0</v>
      </c>
      <c r="M20" s="225" t="str">
        <f t="shared" si="5"/>
        <v/>
      </c>
      <c r="N20" s="136" t="s">
        <v>218</v>
      </c>
      <c r="O20" s="205" t="e">
        <f t="shared" si="2"/>
        <v>#VALUE!</v>
      </c>
      <c r="P20" s="205" t="e">
        <f t="shared" si="3"/>
        <v>#VALUE!</v>
      </c>
    </row>
    <row r="21" spans="1:17" ht="14.45" x14ac:dyDescent="0.3">
      <c r="B21" s="62" t="str">
        <f>'4. Billing Det. for Def-Var'!B21</f>
        <v>LARGE USE (2)</v>
      </c>
      <c r="C21" s="203">
        <f>'4. Billing Det. for Def-Var'!F21-'4. Billing Det. for Def-Var'!H21</f>
        <v>307375989.7355864</v>
      </c>
      <c r="D21" s="203"/>
      <c r="E21" s="197">
        <v>307375989.7355864</v>
      </c>
      <c r="F21" s="196"/>
      <c r="G21" s="197"/>
      <c r="H21" s="197"/>
      <c r="I21" s="203">
        <f t="shared" si="0"/>
        <v>0</v>
      </c>
      <c r="J21" s="203"/>
      <c r="K21" s="255">
        <f>IFERROR(I21/I$29,"")</f>
        <v>0</v>
      </c>
      <c r="L21" s="205">
        <f t="shared" si="4"/>
        <v>0</v>
      </c>
      <c r="M21" s="225">
        <v>0</v>
      </c>
      <c r="N21" s="136" t="s">
        <v>218</v>
      </c>
      <c r="O21" s="205">
        <f t="shared" si="2"/>
        <v>0</v>
      </c>
      <c r="P21" s="205">
        <f t="shared" si="3"/>
        <v>0</v>
      </c>
    </row>
    <row r="22" spans="1:17" ht="14.45" x14ac:dyDescent="0.3">
      <c r="B22" s="62" t="str">
        <f>'4. Billing Det. for Def-Var'!B22</f>
        <v>UNMETERED SCATTERED LOAD</v>
      </c>
      <c r="C22" s="203">
        <f>'4. Billing Det. for Def-Var'!F22-'4. Billing Det. for Def-Var'!H22</f>
        <v>427147</v>
      </c>
      <c r="D22" s="203"/>
      <c r="E22" s="197"/>
      <c r="F22" s="196"/>
      <c r="G22" s="197"/>
      <c r="H22" s="197"/>
      <c r="I22" s="203">
        <f t="shared" si="0"/>
        <v>427147</v>
      </c>
      <c r="J22" s="203"/>
      <c r="K22" s="255">
        <f t="shared" si="1"/>
        <v>3.1276035608352555E-4</v>
      </c>
      <c r="L22" s="205">
        <f t="shared" si="4"/>
        <v>-91.519024338351898</v>
      </c>
      <c r="M22" s="225">
        <f t="shared" si="5"/>
        <v>-2.1425650733436475E-4</v>
      </c>
      <c r="N22" s="136" t="s">
        <v>218</v>
      </c>
      <c r="O22" s="205">
        <f t="shared" si="2"/>
        <v>-85.429400000000001</v>
      </c>
      <c r="P22" s="205">
        <f t="shared" si="3"/>
        <v>-6.0896243383518964</v>
      </c>
    </row>
    <row r="23" spans="1:17" ht="14.45" x14ac:dyDescent="0.3">
      <c r="B23" s="62" t="str">
        <f>'4. Billing Det. for Def-Var'!B23</f>
        <v>SENTINEL LIGHTING</v>
      </c>
      <c r="C23" s="203">
        <f>'4. Billing Det. for Def-Var'!F23-'4. Billing Det. for Def-Var'!H23</f>
        <v>5557</v>
      </c>
      <c r="D23" s="203"/>
      <c r="E23" s="197"/>
      <c r="F23" s="196"/>
      <c r="G23" s="197"/>
      <c r="H23" s="197"/>
      <c r="I23" s="203">
        <f t="shared" si="0"/>
        <v>5557</v>
      </c>
      <c r="J23" s="203"/>
      <c r="K23" s="255">
        <f t="shared" si="1"/>
        <v>4.0688786266932731E-6</v>
      </c>
      <c r="L23" s="205">
        <f t="shared" si="4"/>
        <v>-1.1906234112570648</v>
      </c>
      <c r="M23" s="225">
        <f t="shared" si="5"/>
        <v>-2.1425650733436475E-4</v>
      </c>
      <c r="N23" s="136" t="s">
        <v>218</v>
      </c>
      <c r="O23" s="205">
        <f t="shared" si="2"/>
        <v>-1.1113999999999999</v>
      </c>
      <c r="P23" s="205">
        <f t="shared" si="3"/>
        <v>-7.9223411257064891E-2</v>
      </c>
    </row>
    <row r="24" spans="1:17" ht="14.45" x14ac:dyDescent="0.3">
      <c r="B24" s="62" t="str">
        <f>'4. Billing Det. for Def-Var'!B24</f>
        <v>STREET LIGHTING</v>
      </c>
      <c r="C24" s="203">
        <f>'4. Billing Det. for Def-Var'!F24-'4. Billing Det. for Def-Var'!H24</f>
        <v>30966099.30725503</v>
      </c>
      <c r="D24" s="203"/>
      <c r="E24" s="197"/>
      <c r="F24" s="196"/>
      <c r="G24" s="197"/>
      <c r="H24" s="197"/>
      <c r="I24" s="203">
        <f t="shared" si="0"/>
        <v>30966099.30725503</v>
      </c>
      <c r="J24" s="203"/>
      <c r="K24" s="255">
        <f t="shared" si="1"/>
        <v>2.2673618791317504E-2</v>
      </c>
      <c r="L24" s="205">
        <f t="shared" si="4"/>
        <v>-6634.6882833415548</v>
      </c>
      <c r="M24" s="225">
        <f t="shared" si="5"/>
        <v>-2.1425650733436475E-4</v>
      </c>
      <c r="N24" s="136" t="s">
        <v>218</v>
      </c>
      <c r="O24" s="205">
        <f t="shared" si="2"/>
        <v>-6193.2198614510062</v>
      </c>
      <c r="P24" s="205">
        <f t="shared" si="3"/>
        <v>-441.4684218905486</v>
      </c>
    </row>
    <row r="25" spans="1:17" ht="14.45" x14ac:dyDescent="0.3">
      <c r="B25" s="62"/>
      <c r="C25" s="203"/>
      <c r="D25" s="203"/>
      <c r="E25" s="197"/>
      <c r="F25" s="196"/>
      <c r="G25" s="197"/>
      <c r="H25" s="197"/>
      <c r="I25" s="203"/>
      <c r="J25" s="203"/>
      <c r="K25" s="204"/>
      <c r="L25" s="205"/>
      <c r="M25" s="206"/>
    </row>
    <row r="26" spans="1:17" ht="14.45" x14ac:dyDescent="0.3">
      <c r="B26" s="62"/>
      <c r="C26" s="203"/>
      <c r="D26" s="203"/>
      <c r="E26" s="197"/>
      <c r="F26" s="196"/>
      <c r="G26" s="197"/>
      <c r="H26" s="197"/>
      <c r="I26" s="203"/>
      <c r="J26" s="203"/>
      <c r="K26" s="204"/>
      <c r="L26" s="205"/>
      <c r="M26" s="206"/>
    </row>
    <row r="27" spans="1:17" ht="14.45" x14ac:dyDescent="0.3">
      <c r="B27" s="62"/>
      <c r="C27" s="203"/>
      <c r="D27" s="203"/>
      <c r="E27" s="197"/>
      <c r="F27" s="196"/>
      <c r="G27" s="197"/>
      <c r="H27" s="197"/>
      <c r="I27" s="203"/>
      <c r="J27" s="203"/>
      <c r="K27" s="204"/>
      <c r="L27" s="205"/>
      <c r="M27" s="206"/>
    </row>
    <row r="28" spans="1:17" thickBot="1" x14ac:dyDescent="0.35">
      <c r="B28" s="62"/>
      <c r="C28" s="203"/>
      <c r="D28" s="203"/>
      <c r="E28" s="197"/>
      <c r="F28" s="196"/>
      <c r="G28" s="197"/>
      <c r="H28" s="197"/>
      <c r="I28" s="203"/>
      <c r="J28" s="203"/>
      <c r="K28" s="204"/>
      <c r="L28" s="205"/>
      <c r="M28" s="206"/>
    </row>
    <row r="29" spans="1:17" s="77" customFormat="1" ht="30" customHeight="1" x14ac:dyDescent="0.3">
      <c r="A29" s="209"/>
      <c r="B29" s="198"/>
      <c r="C29" s="344">
        <f>SUM(C17:C28)</f>
        <v>2286776099.5388651</v>
      </c>
      <c r="D29" s="344">
        <f t="shared" ref="D29:K29" si="6">SUM(D17:D28)</f>
        <v>0</v>
      </c>
      <c r="E29" s="344">
        <f t="shared" si="6"/>
        <v>787562465.2316103</v>
      </c>
      <c r="F29" s="344">
        <f t="shared" si="6"/>
        <v>0</v>
      </c>
      <c r="G29" s="344">
        <f t="shared" si="6"/>
        <v>127847550</v>
      </c>
      <c r="H29" s="344">
        <f t="shared" si="6"/>
        <v>5633530</v>
      </c>
      <c r="I29" s="344">
        <f t="shared" si="6"/>
        <v>1365732554.307255</v>
      </c>
      <c r="J29" s="345">
        <f t="shared" si="6"/>
        <v>0</v>
      </c>
      <c r="K29" s="346">
        <f t="shared" si="6"/>
        <v>0.99999999999999989</v>
      </c>
      <c r="L29" s="342">
        <f>'6B. GA Allocation_new Class B'!D28</f>
        <v>-292617.0870387131</v>
      </c>
      <c r="M29" s="345"/>
      <c r="N29" s="78"/>
      <c r="O29" s="254" t="e">
        <f>SUM(O17:O28)</f>
        <v>#VALUE!</v>
      </c>
      <c r="P29" s="254" t="e">
        <f>SUM(P17:P28)</f>
        <v>#VALUE!</v>
      </c>
    </row>
    <row r="30" spans="1:17" ht="14.45" x14ac:dyDescent="0.3">
      <c r="B30" s="62"/>
      <c r="C30" s="62"/>
      <c r="D30" s="62"/>
      <c r="E30" s="62"/>
      <c r="F30" s="62"/>
      <c r="G30" s="62"/>
      <c r="H30" s="62"/>
      <c r="I30" s="62"/>
      <c r="J30" s="62"/>
      <c r="K30" s="62"/>
      <c r="L30" s="253" t="s">
        <v>219</v>
      </c>
      <c r="M30" s="62"/>
    </row>
    <row r="31" spans="1:17" ht="14.45" x14ac:dyDescent="0.3">
      <c r="B31" s="62"/>
      <c r="C31" s="62"/>
      <c r="D31" s="62"/>
      <c r="E31" s="62"/>
      <c r="F31" s="62"/>
      <c r="G31" s="62"/>
      <c r="H31" s="62"/>
      <c r="I31" s="62"/>
      <c r="J31" s="62"/>
      <c r="K31" s="62"/>
      <c r="L31" s="62"/>
      <c r="M31" s="62"/>
      <c r="O31" t="s">
        <v>220</v>
      </c>
    </row>
    <row r="32" spans="1:17" ht="14.45" x14ac:dyDescent="0.3">
      <c r="B32" s="62" t="s">
        <v>221</v>
      </c>
      <c r="C32" s="62"/>
      <c r="D32" s="62"/>
      <c r="E32" s="62"/>
      <c r="F32" s="62"/>
      <c r="G32" s="62"/>
      <c r="H32" s="62"/>
      <c r="I32" s="62"/>
      <c r="J32" s="62"/>
      <c r="K32" s="62"/>
      <c r="L32" s="62"/>
      <c r="M32" s="62"/>
    </row>
    <row r="33" spans="2:12" ht="14.45" x14ac:dyDescent="0.3">
      <c r="L33" s="271"/>
    </row>
    <row r="34" spans="2:12" ht="14.45" x14ac:dyDescent="0.3">
      <c r="L34" s="271"/>
    </row>
    <row r="35" spans="2:12" ht="14.45" x14ac:dyDescent="0.3">
      <c r="B35" s="274"/>
      <c r="C35" s="274"/>
    </row>
  </sheetData>
  <mergeCells count="2">
    <mergeCell ref="B13:L13"/>
    <mergeCell ref="B2:G9"/>
  </mergeCells>
  <hyperlinks>
    <hyperlink ref="A1" location="Index" display="Back to Index"/>
  </hyperlinks>
  <pageMargins left="0.7" right="0.7" top="0.75" bottom="0.75" header="0.3" footer="0.3"/>
  <pageSetup scale="41" orientation="landscape" r:id="rId1"/>
  <colBreaks count="1" manualBreakCount="1">
    <brk id="13" max="3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70"/>
  <sheetViews>
    <sheetView view="pageBreakPreview" topLeftCell="A27" zoomScale="70" zoomScaleNormal="85" zoomScaleSheetLayoutView="70" workbookViewId="0">
      <selection activeCell="N57" sqref="N57"/>
    </sheetView>
  </sheetViews>
  <sheetFormatPr defaultColWidth="9.140625" defaultRowHeight="15" outlineLevelCol="1" x14ac:dyDescent="0.25"/>
  <cols>
    <col min="1" max="1" width="10.5703125" style="107" bestFit="1" customWidth="1"/>
    <col min="2" max="2" width="49.42578125" customWidth="1"/>
    <col min="3" max="3" width="9.7109375" customWidth="1"/>
    <col min="4" max="5" width="28.5703125" customWidth="1"/>
    <col min="6" max="9" width="28.5703125" hidden="1" customWidth="1" outlineLevel="1"/>
    <col min="10" max="10" width="29.7109375" hidden="1" customWidth="1" outlineLevel="1"/>
    <col min="11" max="11" width="9.42578125" bestFit="1" customWidth="1" collapsed="1"/>
    <col min="12" max="13" width="20.5703125" customWidth="1"/>
    <col min="16" max="16" width="32.28515625" customWidth="1"/>
  </cols>
  <sheetData>
    <row r="1" spans="1:11" ht="14.45" x14ac:dyDescent="0.3">
      <c r="A1" s="162" t="s">
        <v>0</v>
      </c>
      <c r="B1" s="162"/>
    </row>
    <row r="2" spans="1:11" ht="15" customHeight="1" x14ac:dyDescent="0.25">
      <c r="B2" s="356" t="str">
        <f>+'1. Information Sheet'!B2</f>
        <v>INCENTIVE REGULATION MODEL FOR 2019 FILERS</v>
      </c>
      <c r="C2" s="356"/>
      <c r="D2" s="356"/>
      <c r="E2" s="356"/>
      <c r="F2" s="356"/>
      <c r="G2" s="356"/>
      <c r="H2" s="356"/>
    </row>
    <row r="3" spans="1:11" ht="15" customHeight="1" x14ac:dyDescent="0.25">
      <c r="B3" s="356"/>
      <c r="C3" s="356"/>
      <c r="D3" s="356"/>
      <c r="E3" s="356"/>
      <c r="F3" s="356"/>
      <c r="G3" s="356"/>
      <c r="H3" s="356"/>
    </row>
    <row r="4" spans="1:11" ht="15" customHeight="1" x14ac:dyDescent="0.25">
      <c r="B4" s="356"/>
      <c r="C4" s="356"/>
      <c r="D4" s="356"/>
      <c r="E4" s="356"/>
      <c r="F4" s="356"/>
      <c r="G4" s="356"/>
      <c r="H4" s="356"/>
    </row>
    <row r="5" spans="1:11" ht="15" customHeight="1" x14ac:dyDescent="0.25">
      <c r="B5" s="356"/>
      <c r="C5" s="356"/>
      <c r="D5" s="356"/>
      <c r="E5" s="356"/>
      <c r="F5" s="356"/>
      <c r="G5" s="356"/>
      <c r="H5" s="356"/>
    </row>
    <row r="6" spans="1:11" ht="15" customHeight="1" x14ac:dyDescent="0.25">
      <c r="B6" s="356"/>
      <c r="C6" s="356"/>
      <c r="D6" s="356"/>
      <c r="E6" s="356"/>
      <c r="F6" s="356"/>
      <c r="G6" s="356"/>
      <c r="H6" s="356"/>
    </row>
    <row r="7" spans="1:11" ht="15" customHeight="1" x14ac:dyDescent="0.25">
      <c r="B7" s="356"/>
      <c r="C7" s="356"/>
      <c r="D7" s="356"/>
      <c r="E7" s="356"/>
      <c r="F7" s="356"/>
      <c r="G7" s="356"/>
      <c r="H7" s="356"/>
    </row>
    <row r="8" spans="1:11" ht="15" customHeight="1" x14ac:dyDescent="0.25">
      <c r="B8" s="356"/>
      <c r="C8" s="356"/>
      <c r="D8" s="356"/>
      <c r="E8" s="356"/>
      <c r="F8" s="356"/>
      <c r="G8" s="356"/>
      <c r="H8" s="356"/>
    </row>
    <row r="9" spans="1:11" ht="15" customHeight="1" x14ac:dyDescent="0.25">
      <c r="B9" s="356"/>
      <c r="C9" s="356"/>
      <c r="D9" s="356"/>
      <c r="E9" s="356"/>
      <c r="F9" s="356"/>
      <c r="G9" s="356"/>
      <c r="H9" s="356"/>
    </row>
    <row r="12" spans="1:11" ht="78.75" customHeight="1" x14ac:dyDescent="0.3">
      <c r="B12" s="452" t="s">
        <v>222</v>
      </c>
      <c r="C12" s="452"/>
      <c r="D12" s="452"/>
      <c r="E12" s="452"/>
      <c r="F12" s="453"/>
      <c r="G12" s="453"/>
    </row>
    <row r="13" spans="1:11" ht="14.45" x14ac:dyDescent="0.3">
      <c r="B13" s="134"/>
      <c r="C13" s="134"/>
      <c r="D13" s="134"/>
      <c r="E13" s="134"/>
      <c r="F13" s="84"/>
      <c r="G13" s="84"/>
    </row>
    <row r="14" spans="1:11" ht="45.75" customHeight="1" x14ac:dyDescent="0.3">
      <c r="B14" s="135" t="s">
        <v>223</v>
      </c>
      <c r="C14" s="175">
        <v>2016</v>
      </c>
      <c r="D14" s="454" t="s">
        <v>224</v>
      </c>
      <c r="E14" s="455"/>
      <c r="F14" s="455"/>
      <c r="G14" s="455"/>
      <c r="H14" s="455"/>
      <c r="I14" s="455"/>
      <c r="J14" s="455"/>
      <c r="K14" s="455"/>
    </row>
    <row r="15" spans="1:11" ht="14.45" x14ac:dyDescent="0.3">
      <c r="B15" s="134"/>
      <c r="C15" s="134"/>
      <c r="D15" s="134"/>
      <c r="E15" s="134"/>
      <c r="F15" s="84"/>
      <c r="G15" s="84"/>
    </row>
    <row r="16" spans="1:11" ht="34.5" customHeight="1" x14ac:dyDescent="0.3">
      <c r="B16" s="451" t="s">
        <v>225</v>
      </c>
      <c r="C16" s="451"/>
      <c r="D16" s="451"/>
      <c r="E16" s="451"/>
      <c r="F16" s="451"/>
      <c r="G16" s="451"/>
      <c r="J16" s="136"/>
    </row>
    <row r="17" spans="1:16" ht="17.25" customHeight="1" thickBot="1" x14ac:dyDescent="0.35">
      <c r="C17" s="137"/>
      <c r="D17" s="138" t="s">
        <v>177</v>
      </c>
      <c r="E17" s="139">
        <v>2017</v>
      </c>
      <c r="F17" s="139">
        <v>2016</v>
      </c>
      <c r="G17" s="139">
        <v>2015</v>
      </c>
      <c r="H17" s="139">
        <v>2014</v>
      </c>
      <c r="I17" s="139">
        <v>2013</v>
      </c>
      <c r="J17" s="140">
        <v>2012</v>
      </c>
    </row>
    <row r="18" spans="1:16" s="77" customFormat="1" ht="40.9" thickBot="1" x14ac:dyDescent="0.35">
      <c r="A18" s="209"/>
      <c r="B18" s="141" t="s">
        <v>226</v>
      </c>
      <c r="C18" s="142" t="s">
        <v>227</v>
      </c>
      <c r="D18" s="347">
        <f>SUM(E18:J18)</f>
        <v>1499213634.3072548</v>
      </c>
      <c r="E18" s="143">
        <f>'6. GA Calculation'!C29-'6. GA Calculation'!E29</f>
        <v>1499213634.3072548</v>
      </c>
      <c r="F18" s="143"/>
      <c r="G18" s="143">
        <v>0</v>
      </c>
      <c r="H18" s="144"/>
      <c r="I18" s="145"/>
      <c r="J18" s="145"/>
    </row>
    <row r="19" spans="1:16" s="77" customFormat="1" thickBot="1" x14ac:dyDescent="0.35">
      <c r="A19" s="209"/>
      <c r="B19" s="141" t="s">
        <v>228</v>
      </c>
      <c r="C19" s="142" t="s">
        <v>229</v>
      </c>
      <c r="D19" s="347">
        <f>SUM(E19:J19)</f>
        <v>127847550</v>
      </c>
      <c r="E19" s="146">
        <f>E69</f>
        <v>127847550</v>
      </c>
      <c r="F19" s="146"/>
      <c r="G19" s="146">
        <v>0</v>
      </c>
      <c r="H19" s="146">
        <f>H69</f>
        <v>0</v>
      </c>
      <c r="I19" s="147">
        <f>I69</f>
        <v>0</v>
      </c>
      <c r="J19" s="147">
        <f>J69</f>
        <v>0</v>
      </c>
    </row>
    <row r="20" spans="1:16" s="77" customFormat="1" thickBot="1" x14ac:dyDescent="0.35">
      <c r="A20" s="209"/>
      <c r="B20" s="148" t="s">
        <v>230</v>
      </c>
      <c r="C20" s="149" t="s">
        <v>231</v>
      </c>
      <c r="D20" s="348">
        <f>IFERROR(+D19/D18,0)</f>
        <v>8.5276405626523555E-2</v>
      </c>
      <c r="E20" s="150"/>
      <c r="F20" s="150"/>
      <c r="G20" s="150"/>
      <c r="H20" s="151"/>
      <c r="I20" s="151"/>
      <c r="J20" s="151"/>
    </row>
    <row r="22" spans="1:16" ht="14.45" x14ac:dyDescent="0.3">
      <c r="D22" s="152"/>
      <c r="E22" s="152"/>
      <c r="F22" s="153"/>
      <c r="G22" s="152"/>
    </row>
    <row r="23" spans="1:16" ht="14.45" x14ac:dyDescent="0.3">
      <c r="B23" s="456" t="s">
        <v>232</v>
      </c>
      <c r="C23" s="456"/>
      <c r="D23" s="456"/>
      <c r="E23" s="282"/>
      <c r="G23" s="154"/>
    </row>
    <row r="24" spans="1:16" thickBot="1" x14ac:dyDescent="0.35">
      <c r="B24" s="155"/>
      <c r="C24" s="155"/>
      <c r="D24" s="136"/>
      <c r="E24" s="136"/>
      <c r="P24" s="154"/>
    </row>
    <row r="25" spans="1:16" thickBot="1" x14ac:dyDescent="0.35">
      <c r="B25" s="156" t="s">
        <v>233</v>
      </c>
      <c r="C25" s="174" t="s">
        <v>234</v>
      </c>
      <c r="D25" s="349">
        <f>'3. Continuity Schedule'!CN29</f>
        <v>-321216.27703473205</v>
      </c>
      <c r="E25" s="287"/>
    </row>
    <row r="26" spans="1:16" ht="27.6" thickBot="1" x14ac:dyDescent="0.35">
      <c r="B26" s="141" t="s">
        <v>235</v>
      </c>
      <c r="C26" s="142" t="s">
        <v>236</v>
      </c>
      <c r="D26" s="349">
        <f>+D20*D25</f>
        <v>-27392.169534255572</v>
      </c>
      <c r="E26" s="287"/>
      <c r="F26" s="157"/>
    </row>
    <row r="27" spans="1:16" ht="27.6" thickBot="1" x14ac:dyDescent="0.35">
      <c r="B27" s="141" t="s">
        <v>237</v>
      </c>
      <c r="C27" s="142" t="s">
        <v>238</v>
      </c>
      <c r="D27" s="349">
        <f>+D25-D26</f>
        <v>-293824.10750047647</v>
      </c>
      <c r="E27" s="287"/>
      <c r="P27" t="s">
        <v>239</v>
      </c>
    </row>
    <row r="29" spans="1:16" ht="14.45" x14ac:dyDescent="0.3">
      <c r="B29" s="451" t="s">
        <v>240</v>
      </c>
      <c r="C29" s="451"/>
      <c r="D29" s="451"/>
      <c r="E29" s="451"/>
      <c r="F29" s="451"/>
    </row>
    <row r="30" spans="1:16" ht="14.45" x14ac:dyDescent="0.3">
      <c r="B30" s="259"/>
      <c r="C30" s="259"/>
      <c r="D30" s="259"/>
      <c r="E30" s="134"/>
      <c r="F30" s="134"/>
    </row>
    <row r="31" spans="1:16" ht="14.45" x14ac:dyDescent="0.3">
      <c r="B31" s="449" t="s">
        <v>241</v>
      </c>
      <c r="C31" s="450"/>
      <c r="D31" s="450"/>
      <c r="E31" s="281"/>
      <c r="F31" s="251">
        <v>2</v>
      </c>
      <c r="G31" s="251">
        <v>9</v>
      </c>
      <c r="H31" s="249"/>
      <c r="I31" s="249"/>
      <c r="J31" s="250"/>
      <c r="K31" s="237"/>
      <c r="L31" s="237"/>
      <c r="M31" s="237"/>
    </row>
    <row r="32" spans="1:16" ht="66" x14ac:dyDescent="0.3">
      <c r="B32" s="229" t="s">
        <v>242</v>
      </c>
      <c r="C32" s="229"/>
      <c r="D32" s="230" t="s">
        <v>243</v>
      </c>
      <c r="E32" s="290">
        <v>2017</v>
      </c>
      <c r="F32" s="158" t="s">
        <v>244</v>
      </c>
      <c r="G32" s="158" t="s">
        <v>245</v>
      </c>
      <c r="H32" s="158" t="s">
        <v>246</v>
      </c>
      <c r="I32" s="158" t="s">
        <v>247</v>
      </c>
      <c r="J32" s="158" t="s">
        <v>248</v>
      </c>
      <c r="K32" s="238" t="s">
        <v>249</v>
      </c>
      <c r="L32" s="239" t="s">
        <v>250</v>
      </c>
      <c r="M32" s="239" t="s">
        <v>251</v>
      </c>
    </row>
    <row r="33" spans="2:13" ht="14.45" x14ac:dyDescent="0.3">
      <c r="B33" s="231" t="s">
        <v>252</v>
      </c>
      <c r="C33" s="231"/>
      <c r="D33" s="232">
        <f>SUM(E33:J33)</f>
        <v>1112523</v>
      </c>
      <c r="E33" s="288">
        <v>1112523</v>
      </c>
      <c r="F33" s="159"/>
      <c r="G33" s="159"/>
      <c r="H33" s="159"/>
      <c r="I33" s="159"/>
      <c r="J33" s="159"/>
      <c r="K33" s="240">
        <f t="shared" ref="K33:K68" si="0">IFERROR(+D33/$D$69,0)</f>
        <v>8.7019500960323452E-3</v>
      </c>
      <c r="L33" s="241">
        <f>+K33*$D$26</f>
        <v>-238.36529230914957</v>
      </c>
      <c r="M33" s="242">
        <f>+L33/12</f>
        <v>-19.863774359095796</v>
      </c>
    </row>
    <row r="34" spans="2:13" ht="14.45" x14ac:dyDescent="0.3">
      <c r="B34" s="233" t="s">
        <v>253</v>
      </c>
      <c r="C34" s="233"/>
      <c r="D34" s="289">
        <f t="shared" ref="D34:D68" si="1">SUM(E34:J34)</f>
        <v>11119481</v>
      </c>
      <c r="E34" s="289">
        <v>11119481</v>
      </c>
      <c r="F34" s="160"/>
      <c r="G34" s="160"/>
      <c r="H34" s="160"/>
      <c r="I34" s="160"/>
      <c r="J34" s="160"/>
      <c r="K34" s="243">
        <f t="shared" si="0"/>
        <v>8.6974533340685833E-2</v>
      </c>
      <c r="L34" s="244">
        <f t="shared" ref="L34:L39" si="2">+K34*$D$26</f>
        <v>-2382.42116243083</v>
      </c>
      <c r="M34" s="245">
        <f t="shared" ref="M34:M39" si="3">+L34/12</f>
        <v>-198.53509686923584</v>
      </c>
    </row>
    <row r="35" spans="2:13" ht="14.45" x14ac:dyDescent="0.3">
      <c r="B35" s="233" t="s">
        <v>254</v>
      </c>
      <c r="C35" s="233"/>
      <c r="D35" s="289">
        <f t="shared" si="1"/>
        <v>1259299</v>
      </c>
      <c r="E35" s="289">
        <v>1259299</v>
      </c>
      <c r="F35" s="160"/>
      <c r="G35" s="160"/>
      <c r="H35" s="160"/>
      <c r="I35" s="160"/>
      <c r="J35" s="160"/>
      <c r="K35" s="243">
        <f t="shared" si="0"/>
        <v>9.8500049472985598E-3</v>
      </c>
      <c r="L35" s="244">
        <f t="shared" si="2"/>
        <v>-269.81300542965829</v>
      </c>
      <c r="M35" s="245">
        <f t="shared" si="3"/>
        <v>-22.48441711913819</v>
      </c>
    </row>
    <row r="36" spans="2:13" ht="14.45" x14ac:dyDescent="0.3">
      <c r="B36" s="233" t="s">
        <v>255</v>
      </c>
      <c r="C36" s="233"/>
      <c r="D36" s="289">
        <f t="shared" si="1"/>
        <v>2132444</v>
      </c>
      <c r="E36" s="289">
        <v>2132444</v>
      </c>
      <c r="F36" s="227"/>
      <c r="G36" s="160"/>
      <c r="H36" s="160"/>
      <c r="I36" s="160"/>
      <c r="J36" s="160"/>
      <c r="K36" s="243">
        <f t="shared" si="0"/>
        <v>1.6679584395633707E-2</v>
      </c>
      <c r="L36" s="244">
        <f t="shared" si="2"/>
        <v>-456.89000352612226</v>
      </c>
      <c r="M36" s="245">
        <f t="shared" si="3"/>
        <v>-38.07416696051019</v>
      </c>
    </row>
    <row r="37" spans="2:13" ht="14.45" x14ac:dyDescent="0.3">
      <c r="B37" s="233" t="s">
        <v>256</v>
      </c>
      <c r="C37" s="233"/>
      <c r="D37" s="289">
        <f t="shared" si="1"/>
        <v>1331127</v>
      </c>
      <c r="E37" s="289">
        <v>1331127</v>
      </c>
      <c r="F37" s="227"/>
      <c r="G37" s="160"/>
      <c r="H37" s="160"/>
      <c r="I37" s="160"/>
      <c r="J37" s="160"/>
      <c r="K37" s="243">
        <f t="shared" si="0"/>
        <v>1.0411830340119933E-2</v>
      </c>
      <c r="L37" s="244">
        <f t="shared" si="2"/>
        <v>-285.20262183847103</v>
      </c>
      <c r="M37" s="245">
        <f t="shared" si="3"/>
        <v>-23.766885153205919</v>
      </c>
    </row>
    <row r="38" spans="2:13" ht="14.45" x14ac:dyDescent="0.3">
      <c r="B38" s="233" t="s">
        <v>257</v>
      </c>
      <c r="C38" s="233"/>
      <c r="D38" s="289">
        <f t="shared" si="1"/>
        <v>2762887</v>
      </c>
      <c r="E38" s="289">
        <v>2762887</v>
      </c>
      <c r="F38" s="227"/>
      <c r="G38" s="160"/>
      <c r="H38" s="160"/>
      <c r="I38" s="160"/>
      <c r="J38" s="160"/>
      <c r="K38" s="243">
        <f t="shared" si="0"/>
        <v>2.1610793480203571E-2</v>
      </c>
      <c r="L38" s="244">
        <f t="shared" si="2"/>
        <v>-591.96651877952115</v>
      </c>
      <c r="M38" s="245">
        <f t="shared" si="3"/>
        <v>-49.330543231626763</v>
      </c>
    </row>
    <row r="39" spans="2:13" ht="14.45" x14ac:dyDescent="0.3">
      <c r="B39" s="233" t="s">
        <v>258</v>
      </c>
      <c r="C39" s="233"/>
      <c r="D39" s="289">
        <f t="shared" si="1"/>
        <v>6256539</v>
      </c>
      <c r="E39" s="289">
        <v>6256539</v>
      </c>
      <c r="F39" s="227"/>
      <c r="G39" s="160"/>
      <c r="H39" s="160"/>
      <c r="I39" s="160"/>
      <c r="J39" s="160"/>
      <c r="K39" s="243">
        <f t="shared" si="0"/>
        <v>4.8937496260194273E-2</v>
      </c>
      <c r="L39" s="244">
        <f t="shared" si="2"/>
        <v>-1340.5041941412396</v>
      </c>
      <c r="M39" s="245">
        <f t="shared" si="3"/>
        <v>-111.7086828451033</v>
      </c>
    </row>
    <row r="40" spans="2:13" ht="14.45" x14ac:dyDescent="0.3">
      <c r="B40" s="233" t="s">
        <v>259</v>
      </c>
      <c r="C40" s="233"/>
      <c r="D40" s="289">
        <f t="shared" si="1"/>
        <v>999971</v>
      </c>
      <c r="E40" s="289">
        <v>999971</v>
      </c>
      <c r="F40" s="227"/>
      <c r="G40" s="160"/>
      <c r="H40" s="160"/>
      <c r="I40" s="160"/>
      <c r="J40" s="160"/>
      <c r="K40" s="243">
        <f t="shared" si="0"/>
        <v>7.8215890722974357E-3</v>
      </c>
      <c r="L40" s="244">
        <f t="shared" ref="L40:L68" si="4">+K40*$D$26</f>
        <v>-214.25029389565213</v>
      </c>
      <c r="M40" s="245">
        <f t="shared" ref="M40:M68" si="5">+L40/12</f>
        <v>-17.854191157971012</v>
      </c>
    </row>
    <row r="41" spans="2:13" ht="14.45" x14ac:dyDescent="0.3">
      <c r="B41" s="233" t="s">
        <v>260</v>
      </c>
      <c r="C41" s="233"/>
      <c r="D41" s="289">
        <f t="shared" si="1"/>
        <v>7013680</v>
      </c>
      <c r="E41" s="289">
        <v>7013680</v>
      </c>
      <c r="F41" s="227"/>
      <c r="G41" s="160"/>
      <c r="H41" s="160"/>
      <c r="I41" s="160"/>
      <c r="J41" s="160"/>
      <c r="K41" s="243">
        <f t="shared" si="0"/>
        <v>5.4859713776290592E-2</v>
      </c>
      <c r="L41" s="244">
        <f t="shared" si="4"/>
        <v>-1502.726580360888</v>
      </c>
      <c r="M41" s="245">
        <f t="shared" si="5"/>
        <v>-125.22721503007399</v>
      </c>
    </row>
    <row r="42" spans="2:13" ht="14.45" x14ac:dyDescent="0.3">
      <c r="B42" s="233" t="s">
        <v>261</v>
      </c>
      <c r="C42" s="233"/>
      <c r="D42" s="289">
        <f t="shared" si="1"/>
        <v>3468287</v>
      </c>
      <c r="E42" s="289">
        <v>3468287</v>
      </c>
      <c r="F42" s="227"/>
      <c r="G42" s="160"/>
      <c r="H42" s="160"/>
      <c r="I42" s="160"/>
      <c r="J42" s="160"/>
      <c r="K42" s="243">
        <f t="shared" si="0"/>
        <v>2.7128302419561424E-2</v>
      </c>
      <c r="L42" s="244">
        <f t="shared" si="4"/>
        <v>-743.10305905318216</v>
      </c>
      <c r="M42" s="245">
        <f t="shared" si="5"/>
        <v>-61.925254921098514</v>
      </c>
    </row>
    <row r="43" spans="2:13" ht="14.45" x14ac:dyDescent="0.3">
      <c r="B43" s="233" t="s">
        <v>262</v>
      </c>
      <c r="C43" s="233"/>
      <c r="D43" s="289">
        <f t="shared" si="1"/>
        <v>5796244</v>
      </c>
      <c r="E43" s="289">
        <v>5796244</v>
      </c>
      <c r="F43" s="227"/>
      <c r="G43" s="160"/>
      <c r="H43" s="160"/>
      <c r="I43" s="160"/>
      <c r="J43" s="160"/>
      <c r="K43" s="243">
        <f t="shared" si="0"/>
        <v>4.5337153508221317E-2</v>
      </c>
      <c r="L43" s="244">
        <f t="shared" si="4"/>
        <v>-1241.8829950977681</v>
      </c>
      <c r="M43" s="245">
        <f t="shared" si="5"/>
        <v>-103.49024959148068</v>
      </c>
    </row>
    <row r="44" spans="2:13" ht="14.45" x14ac:dyDescent="0.3">
      <c r="B44" s="233" t="s">
        <v>263</v>
      </c>
      <c r="C44" s="233"/>
      <c r="D44" s="289">
        <f t="shared" si="1"/>
        <v>7763800</v>
      </c>
      <c r="E44" s="289">
        <v>7763800</v>
      </c>
      <c r="F44" s="227"/>
      <c r="G44" s="160"/>
      <c r="H44" s="160"/>
      <c r="I44" s="160"/>
      <c r="J44" s="160"/>
      <c r="K44" s="243">
        <f t="shared" si="0"/>
        <v>6.0727014322918195E-2</v>
      </c>
      <c r="L44" s="244">
        <f t="shared" si="4"/>
        <v>-1663.4446716425416</v>
      </c>
      <c r="M44" s="245">
        <f t="shared" si="5"/>
        <v>-138.62038930354512</v>
      </c>
    </row>
    <row r="45" spans="2:13" ht="14.45" x14ac:dyDescent="0.3">
      <c r="B45" s="233" t="s">
        <v>264</v>
      </c>
      <c r="C45" s="233"/>
      <c r="D45" s="289">
        <f t="shared" si="1"/>
        <v>5278662</v>
      </c>
      <c r="E45" s="289">
        <v>5278662</v>
      </c>
      <c r="F45" s="227"/>
      <c r="G45" s="160"/>
      <c r="H45" s="160"/>
      <c r="I45" s="160"/>
      <c r="J45" s="160"/>
      <c r="K45" s="243">
        <f t="shared" si="0"/>
        <v>4.1288722388500995E-2</v>
      </c>
      <c r="L45" s="244">
        <f t="shared" si="4"/>
        <v>-1130.9876835186328</v>
      </c>
      <c r="M45" s="245">
        <f t="shared" si="5"/>
        <v>-94.24897362655274</v>
      </c>
    </row>
    <row r="46" spans="2:13" ht="14.45" x14ac:dyDescent="0.3">
      <c r="B46" s="233" t="s">
        <v>265</v>
      </c>
      <c r="C46" s="233"/>
      <c r="D46" s="289">
        <f t="shared" si="1"/>
        <v>3940838</v>
      </c>
      <c r="E46" s="289">
        <v>3940838</v>
      </c>
      <c r="F46" s="227"/>
      <c r="G46" s="160"/>
      <c r="H46" s="160"/>
      <c r="I46" s="160"/>
      <c r="J46" s="160"/>
      <c r="K46" s="243">
        <f t="shared" si="0"/>
        <v>3.0824509347265553E-2</v>
      </c>
      <c r="L46" s="244">
        <f t="shared" si="4"/>
        <v>-844.35018585054365</v>
      </c>
      <c r="M46" s="245">
        <f t="shared" si="5"/>
        <v>-70.362515487545309</v>
      </c>
    </row>
    <row r="47" spans="2:13" ht="14.45" x14ac:dyDescent="0.3">
      <c r="B47" s="233" t="s">
        <v>266</v>
      </c>
      <c r="C47" s="233"/>
      <c r="D47" s="289">
        <f t="shared" si="1"/>
        <v>6298192</v>
      </c>
      <c r="E47" s="289">
        <v>6298192</v>
      </c>
      <c r="F47" s="227"/>
      <c r="G47" s="160"/>
      <c r="H47" s="160"/>
      <c r="I47" s="160"/>
      <c r="J47" s="160"/>
      <c r="K47" s="243">
        <f t="shared" si="0"/>
        <v>4.9263298358083511E-2</v>
      </c>
      <c r="L47" s="244">
        <f t="shared" si="4"/>
        <v>-1349.4286204412376</v>
      </c>
      <c r="M47" s="245">
        <f t="shared" si="5"/>
        <v>-112.4523850367698</v>
      </c>
    </row>
    <row r="48" spans="2:13" ht="14.45" x14ac:dyDescent="0.3">
      <c r="B48" s="233" t="s">
        <v>267</v>
      </c>
      <c r="C48" s="233"/>
      <c r="D48" s="289">
        <f t="shared" si="1"/>
        <v>4930067</v>
      </c>
      <c r="E48" s="289">
        <v>4930067</v>
      </c>
      <c r="F48" s="227"/>
      <c r="G48" s="160"/>
      <c r="H48" s="160"/>
      <c r="I48" s="160"/>
      <c r="J48" s="160"/>
      <c r="K48" s="243">
        <f t="shared" si="0"/>
        <v>3.8562076473111918E-2</v>
      </c>
      <c r="L48" s="244">
        <f t="shared" si="4"/>
        <v>-1056.2989363444099</v>
      </c>
      <c r="M48" s="245">
        <f t="shared" si="5"/>
        <v>-88.02491136203416</v>
      </c>
    </row>
    <row r="49" spans="2:13" ht="14.45" x14ac:dyDescent="0.3">
      <c r="B49" s="233" t="s">
        <v>268</v>
      </c>
      <c r="C49" s="233"/>
      <c r="D49" s="289">
        <f t="shared" si="1"/>
        <v>3018648</v>
      </c>
      <c r="E49" s="289">
        <v>3018648</v>
      </c>
      <c r="F49" s="227"/>
      <c r="G49" s="160"/>
      <c r="H49" s="160"/>
      <c r="I49" s="160"/>
      <c r="J49" s="160"/>
      <c r="K49" s="243">
        <f t="shared" si="0"/>
        <v>2.3611308937871708E-2</v>
      </c>
      <c r="L49" s="244">
        <f t="shared" si="4"/>
        <v>-646.7649773518657</v>
      </c>
      <c r="M49" s="245">
        <f t="shared" si="5"/>
        <v>-53.89708144598881</v>
      </c>
    </row>
    <row r="50" spans="2:13" ht="14.45" x14ac:dyDescent="0.3">
      <c r="B50" s="233" t="s">
        <v>269</v>
      </c>
      <c r="C50" s="233"/>
      <c r="D50" s="289">
        <f t="shared" si="1"/>
        <v>3108153</v>
      </c>
      <c r="E50" s="289">
        <v>3108153</v>
      </c>
      <c r="F50" s="227"/>
      <c r="G50" s="160"/>
      <c r="H50" s="160"/>
      <c r="I50" s="160"/>
      <c r="J50" s="160"/>
      <c r="K50" s="243">
        <f t="shared" si="0"/>
        <v>2.4311400570445035E-2</v>
      </c>
      <c r="L50" s="244">
        <f t="shared" si="4"/>
        <v>-665.94200604082801</v>
      </c>
      <c r="M50" s="245">
        <f t="shared" si="5"/>
        <v>-55.495167170069003</v>
      </c>
    </row>
    <row r="51" spans="2:13" ht="14.45" x14ac:dyDescent="0.3">
      <c r="B51" s="233" t="s">
        <v>270</v>
      </c>
      <c r="C51" s="233"/>
      <c r="D51" s="289">
        <f t="shared" si="1"/>
        <v>1506099</v>
      </c>
      <c r="E51" s="289">
        <v>1506099</v>
      </c>
      <c r="F51" s="227"/>
      <c r="G51" s="160"/>
      <c r="H51" s="160"/>
      <c r="I51" s="160"/>
      <c r="J51" s="160"/>
      <c r="K51" s="243">
        <f t="shared" si="0"/>
        <v>1.1780429112642363E-2</v>
      </c>
      <c r="L51" s="244">
        <f t="shared" si="4"/>
        <v>-322.69151143977956</v>
      </c>
      <c r="M51" s="245">
        <f t="shared" si="5"/>
        <v>-26.890959286648297</v>
      </c>
    </row>
    <row r="52" spans="2:13" ht="14.45" x14ac:dyDescent="0.3">
      <c r="B52" s="233" t="s">
        <v>271</v>
      </c>
      <c r="C52" s="233"/>
      <c r="D52" s="289">
        <f t="shared" si="1"/>
        <v>2076084</v>
      </c>
      <c r="E52" s="289">
        <v>2076084</v>
      </c>
      <c r="F52" s="227"/>
      <c r="G52" s="160"/>
      <c r="H52" s="160"/>
      <c r="I52" s="160"/>
      <c r="J52" s="160"/>
      <c r="K52" s="243">
        <f t="shared" si="0"/>
        <v>1.6238746851230234E-2</v>
      </c>
      <c r="L52" s="244">
        <f t="shared" si="4"/>
        <v>-444.8145067727574</v>
      </c>
      <c r="M52" s="245">
        <f t="shared" si="5"/>
        <v>-37.067875564396452</v>
      </c>
    </row>
    <row r="53" spans="2:13" ht="14.45" x14ac:dyDescent="0.3">
      <c r="B53" s="233" t="s">
        <v>272</v>
      </c>
      <c r="C53" s="233"/>
      <c r="D53" s="289">
        <f t="shared" si="1"/>
        <v>5424020</v>
      </c>
      <c r="E53" s="289">
        <v>5424020</v>
      </c>
      <c r="F53" s="227"/>
      <c r="G53" s="160"/>
      <c r="H53" s="160"/>
      <c r="I53" s="160"/>
      <c r="J53" s="160"/>
      <c r="K53" s="243">
        <f t="shared" si="0"/>
        <v>4.2425685904813978E-2</v>
      </c>
      <c r="L53" s="244">
        <f t="shared" si="4"/>
        <v>-1162.1315809117416</v>
      </c>
      <c r="M53" s="245">
        <f t="shared" si="5"/>
        <v>-96.844298409311804</v>
      </c>
    </row>
    <row r="54" spans="2:13" ht="14.45" x14ac:dyDescent="0.3">
      <c r="B54" s="233" t="s">
        <v>273</v>
      </c>
      <c r="C54" s="233"/>
      <c r="D54" s="289">
        <f t="shared" si="1"/>
        <v>2583905</v>
      </c>
      <c r="E54" s="289">
        <v>2583905</v>
      </c>
      <c r="F54" s="227"/>
      <c r="G54" s="160"/>
      <c r="H54" s="160"/>
      <c r="I54" s="160"/>
      <c r="J54" s="160"/>
      <c r="K54" s="243">
        <f t="shared" si="0"/>
        <v>2.0210829225902255E-2</v>
      </c>
      <c r="L54" s="244">
        <f t="shared" si="4"/>
        <v>-553.61846058380183</v>
      </c>
      <c r="M54" s="245">
        <f t="shared" si="5"/>
        <v>-46.13487171531682</v>
      </c>
    </row>
    <row r="55" spans="2:13" ht="14.45" x14ac:dyDescent="0.3">
      <c r="B55" s="233" t="s">
        <v>274</v>
      </c>
      <c r="C55" s="233"/>
      <c r="D55" s="289">
        <f t="shared" si="1"/>
        <v>2529573</v>
      </c>
      <c r="E55" s="289">
        <v>2529573</v>
      </c>
      <c r="F55" s="227"/>
      <c r="G55" s="160"/>
      <c r="H55" s="160"/>
      <c r="I55" s="160"/>
      <c r="J55" s="160"/>
      <c r="K55" s="243">
        <f t="shared" si="0"/>
        <v>1.9785854324154042E-2</v>
      </c>
      <c r="L55" s="244">
        <f>+K55*$D$26</f>
        <v>-541.97747602731124</v>
      </c>
      <c r="M55" s="245">
        <f t="shared" si="5"/>
        <v>-45.164789668942603</v>
      </c>
    </row>
    <row r="56" spans="2:13" ht="14.45" x14ac:dyDescent="0.3">
      <c r="B56" s="233" t="s">
        <v>276</v>
      </c>
      <c r="C56" s="233"/>
      <c r="D56" s="289">
        <f t="shared" si="1"/>
        <v>3390659</v>
      </c>
      <c r="E56" s="289">
        <v>3390659</v>
      </c>
      <c r="F56" s="227"/>
      <c r="G56" s="160"/>
      <c r="H56" s="160"/>
      <c r="I56" s="160"/>
      <c r="J56" s="160"/>
      <c r="K56" s="243">
        <f t="shared" si="0"/>
        <v>2.6521110494491292E-2</v>
      </c>
      <c r="L56" s="244">
        <f t="shared" si="4"/>
        <v>-726.47075490183011</v>
      </c>
      <c r="M56" s="245">
        <f t="shared" si="5"/>
        <v>-60.539229575152511</v>
      </c>
    </row>
    <row r="57" spans="2:13" ht="14.45" x14ac:dyDescent="0.3">
      <c r="B57" s="233" t="s">
        <v>278</v>
      </c>
      <c r="C57" s="233"/>
      <c r="D57" s="289">
        <f t="shared" si="1"/>
        <v>1161128</v>
      </c>
      <c r="E57" s="289">
        <v>1161128</v>
      </c>
      <c r="F57" s="227"/>
      <c r="G57" s="160"/>
      <c r="H57" s="160"/>
      <c r="I57" s="160"/>
      <c r="J57" s="160"/>
      <c r="K57" s="243">
        <f t="shared" si="0"/>
        <v>9.0821294580928618E-3</v>
      </c>
      <c r="L57" s="244">
        <f t="shared" si="4"/>
        <v>-248.77922984813637</v>
      </c>
      <c r="M57" s="245">
        <f t="shared" si="5"/>
        <v>-20.731602487344698</v>
      </c>
    </row>
    <row r="58" spans="2:13" x14ac:dyDescent="0.25">
      <c r="B58" s="233" t="s">
        <v>280</v>
      </c>
      <c r="C58" s="233"/>
      <c r="D58" s="289">
        <f t="shared" si="1"/>
        <v>2421761</v>
      </c>
      <c r="E58" s="289">
        <v>2421761</v>
      </c>
      <c r="F58" s="227"/>
      <c r="G58" s="160"/>
      <c r="H58" s="160"/>
      <c r="I58" s="160"/>
      <c r="J58" s="160"/>
      <c r="K58" s="243">
        <f t="shared" si="0"/>
        <v>1.8942568707808635E-2</v>
      </c>
      <c r="L58" s="244">
        <f t="shared" si="4"/>
        <v>-518.87805345857862</v>
      </c>
      <c r="M58" s="245">
        <f t="shared" si="5"/>
        <v>-43.239837788214885</v>
      </c>
    </row>
    <row r="59" spans="2:13" x14ac:dyDescent="0.25">
      <c r="B59" s="233" t="s">
        <v>281</v>
      </c>
      <c r="C59" s="233"/>
      <c r="D59" s="289">
        <f t="shared" si="1"/>
        <v>1568280</v>
      </c>
      <c r="E59" s="289">
        <v>1568280</v>
      </c>
      <c r="F59" s="227"/>
      <c r="G59" s="160"/>
      <c r="H59" s="160"/>
      <c r="I59" s="160"/>
      <c r="J59" s="160"/>
      <c r="K59" s="243">
        <f t="shared" si="0"/>
        <v>1.2266797447428597E-2</v>
      </c>
      <c r="L59" s="244">
        <f t="shared" si="4"/>
        <v>-336.01419532233763</v>
      </c>
      <c r="M59" s="245">
        <f t="shared" si="5"/>
        <v>-28.001182943528136</v>
      </c>
    </row>
    <row r="60" spans="2:13" x14ac:dyDescent="0.25">
      <c r="B60" s="233" t="s">
        <v>282</v>
      </c>
      <c r="C60" s="233"/>
      <c r="D60" s="289">
        <f t="shared" si="1"/>
        <v>3124881</v>
      </c>
      <c r="E60" s="289">
        <v>3124881</v>
      </c>
      <c r="F60" s="227"/>
      <c r="G60" s="160"/>
      <c r="H60" s="160"/>
      <c r="I60" s="160"/>
      <c r="J60" s="160"/>
      <c r="K60" s="243">
        <f t="shared" si="0"/>
        <v>2.4442243906903183E-2</v>
      </c>
      <c r="L60" s="244">
        <f t="shared" si="4"/>
        <v>-669.52608889551732</v>
      </c>
      <c r="M60" s="245">
        <f t="shared" si="5"/>
        <v>-55.79384074129311</v>
      </c>
    </row>
    <row r="61" spans="2:13" x14ac:dyDescent="0.25">
      <c r="B61" s="233" t="s">
        <v>283</v>
      </c>
      <c r="C61" s="233"/>
      <c r="D61" s="289">
        <f t="shared" si="1"/>
        <v>2706410</v>
      </c>
      <c r="E61" s="289">
        <v>2706410</v>
      </c>
      <c r="F61" s="227"/>
      <c r="G61" s="160"/>
      <c r="H61" s="160"/>
      <c r="I61" s="160"/>
      <c r="J61" s="160"/>
      <c r="K61" s="243">
        <f t="shared" si="0"/>
        <v>2.116904078333922E-2</v>
      </c>
      <c r="L61" s="244">
        <f t="shared" si="4"/>
        <v>-579.86595401479826</v>
      </c>
      <c r="M61" s="245">
        <f t="shared" si="5"/>
        <v>-48.32216283456652</v>
      </c>
    </row>
    <row r="62" spans="2:13" x14ac:dyDescent="0.25">
      <c r="B62" s="233" t="s">
        <v>284</v>
      </c>
      <c r="C62" s="233"/>
      <c r="D62" s="289">
        <f t="shared" si="1"/>
        <v>3613039</v>
      </c>
      <c r="E62" s="289">
        <v>3613039</v>
      </c>
      <c r="F62" s="227"/>
      <c r="G62" s="160"/>
      <c r="H62" s="160"/>
      <c r="I62" s="160"/>
      <c r="J62" s="160"/>
      <c r="K62" s="243">
        <f t="shared" si="0"/>
        <v>2.8260525915436003E-2</v>
      </c>
      <c r="L62" s="244">
        <f t="shared" si="4"/>
        <v>-774.11711700284616</v>
      </c>
      <c r="M62" s="245">
        <f t="shared" si="5"/>
        <v>-64.50975975023718</v>
      </c>
    </row>
    <row r="63" spans="2:13" x14ac:dyDescent="0.25">
      <c r="B63" s="233" t="s">
        <v>285</v>
      </c>
      <c r="C63" s="233"/>
      <c r="D63" s="289">
        <f t="shared" si="1"/>
        <v>3605652</v>
      </c>
      <c r="E63" s="289">
        <v>3605652</v>
      </c>
      <c r="F63" s="227"/>
      <c r="G63" s="160"/>
      <c r="H63" s="160"/>
      <c r="I63" s="160"/>
      <c r="J63" s="160"/>
      <c r="K63" s="243">
        <f t="shared" si="0"/>
        <v>2.8202746161346073E-2</v>
      </c>
      <c r="L63" s="244">
        <f t="shared" si="4"/>
        <v>-772.53440418316723</v>
      </c>
      <c r="M63" s="245">
        <f t="shared" si="5"/>
        <v>-64.377867015263931</v>
      </c>
    </row>
    <row r="64" spans="2:13" x14ac:dyDescent="0.25">
      <c r="B64" s="233" t="s">
        <v>286</v>
      </c>
      <c r="C64" s="233"/>
      <c r="D64" s="289">
        <f t="shared" si="1"/>
        <v>1802628</v>
      </c>
      <c r="E64" s="289">
        <v>1802628</v>
      </c>
      <c r="F64" s="227"/>
      <c r="G64" s="160"/>
      <c r="H64" s="160"/>
      <c r="I64" s="160"/>
      <c r="J64" s="160"/>
      <c r="K64" s="243">
        <f t="shared" si="0"/>
        <v>1.4099824361123853E-2</v>
      </c>
      <c r="L64" s="244">
        <f t="shared" si="4"/>
        <v>-386.22477930313136</v>
      </c>
      <c r="M64" s="245">
        <f t="shared" si="5"/>
        <v>-32.185398275260944</v>
      </c>
    </row>
    <row r="65" spans="2:13" x14ac:dyDescent="0.25">
      <c r="B65" s="233" t="s">
        <v>287</v>
      </c>
      <c r="C65" s="233"/>
      <c r="D65" s="289">
        <f t="shared" si="1"/>
        <v>736499</v>
      </c>
      <c r="E65" s="289">
        <v>736499</v>
      </c>
      <c r="F65" s="227"/>
      <c r="G65" s="160"/>
      <c r="H65" s="160"/>
      <c r="I65" s="160"/>
      <c r="J65" s="160"/>
      <c r="K65" s="243">
        <f t="shared" si="0"/>
        <v>5.7607595921861619E-3</v>
      </c>
      <c r="L65" s="244">
        <f t="shared" si="4"/>
        <v>-157.79970339525235</v>
      </c>
      <c r="M65" s="245">
        <f t="shared" si="5"/>
        <v>-13.149975282937696</v>
      </c>
    </row>
    <row r="66" spans="2:13" x14ac:dyDescent="0.25">
      <c r="B66" s="233" t="s">
        <v>288</v>
      </c>
      <c r="C66" s="233"/>
      <c r="D66" s="289">
        <f t="shared" si="1"/>
        <v>3439510</v>
      </c>
      <c r="E66" s="289">
        <v>3439510</v>
      </c>
      <c r="F66" s="227"/>
      <c r="G66" s="160"/>
      <c r="H66" s="160"/>
      <c r="I66" s="160"/>
      <c r="J66" s="160"/>
      <c r="K66" s="243">
        <f t="shared" si="0"/>
        <v>2.6903214023264427E-2</v>
      </c>
      <c r="L66" s="244">
        <f t="shared" si="4"/>
        <v>-736.93739954162106</v>
      </c>
      <c r="M66" s="245">
        <f t="shared" si="5"/>
        <v>-61.411449961801758</v>
      </c>
    </row>
    <row r="67" spans="2:13" x14ac:dyDescent="0.25">
      <c r="B67" s="233" t="s">
        <v>289</v>
      </c>
      <c r="C67" s="233"/>
      <c r="D67" s="289">
        <f t="shared" si="1"/>
        <v>792832</v>
      </c>
      <c r="E67" s="289">
        <v>792832</v>
      </c>
      <c r="F67" s="227"/>
      <c r="G67" s="160"/>
      <c r="H67" s="160"/>
      <c r="I67" s="160"/>
      <c r="J67" s="160"/>
      <c r="K67" s="243">
        <f t="shared" si="0"/>
        <v>6.2013859475601998E-3</v>
      </c>
      <c r="L67" s="244">
        <f t="shared" si="4"/>
        <v>-169.86941522291912</v>
      </c>
      <c r="M67" s="245">
        <f t="shared" si="5"/>
        <v>-14.155784601909927</v>
      </c>
    </row>
    <row r="68" spans="2:13" x14ac:dyDescent="0.25">
      <c r="B68" s="233" t="s">
        <v>290</v>
      </c>
      <c r="C68" s="233"/>
      <c r="D68" s="289">
        <f t="shared" si="1"/>
        <v>7773748</v>
      </c>
      <c r="E68" s="289">
        <v>7773748</v>
      </c>
      <c r="F68" s="227"/>
      <c r="G68" s="160"/>
      <c r="H68" s="160"/>
      <c r="I68" s="160"/>
      <c r="J68" s="160"/>
      <c r="K68" s="243">
        <f t="shared" si="0"/>
        <v>6.0804825747540724E-2</v>
      </c>
      <c r="L68" s="244">
        <f t="shared" si="4"/>
        <v>-1665.5760953775039</v>
      </c>
      <c r="M68" s="245">
        <f t="shared" si="5"/>
        <v>-138.79800794812533</v>
      </c>
    </row>
    <row r="69" spans="2:13" x14ac:dyDescent="0.25">
      <c r="B69" s="235" t="s">
        <v>177</v>
      </c>
      <c r="C69" s="235"/>
      <c r="D69" s="236">
        <f>SUM(D33:D68)</f>
        <v>127847550</v>
      </c>
      <c r="E69" s="236">
        <f>SUM(E33:E68)</f>
        <v>127847550</v>
      </c>
      <c r="F69" s="161">
        <f>SUM(F33:F43)</f>
        <v>0</v>
      </c>
      <c r="G69" s="161">
        <f>SUM(G33:G43)</f>
        <v>0</v>
      </c>
      <c r="H69" s="161">
        <f t="shared" ref="H69:J69" si="6">SUM(H33:H39)</f>
        <v>0</v>
      </c>
      <c r="I69" s="161">
        <f t="shared" si="6"/>
        <v>0</v>
      </c>
      <c r="J69" s="161">
        <f t="shared" si="6"/>
        <v>0</v>
      </c>
      <c r="K69" s="246">
        <f>SUM(K33:K68)</f>
        <v>1</v>
      </c>
      <c r="L69" s="247">
        <f>SUM(L33:L68)</f>
        <v>-27392.169534255572</v>
      </c>
      <c r="M69" s="248"/>
    </row>
    <row r="70" spans="2:13" x14ac:dyDescent="0.25">
      <c r="K70" s="62"/>
      <c r="L70" s="62"/>
      <c r="M70" s="62"/>
    </row>
  </sheetData>
  <mergeCells count="7">
    <mergeCell ref="B31:D31"/>
    <mergeCell ref="B2:H9"/>
    <mergeCell ref="B29:F29"/>
    <mergeCell ref="B12:G12"/>
    <mergeCell ref="D14:K14"/>
    <mergeCell ref="B16:G16"/>
    <mergeCell ref="B23:D23"/>
  </mergeCells>
  <hyperlinks>
    <hyperlink ref="A1" location="Index" display="Back to Index"/>
  </hyperlinks>
  <pageMargins left="0.7" right="0.7" top="0.75" bottom="0.75" header="0.3" footer="0.3"/>
  <pageSetup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3"/>
  <sheetViews>
    <sheetView view="pageBreakPreview" topLeftCell="A13" zoomScale="70" zoomScaleNormal="85" zoomScaleSheetLayoutView="70" workbookViewId="0">
      <selection activeCell="B28" sqref="B28"/>
    </sheetView>
  </sheetViews>
  <sheetFormatPr defaultColWidth="9.140625" defaultRowHeight="15" outlineLevelRow="1" outlineLevelCol="1" x14ac:dyDescent="0.25"/>
  <cols>
    <col min="1" max="1" width="10.5703125" style="107" bestFit="1" customWidth="1"/>
    <col min="2" max="2" width="49.42578125" customWidth="1"/>
    <col min="3" max="3" width="14" customWidth="1"/>
    <col min="4" max="4" width="30.42578125" customWidth="1"/>
    <col min="5" max="5" width="28.5703125" customWidth="1"/>
    <col min="6" max="9" width="28.5703125" hidden="1" customWidth="1" outlineLevel="1"/>
    <col min="10" max="10" width="29.7109375" hidden="1" customWidth="1" outlineLevel="1"/>
    <col min="11" max="11" width="9.42578125" bestFit="1" customWidth="1" collapsed="1"/>
    <col min="12" max="13" width="20.5703125" customWidth="1"/>
    <col min="16" max="16" width="32.28515625" customWidth="1"/>
  </cols>
  <sheetData>
    <row r="1" spans="1:11" ht="14.45" x14ac:dyDescent="0.3">
      <c r="A1" s="162" t="s">
        <v>0</v>
      </c>
      <c r="B1" s="162"/>
    </row>
    <row r="2" spans="1:11" ht="15" customHeight="1" x14ac:dyDescent="0.25">
      <c r="B2" s="356" t="str">
        <f>+'1. Information Sheet'!B2</f>
        <v>INCENTIVE REGULATION MODEL FOR 2019 FILERS</v>
      </c>
      <c r="C2" s="356"/>
      <c r="D2" s="356"/>
      <c r="E2" s="356"/>
      <c r="F2" s="356"/>
      <c r="G2" s="356"/>
      <c r="H2" s="356"/>
    </row>
    <row r="3" spans="1:11" ht="15" customHeight="1" x14ac:dyDescent="0.25">
      <c r="B3" s="356"/>
      <c r="C3" s="356"/>
      <c r="D3" s="356"/>
      <c r="E3" s="356"/>
      <c r="F3" s="356"/>
      <c r="G3" s="356"/>
      <c r="H3" s="356"/>
    </row>
    <row r="4" spans="1:11" ht="15" customHeight="1" x14ac:dyDescent="0.25">
      <c r="B4" s="356"/>
      <c r="C4" s="356"/>
      <c r="D4" s="356"/>
      <c r="E4" s="356"/>
      <c r="F4" s="356"/>
      <c r="G4" s="356"/>
      <c r="H4" s="356"/>
    </row>
    <row r="5" spans="1:11" ht="15" customHeight="1" x14ac:dyDescent="0.25">
      <c r="B5" s="356"/>
      <c r="C5" s="356"/>
      <c r="D5" s="356"/>
      <c r="E5" s="356"/>
      <c r="F5" s="356"/>
      <c r="G5" s="356"/>
      <c r="H5" s="356"/>
    </row>
    <row r="6" spans="1:11" ht="15" customHeight="1" x14ac:dyDescent="0.25">
      <c r="B6" s="356"/>
      <c r="C6" s="356"/>
      <c r="D6" s="356"/>
      <c r="E6" s="356"/>
      <c r="F6" s="356"/>
      <c r="G6" s="356"/>
      <c r="H6" s="356"/>
    </row>
    <row r="7" spans="1:11" ht="15" customHeight="1" x14ac:dyDescent="0.25">
      <c r="B7" s="356"/>
      <c r="C7" s="356"/>
      <c r="D7" s="356"/>
      <c r="E7" s="356"/>
      <c r="F7" s="356"/>
      <c r="G7" s="356"/>
      <c r="H7" s="356"/>
    </row>
    <row r="8" spans="1:11" ht="15" customHeight="1" x14ac:dyDescent="0.25">
      <c r="B8" s="356"/>
      <c r="C8" s="356"/>
      <c r="D8" s="356"/>
      <c r="E8" s="356"/>
      <c r="F8" s="356"/>
      <c r="G8" s="356"/>
      <c r="H8" s="356"/>
    </row>
    <row r="9" spans="1:11" ht="15" customHeight="1" x14ac:dyDescent="0.25">
      <c r="B9" s="356"/>
      <c r="C9" s="356"/>
      <c r="D9" s="356"/>
      <c r="E9" s="356"/>
      <c r="F9" s="356"/>
      <c r="G9" s="356"/>
      <c r="H9" s="356"/>
    </row>
    <row r="12" spans="1:11" ht="78.75" customHeight="1" x14ac:dyDescent="0.3">
      <c r="B12" s="452" t="s">
        <v>291</v>
      </c>
      <c r="C12" s="452"/>
      <c r="D12" s="452"/>
      <c r="E12" s="452"/>
      <c r="F12" s="453"/>
      <c r="G12" s="453"/>
    </row>
    <row r="13" spans="1:11" ht="14.45" x14ac:dyDescent="0.3">
      <c r="B13" s="134"/>
      <c r="C13" s="134"/>
      <c r="D13" s="134"/>
      <c r="E13" s="134"/>
      <c r="F13" s="84"/>
      <c r="G13" s="84"/>
    </row>
    <row r="14" spans="1:11" ht="45.75" customHeight="1" x14ac:dyDescent="0.3">
      <c r="B14" s="135" t="s">
        <v>223</v>
      </c>
      <c r="C14" s="175">
        <v>2016</v>
      </c>
      <c r="D14" s="454" t="s">
        <v>224</v>
      </c>
      <c r="E14" s="455"/>
      <c r="F14" s="455"/>
      <c r="G14" s="455"/>
      <c r="H14" s="455"/>
      <c r="I14" s="455"/>
      <c r="J14" s="455"/>
      <c r="K14" s="455"/>
    </row>
    <row r="15" spans="1:11" ht="14.45" x14ac:dyDescent="0.3">
      <c r="B15" s="134"/>
      <c r="C15" s="134"/>
      <c r="D15" s="134"/>
      <c r="E15" s="134"/>
      <c r="F15" s="84"/>
      <c r="G15" s="84"/>
    </row>
    <row r="16" spans="1:11" ht="34.5" customHeight="1" x14ac:dyDescent="0.3">
      <c r="B16" s="451" t="s">
        <v>292</v>
      </c>
      <c r="C16" s="451"/>
      <c r="D16" s="451"/>
      <c r="E16" s="451"/>
      <c r="F16" s="451"/>
      <c r="G16" s="451"/>
      <c r="J16" s="136"/>
    </row>
    <row r="17" spans="1:16" ht="17.25" customHeight="1" thickBot="1" x14ac:dyDescent="0.35">
      <c r="C17" s="137"/>
      <c r="D17" s="138" t="s">
        <v>177</v>
      </c>
      <c r="E17" s="139">
        <v>2017</v>
      </c>
      <c r="F17" s="139">
        <v>2016</v>
      </c>
      <c r="G17" s="139">
        <v>2015</v>
      </c>
      <c r="H17" s="139">
        <v>2014</v>
      </c>
      <c r="I17" s="139">
        <v>2013</v>
      </c>
      <c r="J17" s="140">
        <v>2012</v>
      </c>
    </row>
    <row r="18" spans="1:16" s="77" customFormat="1" ht="40.9" thickBot="1" x14ac:dyDescent="0.35">
      <c r="A18" s="209"/>
      <c r="B18" s="141" t="s">
        <v>226</v>
      </c>
      <c r="C18" s="142" t="s">
        <v>227</v>
      </c>
      <c r="D18" s="347">
        <f>SUM(E18:J18)</f>
        <v>1499213634.3072548</v>
      </c>
      <c r="E18" s="143">
        <f>'6. GA Calculation'!C29-'6. GA Calculation'!E29</f>
        <v>1499213634.3072548</v>
      </c>
      <c r="F18" s="143"/>
      <c r="G18" s="143"/>
      <c r="H18" s="144"/>
      <c r="I18" s="145"/>
      <c r="J18" s="145"/>
    </row>
    <row r="19" spans="1:16" s="77" customFormat="1" thickBot="1" x14ac:dyDescent="0.35">
      <c r="A19" s="209"/>
      <c r="B19" s="141" t="s">
        <v>293</v>
      </c>
      <c r="C19" s="142" t="s">
        <v>229</v>
      </c>
      <c r="D19" s="347">
        <f>SUM(E19:J19)</f>
        <v>5633530</v>
      </c>
      <c r="E19" s="146">
        <f>E42</f>
        <v>5633530</v>
      </c>
      <c r="F19" s="146"/>
      <c r="G19" s="146">
        <f>G42</f>
        <v>0</v>
      </c>
      <c r="H19" s="146">
        <f>H42</f>
        <v>0</v>
      </c>
      <c r="I19" s="147">
        <f>I42</f>
        <v>0</v>
      </c>
      <c r="J19" s="147">
        <f>J42</f>
        <v>0</v>
      </c>
    </row>
    <row r="20" spans="1:16" s="77" customFormat="1" ht="30" customHeight="1" thickBot="1" x14ac:dyDescent="0.35">
      <c r="A20" s="209"/>
      <c r="B20" s="148" t="s">
        <v>294</v>
      </c>
      <c r="C20" s="149" t="s">
        <v>231</v>
      </c>
      <c r="D20" s="348">
        <f>IFERROR(+D19/D18,0)</f>
        <v>3.7576565948208565E-3</v>
      </c>
      <c r="E20" s="150"/>
      <c r="F20" s="150"/>
      <c r="G20" s="150"/>
      <c r="H20" s="151"/>
      <c r="I20" s="151"/>
      <c r="J20" s="151"/>
    </row>
    <row r="22" spans="1:16" ht="14.45" x14ac:dyDescent="0.3">
      <c r="D22" s="152"/>
      <c r="E22" s="152"/>
      <c r="F22" s="153"/>
      <c r="G22" s="152"/>
    </row>
    <row r="23" spans="1:16" ht="14.45" x14ac:dyDescent="0.3">
      <c r="B23" s="456" t="s">
        <v>232</v>
      </c>
      <c r="C23" s="456"/>
      <c r="D23" s="456"/>
      <c r="E23" s="282"/>
      <c r="G23" s="154"/>
    </row>
    <row r="24" spans="1:16" thickBot="1" x14ac:dyDescent="0.35">
      <c r="B24" s="155"/>
      <c r="C24" s="155"/>
      <c r="D24" s="136"/>
      <c r="E24" s="136"/>
      <c r="P24" s="154"/>
    </row>
    <row r="25" spans="1:16" thickBot="1" x14ac:dyDescent="0.35">
      <c r="B25" s="156" t="s">
        <v>295</v>
      </c>
      <c r="C25" s="174" t="s">
        <v>234</v>
      </c>
      <c r="D25" s="349">
        <f>'6A. GA Allocation_Class A'!D25</f>
        <v>-321216.27703473205</v>
      </c>
      <c r="E25" s="287"/>
    </row>
    <row r="26" spans="1:16" ht="27.6" thickBot="1" x14ac:dyDescent="0.35">
      <c r="B26" s="141" t="s">
        <v>296</v>
      </c>
      <c r="C26" s="142" t="s">
        <v>236</v>
      </c>
      <c r="D26" s="349">
        <f>+D20*D25</f>
        <v>-1207.0204617633642</v>
      </c>
      <c r="E26" s="287"/>
      <c r="F26" s="157"/>
    </row>
    <row r="27" spans="1:16" ht="27.6" thickBot="1" x14ac:dyDescent="0.35">
      <c r="B27" s="141" t="s">
        <v>235</v>
      </c>
      <c r="C27" s="142" t="s">
        <v>297</v>
      </c>
      <c r="D27" s="349">
        <f>'6A. GA Allocation_Class A'!D26</f>
        <v>-27392.169534255572</v>
      </c>
      <c r="E27" s="287"/>
      <c r="F27" s="157"/>
    </row>
    <row r="28" spans="1:16" ht="32.25" customHeight="1" thickBot="1" x14ac:dyDescent="0.35">
      <c r="B28" s="256" t="s">
        <v>298</v>
      </c>
      <c r="C28" s="257" t="s">
        <v>299</v>
      </c>
      <c r="D28" s="350">
        <f>+D25-D26-D27</f>
        <v>-292617.0870387131</v>
      </c>
      <c r="E28" s="293"/>
      <c r="F28" s="252" t="s">
        <v>300</v>
      </c>
      <c r="P28" t="s">
        <v>239</v>
      </c>
    </row>
    <row r="30" spans="1:16" ht="14.45" x14ac:dyDescent="0.3">
      <c r="B30" s="457" t="s">
        <v>301</v>
      </c>
      <c r="C30" s="457"/>
      <c r="D30" s="451"/>
      <c r="E30" s="451"/>
      <c r="F30" s="451"/>
    </row>
    <row r="31" spans="1:16" ht="14.45" x14ac:dyDescent="0.3">
      <c r="B31" s="449" t="s">
        <v>241</v>
      </c>
      <c r="C31" s="450"/>
      <c r="D31" s="450"/>
      <c r="E31" s="251">
        <v>2017</v>
      </c>
      <c r="F31" s="251"/>
      <c r="G31" s="251"/>
      <c r="H31" s="249"/>
      <c r="I31" s="249"/>
      <c r="J31" s="250"/>
      <c r="K31" s="237"/>
      <c r="L31" s="237"/>
      <c r="M31" s="237"/>
    </row>
    <row r="32" spans="1:16" ht="59.45" customHeight="1" x14ac:dyDescent="0.3">
      <c r="B32" s="229" t="s">
        <v>242</v>
      </c>
      <c r="C32" s="229"/>
      <c r="D32" s="230" t="s">
        <v>302</v>
      </c>
      <c r="E32" s="270"/>
      <c r="F32" s="270" t="s">
        <v>303</v>
      </c>
      <c r="G32" s="158" t="s">
        <v>304</v>
      </c>
      <c r="H32" s="158" t="s">
        <v>305</v>
      </c>
      <c r="I32" s="158" t="s">
        <v>306</v>
      </c>
      <c r="J32" s="158" t="s">
        <v>307</v>
      </c>
      <c r="K32" s="238" t="s">
        <v>249</v>
      </c>
      <c r="L32" s="239" t="s">
        <v>308</v>
      </c>
      <c r="M32" s="239" t="s">
        <v>251</v>
      </c>
    </row>
    <row r="33" spans="2:13" ht="14.45" x14ac:dyDescent="0.3">
      <c r="B33" s="231" t="s">
        <v>252</v>
      </c>
      <c r="C33" s="231"/>
      <c r="D33" s="232">
        <f>SUM(E33:J33)</f>
        <v>5633530</v>
      </c>
      <c r="E33" s="160">
        <v>5633530</v>
      </c>
      <c r="F33" s="160"/>
      <c r="G33" s="159"/>
      <c r="H33" s="159"/>
      <c r="I33" s="159"/>
      <c r="J33" s="159"/>
      <c r="K33" s="240">
        <f t="shared" ref="K33:K41" si="0">IFERROR(+D33/$D$42,0)</f>
        <v>1</v>
      </c>
      <c r="L33" s="241">
        <f>+K33*$D$26</f>
        <v>-1207.0204617633642</v>
      </c>
      <c r="M33" s="242">
        <f>+L33/12</f>
        <v>-100.58503848028035</v>
      </c>
    </row>
    <row r="34" spans="2:13" ht="14.45" x14ac:dyDescent="0.3">
      <c r="B34" s="233"/>
      <c r="C34" s="233"/>
      <c r="D34" s="234"/>
      <c r="E34" s="160"/>
      <c r="F34" s="160"/>
      <c r="G34" s="160"/>
      <c r="H34" s="160"/>
      <c r="I34" s="160"/>
      <c r="J34" s="160"/>
      <c r="K34" s="243">
        <f t="shared" si="0"/>
        <v>0</v>
      </c>
      <c r="L34" s="244">
        <f t="shared" ref="L34:L41" si="1">+K34*$D$26</f>
        <v>0</v>
      </c>
      <c r="M34" s="245">
        <f t="shared" ref="M34:M41" si="2">+L34/12</f>
        <v>0</v>
      </c>
    </row>
    <row r="35" spans="2:13" ht="14.45" hidden="1" outlineLevel="1" x14ac:dyDescent="0.3">
      <c r="B35" s="233"/>
      <c r="C35" s="233"/>
      <c r="D35" s="234"/>
      <c r="E35" s="160"/>
      <c r="F35" s="160"/>
      <c r="G35" s="160"/>
      <c r="H35" s="160"/>
      <c r="I35" s="160"/>
      <c r="J35" s="160"/>
      <c r="K35" s="243">
        <f t="shared" si="0"/>
        <v>0</v>
      </c>
      <c r="L35" s="244">
        <f t="shared" si="1"/>
        <v>0</v>
      </c>
      <c r="M35" s="245">
        <f t="shared" si="2"/>
        <v>0</v>
      </c>
    </row>
    <row r="36" spans="2:13" ht="14.45" hidden="1" outlineLevel="1" x14ac:dyDescent="0.3">
      <c r="B36" s="233"/>
      <c r="C36" s="233"/>
      <c r="D36" s="234"/>
      <c r="E36" s="160"/>
      <c r="F36" s="160"/>
      <c r="G36" s="160"/>
      <c r="H36" s="160"/>
      <c r="I36" s="160"/>
      <c r="J36" s="160"/>
      <c r="K36" s="243">
        <f t="shared" si="0"/>
        <v>0</v>
      </c>
      <c r="L36" s="244">
        <f t="shared" si="1"/>
        <v>0</v>
      </c>
      <c r="M36" s="245">
        <f t="shared" si="2"/>
        <v>0</v>
      </c>
    </row>
    <row r="37" spans="2:13" ht="14.45" hidden="1" outlineLevel="1" x14ac:dyDescent="0.3">
      <c r="B37" s="233"/>
      <c r="C37" s="233"/>
      <c r="D37" s="234"/>
      <c r="E37" s="160"/>
      <c r="F37" s="160"/>
      <c r="G37" s="160"/>
      <c r="H37" s="160"/>
      <c r="I37" s="160"/>
      <c r="J37" s="160"/>
      <c r="K37" s="243">
        <f t="shared" si="0"/>
        <v>0</v>
      </c>
      <c r="L37" s="244">
        <f t="shared" si="1"/>
        <v>0</v>
      </c>
      <c r="M37" s="245">
        <f t="shared" si="2"/>
        <v>0</v>
      </c>
    </row>
    <row r="38" spans="2:13" ht="14.45" hidden="1" outlineLevel="1" x14ac:dyDescent="0.3">
      <c r="B38" s="233"/>
      <c r="C38" s="233"/>
      <c r="D38" s="234"/>
      <c r="E38" s="160"/>
      <c r="F38" s="160"/>
      <c r="G38" s="160"/>
      <c r="H38" s="160"/>
      <c r="I38" s="160"/>
      <c r="J38" s="160"/>
      <c r="K38" s="243">
        <f t="shared" si="0"/>
        <v>0</v>
      </c>
      <c r="L38" s="244">
        <f t="shared" si="1"/>
        <v>0</v>
      </c>
      <c r="M38" s="245">
        <f t="shared" si="2"/>
        <v>0</v>
      </c>
    </row>
    <row r="39" spans="2:13" ht="14.45" hidden="1" outlineLevel="1" x14ac:dyDescent="0.3">
      <c r="B39" s="233"/>
      <c r="C39" s="233"/>
      <c r="D39" s="234"/>
      <c r="E39" s="160"/>
      <c r="F39" s="160"/>
      <c r="G39" s="160"/>
      <c r="H39" s="160"/>
      <c r="I39" s="160"/>
      <c r="J39" s="160"/>
      <c r="K39" s="243">
        <f t="shared" si="0"/>
        <v>0</v>
      </c>
      <c r="L39" s="244">
        <f t="shared" si="1"/>
        <v>0</v>
      </c>
      <c r="M39" s="245">
        <f t="shared" si="2"/>
        <v>0</v>
      </c>
    </row>
    <row r="40" spans="2:13" ht="14.45" hidden="1" outlineLevel="1" x14ac:dyDescent="0.3">
      <c r="B40" s="233"/>
      <c r="C40" s="233"/>
      <c r="D40" s="234"/>
      <c r="E40" s="160"/>
      <c r="F40" s="160"/>
      <c r="G40" s="160"/>
      <c r="H40" s="160"/>
      <c r="I40" s="160"/>
      <c r="J40" s="160"/>
      <c r="K40" s="243">
        <f t="shared" si="0"/>
        <v>0</v>
      </c>
      <c r="L40" s="244">
        <f t="shared" si="1"/>
        <v>0</v>
      </c>
      <c r="M40" s="245">
        <f t="shared" si="2"/>
        <v>0</v>
      </c>
    </row>
    <row r="41" spans="2:13" ht="14.45" hidden="1" outlineLevel="1" x14ac:dyDescent="0.3">
      <c r="B41" s="233"/>
      <c r="C41" s="233"/>
      <c r="D41" s="234"/>
      <c r="E41" s="160"/>
      <c r="F41" s="160"/>
      <c r="G41" s="160"/>
      <c r="H41" s="160"/>
      <c r="I41" s="160"/>
      <c r="J41" s="160"/>
      <c r="K41" s="243">
        <f t="shared" si="0"/>
        <v>0</v>
      </c>
      <c r="L41" s="244">
        <f t="shared" si="1"/>
        <v>0</v>
      </c>
      <c r="M41" s="245">
        <f t="shared" si="2"/>
        <v>0</v>
      </c>
    </row>
    <row r="42" spans="2:13" collapsed="1" x14ac:dyDescent="0.25">
      <c r="B42" s="235" t="s">
        <v>177</v>
      </c>
      <c r="C42" s="235"/>
      <c r="D42" s="236">
        <f>SUM(D33:D41)</f>
        <v>5633530</v>
      </c>
      <c r="E42" s="236">
        <f>SUM(E33:E41)</f>
        <v>5633530</v>
      </c>
      <c r="F42" s="161">
        <f>SUM(F33:F41)</f>
        <v>0</v>
      </c>
      <c r="G42" s="161">
        <f>SUM(G33:G41)</f>
        <v>0</v>
      </c>
      <c r="H42" s="161">
        <f t="shared" ref="H42:J42" si="3">SUM(H33:H37)</f>
        <v>0</v>
      </c>
      <c r="I42" s="161">
        <f t="shared" si="3"/>
        <v>0</v>
      </c>
      <c r="J42" s="161">
        <f t="shared" si="3"/>
        <v>0</v>
      </c>
      <c r="K42" s="246">
        <f>SUM(K33:K41)</f>
        <v>1</v>
      </c>
      <c r="L42" s="247">
        <f>SUM(L33:L41)</f>
        <v>-1207.0204617633642</v>
      </c>
      <c r="M42" s="248"/>
    </row>
    <row r="43" spans="2:13" x14ac:dyDescent="0.25">
      <c r="K43" s="62"/>
      <c r="L43" s="62"/>
      <c r="M43" s="62"/>
    </row>
  </sheetData>
  <mergeCells count="7">
    <mergeCell ref="B31:D31"/>
    <mergeCell ref="B2:H9"/>
    <mergeCell ref="B12:G12"/>
    <mergeCell ref="D14:K14"/>
    <mergeCell ref="B16:G16"/>
    <mergeCell ref="B23:D23"/>
    <mergeCell ref="B30:F30"/>
  </mergeCells>
  <hyperlinks>
    <hyperlink ref="A1" location="Index" display="Back to Index"/>
  </hyperlinks>
  <pageMargins left="0.7" right="0.7" top="0.75" bottom="0.75" header="0.3" footer="0.3"/>
  <pageSetup scale="50" orientation="portrait" r:id="rId1"/>
  <colBreaks count="1" manualBreakCount="1">
    <brk id="1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48"/>
  <sheetViews>
    <sheetView view="pageBreakPreview" topLeftCell="A14" zoomScale="55" zoomScaleNormal="70" zoomScaleSheetLayoutView="55" workbookViewId="0">
      <selection activeCell="G39" sqref="G39"/>
    </sheetView>
  </sheetViews>
  <sheetFormatPr defaultColWidth="9.140625" defaultRowHeight="15" outlineLevelCol="1" x14ac:dyDescent="0.25"/>
  <cols>
    <col min="1" max="1" width="12.85546875" style="107" customWidth="1" outlineLevel="1"/>
    <col min="2" max="2" width="68.7109375" customWidth="1"/>
    <col min="3" max="3" width="22.5703125" bestFit="1" customWidth="1"/>
    <col min="4" max="4" width="17.42578125" customWidth="1"/>
    <col min="5" max="5" width="24" bestFit="1" customWidth="1"/>
    <col min="6" max="6" width="18.85546875" bestFit="1" customWidth="1"/>
    <col min="7" max="10" width="17.42578125" customWidth="1"/>
    <col min="11" max="11" width="20.7109375" bestFit="1" customWidth="1"/>
    <col min="12" max="12" width="20.7109375" customWidth="1"/>
    <col min="13" max="13" width="18.5703125" customWidth="1"/>
    <col min="14" max="14" width="18.85546875" customWidth="1"/>
    <col min="15" max="15" width="18.28515625" customWidth="1"/>
    <col min="16" max="16" width="9.42578125" style="76" hidden="1" customWidth="1" outlineLevel="1"/>
    <col min="17" max="17" width="17.28515625" hidden="1" customWidth="1" outlineLevel="1"/>
    <col min="18" max="18" width="9.140625" collapsed="1"/>
  </cols>
  <sheetData>
    <row r="1" spans="1:14" ht="14.45" x14ac:dyDescent="0.3">
      <c r="A1" s="162" t="s">
        <v>0</v>
      </c>
      <c r="B1" s="162"/>
    </row>
    <row r="2" spans="1:14" ht="15" customHeight="1" x14ac:dyDescent="0.25">
      <c r="B2" s="356" t="str">
        <f>+'1. Information Sheet'!B2</f>
        <v>INCENTIVE REGULATION MODEL FOR 2019 FILERS</v>
      </c>
      <c r="C2" s="356"/>
      <c r="D2" s="356"/>
      <c r="E2" s="356"/>
      <c r="F2" s="356"/>
      <c r="G2" s="356"/>
    </row>
    <row r="3" spans="1:14" ht="15" customHeight="1" x14ac:dyDescent="0.25">
      <c r="B3" s="356"/>
      <c r="C3" s="356"/>
      <c r="D3" s="356"/>
      <c r="E3" s="356"/>
      <c r="F3" s="356"/>
      <c r="G3" s="356"/>
    </row>
    <row r="4" spans="1:14" ht="15" customHeight="1" x14ac:dyDescent="0.25">
      <c r="B4" s="356"/>
      <c r="C4" s="356"/>
      <c r="D4" s="356"/>
      <c r="E4" s="356"/>
      <c r="F4" s="356"/>
      <c r="G4" s="356"/>
    </row>
    <row r="5" spans="1:14" ht="15" customHeight="1" x14ac:dyDescent="0.25">
      <c r="B5" s="356"/>
      <c r="C5" s="356"/>
      <c r="D5" s="356"/>
      <c r="E5" s="356"/>
      <c r="F5" s="356"/>
      <c r="G5" s="356"/>
    </row>
    <row r="6" spans="1:14" ht="15" customHeight="1" x14ac:dyDescent="0.25">
      <c r="B6" s="356"/>
      <c r="C6" s="356"/>
      <c r="D6" s="356"/>
      <c r="E6" s="356"/>
      <c r="F6" s="356"/>
      <c r="G6" s="356"/>
    </row>
    <row r="7" spans="1:14" ht="15" customHeight="1" x14ac:dyDescent="0.25">
      <c r="B7" s="356"/>
      <c r="C7" s="356"/>
      <c r="D7" s="356"/>
      <c r="E7" s="356"/>
      <c r="F7" s="356"/>
      <c r="G7" s="356"/>
    </row>
    <row r="8" spans="1:14" ht="15" customHeight="1" x14ac:dyDescent="0.25">
      <c r="B8" s="356"/>
      <c r="C8" s="356"/>
      <c r="D8" s="356"/>
      <c r="E8" s="356"/>
      <c r="F8" s="356"/>
      <c r="G8" s="356"/>
    </row>
    <row r="9" spans="1:14" ht="15" customHeight="1" x14ac:dyDescent="0.25">
      <c r="B9" s="356"/>
      <c r="C9" s="356"/>
      <c r="D9" s="356"/>
      <c r="E9" s="356"/>
      <c r="F9" s="356"/>
      <c r="G9" s="356"/>
    </row>
    <row r="13" spans="1:14" ht="56.25" customHeight="1" x14ac:dyDescent="0.3">
      <c r="B13" s="447" t="s">
        <v>309</v>
      </c>
      <c r="C13" s="448"/>
      <c r="D13" s="448"/>
      <c r="E13" s="448"/>
      <c r="F13" s="448"/>
      <c r="G13" s="448"/>
      <c r="H13" s="448"/>
      <c r="I13" s="448"/>
      <c r="J13" s="448"/>
      <c r="K13" s="448"/>
      <c r="L13" s="448"/>
      <c r="M13" s="448"/>
      <c r="N13" s="448"/>
    </row>
    <row r="14" spans="1:14" ht="14.45" x14ac:dyDescent="0.3">
      <c r="B14" s="351"/>
      <c r="C14" s="352"/>
      <c r="D14" s="352"/>
      <c r="E14" s="352"/>
      <c r="F14" s="352"/>
      <c r="G14" s="352"/>
      <c r="H14" s="352"/>
      <c r="I14" s="352"/>
      <c r="J14" s="352"/>
      <c r="K14" s="352"/>
      <c r="L14" s="352"/>
      <c r="M14" s="352"/>
      <c r="N14" s="352"/>
    </row>
    <row r="15" spans="1:14" ht="14.45" x14ac:dyDescent="0.3">
      <c r="B15" s="85" t="s">
        <v>310</v>
      </c>
      <c r="C15" s="69"/>
      <c r="D15" s="352"/>
      <c r="E15" s="352"/>
      <c r="F15" s="352"/>
      <c r="G15" s="352"/>
      <c r="H15" s="352"/>
      <c r="I15" s="352"/>
      <c r="J15" s="352"/>
      <c r="K15" s="352"/>
      <c r="L15" s="352"/>
      <c r="M15" s="352"/>
      <c r="N15" s="352"/>
    </row>
    <row r="16" spans="1:14" x14ac:dyDescent="0.25">
      <c r="B16" s="219" t="s">
        <v>117</v>
      </c>
      <c r="C16" s="228">
        <f>'3. Continuity Schedule'!CN24</f>
        <v>2.2000000036496203E-4</v>
      </c>
      <c r="D16" s="352"/>
      <c r="E16" s="352"/>
      <c r="F16" s="352"/>
      <c r="G16" s="352"/>
      <c r="H16" s="352"/>
      <c r="I16" s="352"/>
      <c r="J16" s="352"/>
      <c r="K16" s="352"/>
      <c r="L16" s="352"/>
      <c r="M16" s="352"/>
      <c r="N16" s="352"/>
    </row>
    <row r="17" spans="1:18" x14ac:dyDescent="0.25">
      <c r="B17" s="219" t="s">
        <v>118</v>
      </c>
      <c r="C17" s="228">
        <f>'3. Continuity Schedule'!CN25</f>
        <v>-55880.028700500014</v>
      </c>
      <c r="D17" s="352"/>
      <c r="E17" s="352"/>
      <c r="F17" s="353"/>
      <c r="G17" s="352"/>
      <c r="H17" s="352"/>
      <c r="I17" s="352"/>
      <c r="J17" s="352"/>
      <c r="K17" s="352"/>
      <c r="L17" s="352"/>
      <c r="M17" s="352"/>
      <c r="N17" s="352"/>
    </row>
    <row r="18" spans="1:18" ht="14.45" x14ac:dyDescent="0.3">
      <c r="B18" s="351"/>
      <c r="C18" s="352"/>
      <c r="D18" s="352"/>
      <c r="E18" s="352"/>
      <c r="F18" s="352"/>
      <c r="G18" s="352"/>
      <c r="H18" s="352"/>
      <c r="I18" s="352"/>
      <c r="J18" s="352"/>
      <c r="K18" s="352"/>
      <c r="L18" s="352"/>
      <c r="M18" s="352"/>
      <c r="N18" s="352"/>
    </row>
    <row r="19" spans="1:18" s="77" customFormat="1" ht="84" customHeight="1" x14ac:dyDescent="0.3">
      <c r="A19" s="209"/>
      <c r="B19" s="198"/>
      <c r="C19" s="467" t="s">
        <v>311</v>
      </c>
      <c r="D19" s="467"/>
      <c r="E19" s="467" t="s">
        <v>312</v>
      </c>
      <c r="F19" s="467"/>
      <c r="G19" s="467" t="s">
        <v>313</v>
      </c>
      <c r="H19" s="467"/>
      <c r="I19" s="467" t="s">
        <v>314</v>
      </c>
      <c r="J19" s="467"/>
      <c r="K19" s="467" t="s">
        <v>315</v>
      </c>
      <c r="L19" s="467"/>
      <c r="M19" s="201" t="s">
        <v>213</v>
      </c>
      <c r="N19" s="199" t="s">
        <v>316</v>
      </c>
      <c r="O19" s="222" t="s">
        <v>317</v>
      </c>
      <c r="P19" s="78"/>
      <c r="Q19" s="199" t="s">
        <v>318</v>
      </c>
    </row>
    <row r="20" spans="1:18" s="76" customFormat="1" ht="14.45" x14ac:dyDescent="0.3">
      <c r="A20" s="210"/>
      <c r="B20" s="109"/>
      <c r="C20" s="202" t="s">
        <v>168</v>
      </c>
      <c r="D20" s="202" t="s">
        <v>171</v>
      </c>
      <c r="E20" s="202" t="s">
        <v>168</v>
      </c>
      <c r="F20" s="202" t="s">
        <v>171</v>
      </c>
      <c r="G20" s="202" t="s">
        <v>168</v>
      </c>
      <c r="H20" s="202" t="s">
        <v>171</v>
      </c>
      <c r="I20" s="202" t="s">
        <v>168</v>
      </c>
      <c r="J20" s="202" t="s">
        <v>171</v>
      </c>
      <c r="K20" s="202" t="s">
        <v>168</v>
      </c>
      <c r="L20" s="202" t="s">
        <v>171</v>
      </c>
      <c r="M20" s="109"/>
      <c r="N20" s="109"/>
      <c r="O20" s="223"/>
      <c r="Q20" s="109"/>
    </row>
    <row r="21" spans="1:18" ht="14.45" x14ac:dyDescent="0.3">
      <c r="B21" s="62"/>
      <c r="C21" s="62"/>
      <c r="D21" s="62"/>
      <c r="E21" s="62"/>
      <c r="F21" s="62"/>
      <c r="G21" s="62"/>
      <c r="H21" s="62"/>
      <c r="I21" s="62"/>
      <c r="J21" s="62"/>
      <c r="K21" s="62"/>
      <c r="L21" s="62"/>
      <c r="M21" s="109"/>
      <c r="N21" s="62"/>
      <c r="O21" s="224"/>
      <c r="Q21" s="62"/>
    </row>
    <row r="22" spans="1:18" ht="14.45" x14ac:dyDescent="0.3">
      <c r="A22" s="299" t="s">
        <v>319</v>
      </c>
      <c r="B22" s="62" t="str">
        <f>'4. Billing Det. for Def-Var'!B17</f>
        <v>RESIDENTIAL</v>
      </c>
      <c r="C22" s="258">
        <f>'4. Billing Det. for Def-Var'!D17-'4. Billing Det. for Def-Var'!H17</f>
        <v>1537580328.6899991</v>
      </c>
      <c r="D22" s="258">
        <f>'4. Billing Det. for Def-Var'!E17-'4. Billing Det. for Def-Var'!I17</f>
        <v>0</v>
      </c>
      <c r="E22" s="258">
        <f>'6. GA Calculation'!E17</f>
        <v>0</v>
      </c>
      <c r="F22" s="197"/>
      <c r="G22" s="258">
        <f>'6. GA Calculation'!G17</f>
        <v>0</v>
      </c>
      <c r="H22" s="197"/>
      <c r="I22" s="258">
        <f>'6. GA Calculation'!H17</f>
        <v>0</v>
      </c>
      <c r="J22" s="197"/>
      <c r="K22" s="258">
        <f>C22-E22-G22-I22</f>
        <v>1537580328.6899991</v>
      </c>
      <c r="L22" s="258">
        <f>D22-F22-H22-J22</f>
        <v>0</v>
      </c>
      <c r="M22" s="261">
        <f>IFERROR(K22/K$34,"")</f>
        <v>0.44397630077529832</v>
      </c>
      <c r="N22" s="205">
        <f>IFERROR(N$34*M22,"")</f>
        <v>-23888.6753339069</v>
      </c>
      <c r="O22" s="225">
        <v>0</v>
      </c>
      <c r="P22" s="136" t="s">
        <v>218</v>
      </c>
      <c r="Q22" s="206">
        <f>ROUND(IFERROR(IF(P22="kwh",N22/K22,N22/L22),0),5)</f>
        <v>-2.0000000000000002E-5</v>
      </c>
      <c r="R22" s="278"/>
    </row>
    <row r="23" spans="1:18" ht="14.45" x14ac:dyDescent="0.3">
      <c r="A23" s="299" t="s">
        <v>320</v>
      </c>
      <c r="B23" s="62" t="str">
        <f>'4. Billing Det. for Def-Var'!B18</f>
        <v>GENERAL SERVICE LESS THAN 50 KW</v>
      </c>
      <c r="C23" s="258">
        <f>'4. Billing Det. for Def-Var'!D18-'4. Billing Det. for Def-Var'!H18</f>
        <v>558828431.00972259</v>
      </c>
      <c r="D23" s="258">
        <f>'4. Billing Det. for Def-Var'!E18-'4. Billing Det. for Def-Var'!I18</f>
        <v>0</v>
      </c>
      <c r="E23" s="258">
        <f>'6. GA Calculation'!E18</f>
        <v>0</v>
      </c>
      <c r="F23" s="197"/>
      <c r="G23" s="258">
        <f>'6. GA Calculation'!G18</f>
        <v>0</v>
      </c>
      <c r="H23" s="197"/>
      <c r="I23" s="258">
        <f>'6. GA Calculation'!H18</f>
        <v>0</v>
      </c>
      <c r="J23" s="197"/>
      <c r="K23" s="258">
        <f t="shared" ref="K23:K29" si="0">C23-E23-G23-I23</f>
        <v>558828431.00972259</v>
      </c>
      <c r="L23" s="258">
        <f t="shared" ref="L23:L29" si="1">D23-F23-H23-J23</f>
        <v>0</v>
      </c>
      <c r="M23" s="261">
        <f t="shared" ref="M23:M29" si="2">IFERROR(K23/K$34,"")</f>
        <v>0.16136170249989126</v>
      </c>
      <c r="N23" s="205">
        <f t="shared" ref="N23:N29" si="3">IFERROR(N$34*M23,"")</f>
        <v>-8682.2592008065167</v>
      </c>
      <c r="O23" s="225">
        <v>0</v>
      </c>
      <c r="P23" s="136" t="s">
        <v>218</v>
      </c>
      <c r="Q23" s="206">
        <f t="shared" ref="Q23:Q29" si="4">ROUND(IFERROR(IF(P23="kwh",N23/K23,N23/L23),0),5)</f>
        <v>-2.0000000000000002E-5</v>
      </c>
    </row>
    <row r="24" spans="1:18" ht="14.45" x14ac:dyDescent="0.3">
      <c r="A24" s="299" t="s">
        <v>321</v>
      </c>
      <c r="B24" s="62" t="str">
        <f>'4. Billing Det. for Def-Var'!B19</f>
        <v>GENERAL SERVICE 50 TO 4,999 KW</v>
      </c>
      <c r="C24" s="258">
        <f>'4. Billing Det. for Def-Var'!D19-'4. Billing Det. for Def-Var'!H19</f>
        <v>1751908545.0163753</v>
      </c>
      <c r="D24" s="258">
        <f>'4. Billing Det. for Def-Var'!E19-'4. Billing Det. for Def-Var'!I19</f>
        <v>4824433.3829784254</v>
      </c>
      <c r="E24" s="258">
        <f>'6. GA Calculation'!E19</f>
        <v>294613747</v>
      </c>
      <c r="F24" s="197">
        <v>674039.68999999983</v>
      </c>
      <c r="G24" s="258">
        <f>'6. GA Calculation'!G19</f>
        <v>127847550</v>
      </c>
      <c r="H24" s="197">
        <v>337632.35</v>
      </c>
      <c r="I24" s="258">
        <f>'6. GA Calculation'!H19</f>
        <v>5633530</v>
      </c>
      <c r="J24" s="197">
        <v>13722.77</v>
      </c>
      <c r="K24" s="258">
        <f t="shared" si="0"/>
        <v>1323813718.0163753</v>
      </c>
      <c r="L24" s="258">
        <f t="shared" si="1"/>
        <v>3799038.5729784253</v>
      </c>
      <c r="M24" s="261">
        <f t="shared" si="2"/>
        <v>0.38225119460344137</v>
      </c>
      <c r="N24" s="205">
        <f t="shared" si="3"/>
        <v>-20567.482246087777</v>
      </c>
      <c r="O24" s="225">
        <v>0</v>
      </c>
      <c r="P24" s="136" t="s">
        <v>171</v>
      </c>
      <c r="Q24" s="206">
        <f t="shared" si="4"/>
        <v>-5.4099999999999999E-3</v>
      </c>
      <c r="R24" s="278"/>
    </row>
    <row r="25" spans="1:18" ht="14.45" x14ac:dyDescent="0.3">
      <c r="A25" s="299" t="s">
        <v>322</v>
      </c>
      <c r="B25" s="62" t="str">
        <f>'4. Billing Det. for Def-Var'!B20</f>
        <v>LARGE USE (1)</v>
      </c>
      <c r="C25" s="258">
        <f>'4. Billing Det. for Def-Var'!D20-'4. Billing Det. for Def-Var'!H20</f>
        <v>185572728.49602383</v>
      </c>
      <c r="D25" s="258">
        <f>'4. Billing Det. for Def-Var'!E20-'4. Billing Det. for Def-Var'!I20</f>
        <v>338314.53215999994</v>
      </c>
      <c r="E25" s="258">
        <f>'6. GA Calculation'!E20</f>
        <v>185572728.49602383</v>
      </c>
      <c r="F25" s="197">
        <v>338314.53215999994</v>
      </c>
      <c r="G25" s="258">
        <f>'6. GA Calculation'!G20</f>
        <v>0</v>
      </c>
      <c r="H25" s="197">
        <v>0</v>
      </c>
      <c r="I25" s="258">
        <f>'6. GA Calculation'!H20</f>
        <v>0</v>
      </c>
      <c r="J25" s="197">
        <v>0</v>
      </c>
      <c r="K25" s="258">
        <f t="shared" si="0"/>
        <v>0</v>
      </c>
      <c r="L25" s="258">
        <f t="shared" si="1"/>
        <v>0</v>
      </c>
      <c r="M25" s="261">
        <f t="shared" si="2"/>
        <v>0</v>
      </c>
      <c r="N25" s="205">
        <f t="shared" si="3"/>
        <v>0</v>
      </c>
      <c r="O25" s="225">
        <v>0</v>
      </c>
      <c r="P25" s="136" t="s">
        <v>171</v>
      </c>
      <c r="Q25" s="206">
        <f t="shared" si="4"/>
        <v>0</v>
      </c>
      <c r="R25" s="278"/>
    </row>
    <row r="26" spans="1:18" ht="14.45" x14ac:dyDescent="0.3">
      <c r="A26" s="299" t="s">
        <v>323</v>
      </c>
      <c r="B26" s="62" t="str">
        <f>'4. Billing Det. for Def-Var'!B21</f>
        <v>LARGE USE (2)</v>
      </c>
      <c r="C26" s="258">
        <f>'4. Billing Det. for Def-Var'!D21-'4. Billing Det. for Def-Var'!H21</f>
        <v>307375989.7355864</v>
      </c>
      <c r="D26" s="258">
        <f>'4. Billing Det. for Def-Var'!E21-'4. Billing Det. for Def-Var'!I21</f>
        <v>790236.97796000005</v>
      </c>
      <c r="E26" s="258">
        <f>'6. GA Calculation'!E21</f>
        <v>307375989.7355864</v>
      </c>
      <c r="F26" s="197">
        <v>790236.97796000005</v>
      </c>
      <c r="G26" s="258">
        <f>'6. GA Calculation'!G21</f>
        <v>0</v>
      </c>
      <c r="H26" s="197"/>
      <c r="I26" s="258">
        <f>'6. GA Calculation'!H21</f>
        <v>0</v>
      </c>
      <c r="J26" s="197"/>
      <c r="K26" s="258">
        <f t="shared" si="0"/>
        <v>0</v>
      </c>
      <c r="L26" s="258">
        <f t="shared" si="1"/>
        <v>0</v>
      </c>
      <c r="M26" s="261">
        <f t="shared" si="2"/>
        <v>0</v>
      </c>
      <c r="N26" s="205">
        <f t="shared" si="3"/>
        <v>0</v>
      </c>
      <c r="O26" s="225">
        <v>0</v>
      </c>
      <c r="P26" s="136" t="s">
        <v>171</v>
      </c>
      <c r="Q26" s="206">
        <f t="shared" si="4"/>
        <v>0</v>
      </c>
    </row>
    <row r="27" spans="1:18" ht="14.45" x14ac:dyDescent="0.3">
      <c r="A27" s="299" t="s">
        <v>324</v>
      </c>
      <c r="B27" s="62" t="str">
        <f>'4. Billing Det. for Def-Var'!B22</f>
        <v>UNMETERED SCATTERED LOAD</v>
      </c>
      <c r="C27" s="258">
        <f>'4. Billing Det. for Def-Var'!D22-'4. Billing Det. for Def-Var'!H22</f>
        <v>11347508.416576881</v>
      </c>
      <c r="D27" s="258">
        <f>'4. Billing Det. for Def-Var'!E22-'4. Billing Det. for Def-Var'!I22</f>
        <v>0</v>
      </c>
      <c r="E27" s="258">
        <f>'6. GA Calculation'!E22</f>
        <v>0</v>
      </c>
      <c r="F27" s="197"/>
      <c r="G27" s="258">
        <f>'6. GA Calculation'!G22</f>
        <v>0</v>
      </c>
      <c r="H27" s="197"/>
      <c r="I27" s="258">
        <f>'6. GA Calculation'!H22</f>
        <v>0</v>
      </c>
      <c r="J27" s="197"/>
      <c r="K27" s="258">
        <f t="shared" si="0"/>
        <v>11347508.416576881</v>
      </c>
      <c r="L27" s="258">
        <f t="shared" si="1"/>
        <v>0</v>
      </c>
      <c r="M27" s="261">
        <f t="shared" si="2"/>
        <v>3.2765929140760445E-3</v>
      </c>
      <c r="N27" s="205">
        <f t="shared" si="3"/>
        <v>-176.30099667269778</v>
      </c>
      <c r="O27" s="225">
        <v>0</v>
      </c>
      <c r="P27" s="136" t="s">
        <v>168</v>
      </c>
      <c r="Q27" s="206">
        <f t="shared" si="4"/>
        <v>-2.0000000000000002E-5</v>
      </c>
      <c r="R27" s="279"/>
    </row>
    <row r="28" spans="1:18" ht="14.45" x14ac:dyDescent="0.3">
      <c r="A28" s="299" t="s">
        <v>325</v>
      </c>
      <c r="B28" s="62" t="str">
        <f>'4. Billing Det. for Def-Var'!B23</f>
        <v>SENTINEL LIGHTING</v>
      </c>
      <c r="C28" s="258">
        <f>'4. Billing Det. for Def-Var'!D23-'4. Billing Det. for Def-Var'!H23</f>
        <v>439954.02282899455</v>
      </c>
      <c r="D28" s="258">
        <f>'4. Billing Det. for Def-Var'!E23-'4. Billing Det. for Def-Var'!I23</f>
        <v>946.91011767210034</v>
      </c>
      <c r="E28" s="258">
        <f>'6. GA Calculation'!E23</f>
        <v>0</v>
      </c>
      <c r="F28" s="197"/>
      <c r="G28" s="258">
        <f>'6. GA Calculation'!G23</f>
        <v>0</v>
      </c>
      <c r="H28" s="197"/>
      <c r="I28" s="258">
        <f>'6. GA Calculation'!H23</f>
        <v>0</v>
      </c>
      <c r="J28" s="197"/>
      <c r="K28" s="258">
        <f t="shared" si="0"/>
        <v>439954.02282899455</v>
      </c>
      <c r="L28" s="258">
        <f t="shared" si="1"/>
        <v>946.91011767210034</v>
      </c>
      <c r="M28" s="261">
        <f>IFERROR(K28/K$34,"")</f>
        <v>1.2703671861700154E-4</v>
      </c>
      <c r="N28" s="205">
        <f t="shared" si="3"/>
        <v>-6.8353624308932508</v>
      </c>
      <c r="O28" s="225">
        <v>0</v>
      </c>
      <c r="P28" s="136" t="s">
        <v>171</v>
      </c>
      <c r="Q28" s="206">
        <f t="shared" si="4"/>
        <v>-7.2199999999999999E-3</v>
      </c>
      <c r="R28" s="279"/>
    </row>
    <row r="29" spans="1:18" ht="14.45" x14ac:dyDescent="0.3">
      <c r="A29" s="299" t="s">
        <v>326</v>
      </c>
      <c r="B29" s="62" t="str">
        <f>'4. Billing Det. for Def-Var'!B24</f>
        <v>STREET LIGHTING</v>
      </c>
      <c r="C29" s="258">
        <f>'4. Billing Det. for Def-Var'!D24-'4. Billing Det. for Def-Var'!H24</f>
        <v>31193672.300799686</v>
      </c>
      <c r="D29" s="258">
        <f>'4. Billing Det. for Def-Var'!E24-'4. Billing Det. for Def-Var'!I24</f>
        <v>87344.171000000002</v>
      </c>
      <c r="E29" s="258">
        <f>'6. GA Calculation'!E24</f>
        <v>0</v>
      </c>
      <c r="F29" s="197"/>
      <c r="G29" s="258">
        <f>'6. GA Calculation'!G24</f>
        <v>0</v>
      </c>
      <c r="H29" s="197"/>
      <c r="I29" s="258">
        <f>'6. GA Calculation'!H24</f>
        <v>0</v>
      </c>
      <c r="J29" s="197"/>
      <c r="K29" s="258">
        <f t="shared" si="0"/>
        <v>31193672.300799686</v>
      </c>
      <c r="L29" s="258">
        <f t="shared" si="1"/>
        <v>87344.171000000002</v>
      </c>
      <c r="M29" s="261">
        <f t="shared" si="2"/>
        <v>9.0071724886759824E-3</v>
      </c>
      <c r="N29" s="205">
        <f t="shared" si="3"/>
        <v>-484.64167768130164</v>
      </c>
      <c r="O29" s="225">
        <v>0</v>
      </c>
      <c r="P29" s="136" t="s">
        <v>171</v>
      </c>
      <c r="Q29" s="206">
        <f t="shared" si="4"/>
        <v>-5.5500000000000002E-3</v>
      </c>
      <c r="R29" s="279"/>
    </row>
    <row r="30" spans="1:18" ht="14.45" x14ac:dyDescent="0.3">
      <c r="A30" s="299"/>
      <c r="B30" s="62"/>
      <c r="C30" s="258"/>
      <c r="D30" s="258"/>
      <c r="E30" s="258"/>
      <c r="F30" s="197"/>
      <c r="G30" s="258"/>
      <c r="H30" s="197"/>
      <c r="I30" s="258"/>
      <c r="J30" s="197"/>
      <c r="K30" s="258"/>
      <c r="L30" s="203"/>
      <c r="M30" s="260"/>
      <c r="N30" s="205"/>
      <c r="O30" s="206"/>
    </row>
    <row r="31" spans="1:18" ht="14.45" x14ac:dyDescent="0.3">
      <c r="B31" s="62"/>
      <c r="C31" s="258"/>
      <c r="D31" s="258"/>
      <c r="E31" s="258"/>
      <c r="F31" s="197"/>
      <c r="G31" s="258"/>
      <c r="H31" s="197"/>
      <c r="I31" s="258"/>
      <c r="J31" s="197"/>
      <c r="K31" s="258"/>
      <c r="L31" s="203"/>
      <c r="M31" s="260"/>
      <c r="N31" s="205"/>
      <c r="O31" s="206"/>
    </row>
    <row r="32" spans="1:18" ht="14.45" x14ac:dyDescent="0.3">
      <c r="B32" s="62"/>
      <c r="C32" s="258"/>
      <c r="D32" s="258"/>
      <c r="E32" s="258"/>
      <c r="F32" s="197"/>
      <c r="G32" s="258"/>
      <c r="H32" s="197"/>
      <c r="I32" s="258"/>
      <c r="J32" s="197"/>
      <c r="K32" s="258"/>
      <c r="L32" s="203"/>
      <c r="M32" s="260"/>
      <c r="N32" s="205"/>
      <c r="O32" s="206"/>
    </row>
    <row r="33" spans="1:16" thickBot="1" x14ac:dyDescent="0.35">
      <c r="B33" s="62"/>
      <c r="C33" s="272"/>
      <c r="D33" s="272"/>
      <c r="E33" s="258"/>
      <c r="F33" s="197"/>
      <c r="G33" s="258"/>
      <c r="H33" s="197"/>
      <c r="I33" s="258"/>
      <c r="J33" s="197"/>
      <c r="K33" s="258"/>
      <c r="L33" s="203"/>
      <c r="M33" s="260"/>
      <c r="N33" s="205"/>
      <c r="O33" s="206"/>
    </row>
    <row r="34" spans="1:16" s="77" customFormat="1" ht="30" customHeight="1" x14ac:dyDescent="0.3">
      <c r="A34" s="209"/>
      <c r="B34" s="198"/>
      <c r="C34" s="344">
        <f>SUM(C22:C33)</f>
        <v>4384247157.6879129</v>
      </c>
      <c r="D34" s="344">
        <f t="shared" ref="D34:M34" si="5">SUM(D22:D33)</f>
        <v>6041275.974216097</v>
      </c>
      <c r="E34" s="344">
        <f t="shared" si="5"/>
        <v>787562465.2316103</v>
      </c>
      <c r="F34" s="344">
        <f t="shared" si="5"/>
        <v>1802591.2001199997</v>
      </c>
      <c r="G34" s="344">
        <f t="shared" si="5"/>
        <v>127847550</v>
      </c>
      <c r="H34" s="344">
        <f t="shared" si="5"/>
        <v>337632.35</v>
      </c>
      <c r="I34" s="344">
        <f t="shared" ref="I34:J34" si="6">SUM(I22:I33)</f>
        <v>5633530</v>
      </c>
      <c r="J34" s="344">
        <f t="shared" si="6"/>
        <v>13722.77</v>
      </c>
      <c r="K34" s="344">
        <f t="shared" si="5"/>
        <v>3463203612.4563026</v>
      </c>
      <c r="L34" s="344">
        <f t="shared" si="5"/>
        <v>3887329.6540960977</v>
      </c>
      <c r="M34" s="354">
        <f t="shared" si="5"/>
        <v>1</v>
      </c>
      <c r="N34" s="342">
        <f>'7B. CBR Allocation_new Class B'!D28</f>
        <v>-53806.194817586089</v>
      </c>
      <c r="O34" s="345"/>
      <c r="P34" s="78"/>
    </row>
    <row r="35" spans="1:16" ht="14.45" x14ac:dyDescent="0.3">
      <c r="B35" s="62"/>
      <c r="C35" s="62"/>
      <c r="D35" s="62"/>
      <c r="E35" s="62"/>
      <c r="F35" s="62"/>
      <c r="G35" s="62"/>
      <c r="H35" s="62"/>
      <c r="I35" s="62"/>
      <c r="J35" s="62"/>
      <c r="K35" s="62"/>
      <c r="L35" s="62"/>
      <c r="M35" s="62"/>
      <c r="N35" s="253" t="s">
        <v>327</v>
      </c>
      <c r="O35" s="62"/>
    </row>
    <row r="36" spans="1:16" ht="14.45" customHeight="1" thickBot="1" x14ac:dyDescent="0.35">
      <c r="B36" s="62"/>
      <c r="C36" s="62"/>
      <c r="D36" s="62"/>
      <c r="E36" s="62"/>
      <c r="F36" s="62"/>
      <c r="G36" s="62"/>
      <c r="H36" s="62"/>
      <c r="I36" s="62"/>
      <c r="J36" s="203"/>
      <c r="K36" s="62"/>
      <c r="L36" s="62"/>
      <c r="M36" s="62"/>
      <c r="N36" s="62"/>
      <c r="O36" s="62"/>
    </row>
    <row r="37" spans="1:16" ht="14.45" customHeight="1" x14ac:dyDescent="0.25">
      <c r="B37" s="62" t="s">
        <v>328</v>
      </c>
      <c r="C37" s="62"/>
      <c r="D37" s="62"/>
      <c r="E37" s="62"/>
      <c r="F37" s="62"/>
      <c r="G37" s="62"/>
      <c r="H37" s="62"/>
      <c r="I37" s="458" t="s">
        <v>329</v>
      </c>
      <c r="J37" s="459"/>
      <c r="K37" s="459"/>
      <c r="L37" s="459"/>
      <c r="M37" s="459"/>
      <c r="N37" s="459"/>
      <c r="O37" s="460"/>
    </row>
    <row r="38" spans="1:16" ht="14.45" customHeight="1" x14ac:dyDescent="0.25">
      <c r="B38" s="107"/>
      <c r="C38" s="107"/>
      <c r="I38" s="461"/>
      <c r="J38" s="462"/>
      <c r="K38" s="462"/>
      <c r="L38" s="462"/>
      <c r="M38" s="462"/>
      <c r="N38" s="462"/>
      <c r="O38" s="463"/>
    </row>
    <row r="39" spans="1:16" x14ac:dyDescent="0.25">
      <c r="I39" s="461"/>
      <c r="J39" s="462"/>
      <c r="K39" s="462"/>
      <c r="L39" s="462"/>
      <c r="M39" s="462"/>
      <c r="N39" s="462"/>
      <c r="O39" s="463"/>
    </row>
    <row r="40" spans="1:16" x14ac:dyDescent="0.25">
      <c r="I40" s="461"/>
      <c r="J40" s="462"/>
      <c r="K40" s="462"/>
      <c r="L40" s="462"/>
      <c r="M40" s="462"/>
      <c r="N40" s="462"/>
      <c r="O40" s="463"/>
    </row>
    <row r="41" spans="1:16" x14ac:dyDescent="0.25">
      <c r="I41" s="461"/>
      <c r="J41" s="462"/>
      <c r="K41" s="462"/>
      <c r="L41" s="462"/>
      <c r="M41" s="462"/>
      <c r="N41" s="462"/>
      <c r="O41" s="463"/>
    </row>
    <row r="42" spans="1:16" x14ac:dyDescent="0.25">
      <c r="I42" s="461"/>
      <c r="J42" s="462"/>
      <c r="K42" s="462"/>
      <c r="L42" s="462"/>
      <c r="M42" s="462"/>
      <c r="N42" s="462"/>
      <c r="O42" s="463"/>
    </row>
    <row r="43" spans="1:16" x14ac:dyDescent="0.25">
      <c r="I43" s="461"/>
      <c r="J43" s="462"/>
      <c r="K43" s="462"/>
      <c r="L43" s="462"/>
      <c r="M43" s="462"/>
      <c r="N43" s="462"/>
      <c r="O43" s="463"/>
    </row>
    <row r="44" spans="1:16" x14ac:dyDescent="0.25">
      <c r="I44" s="461"/>
      <c r="J44" s="462"/>
      <c r="K44" s="462"/>
      <c r="L44" s="462"/>
      <c r="M44" s="462"/>
      <c r="N44" s="462"/>
      <c r="O44" s="463"/>
    </row>
    <row r="45" spans="1:16" x14ac:dyDescent="0.25">
      <c r="I45" s="461"/>
      <c r="J45" s="462"/>
      <c r="K45" s="462"/>
      <c r="L45" s="462"/>
      <c r="M45" s="462"/>
      <c r="N45" s="462"/>
      <c r="O45" s="463"/>
    </row>
    <row r="46" spans="1:16" x14ac:dyDescent="0.25">
      <c r="I46" s="461"/>
      <c r="J46" s="462"/>
      <c r="K46" s="462"/>
      <c r="L46" s="462"/>
      <c r="M46" s="462"/>
      <c r="N46" s="462"/>
      <c r="O46" s="463"/>
    </row>
    <row r="47" spans="1:16" x14ac:dyDescent="0.25">
      <c r="I47" s="461"/>
      <c r="J47" s="462"/>
      <c r="K47" s="462"/>
      <c r="L47" s="462"/>
      <c r="M47" s="462"/>
      <c r="N47" s="462"/>
      <c r="O47" s="463"/>
    </row>
    <row r="48" spans="1:16" ht="15.75" thickBot="1" x14ac:dyDescent="0.3">
      <c r="I48" s="464"/>
      <c r="J48" s="465"/>
      <c r="K48" s="465"/>
      <c r="L48" s="465"/>
      <c r="M48" s="465"/>
      <c r="N48" s="465"/>
      <c r="O48" s="466"/>
    </row>
  </sheetData>
  <mergeCells count="8">
    <mergeCell ref="I37:O48"/>
    <mergeCell ref="B2:G9"/>
    <mergeCell ref="B13:N13"/>
    <mergeCell ref="C19:D19"/>
    <mergeCell ref="E19:F19"/>
    <mergeCell ref="G19:H19"/>
    <mergeCell ref="K19:L19"/>
    <mergeCell ref="I19:J19"/>
  </mergeCells>
  <hyperlinks>
    <hyperlink ref="A1" location="Index" display="Back to Index"/>
  </hyperlinks>
  <pageMargins left="0.7" right="0.7" top="0.75" bottom="0.75" header="0.3" footer="0.3"/>
  <pageSetup scale="36" orientation="landscape" r:id="rId1"/>
  <colBreaks count="1" manualBreakCount="1">
    <brk id="15" max="1048575" man="1"/>
  </colBreaks>
  <ignoredErrors>
    <ignoredError sqref="G22:G29 C22:E29 I22:I23 I25:I29 K22:L29 I2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0"/>
  <sheetViews>
    <sheetView view="pageBreakPreview" topLeftCell="A10" zoomScale="70" zoomScaleNormal="70" zoomScaleSheetLayoutView="70" workbookViewId="0">
      <selection activeCell="E24" sqref="E24"/>
    </sheetView>
  </sheetViews>
  <sheetFormatPr defaultColWidth="9.140625" defaultRowHeight="15" outlineLevelRow="1" outlineLevelCol="1" x14ac:dyDescent="0.25"/>
  <cols>
    <col min="1" max="1" width="10.5703125" style="107" bestFit="1" customWidth="1"/>
    <col min="2" max="2" width="49.42578125" customWidth="1"/>
    <col min="3" max="3" width="9.7109375" customWidth="1"/>
    <col min="4" max="5" width="28.5703125" customWidth="1"/>
    <col min="6" max="6" width="28.5703125" hidden="1" customWidth="1" outlineLevel="1"/>
    <col min="7" max="10" width="11.140625" hidden="1" customWidth="1" outlineLevel="1"/>
    <col min="11" max="11" width="9.42578125" bestFit="1" customWidth="1" collapsed="1"/>
    <col min="12" max="13" width="20.5703125" customWidth="1"/>
    <col min="16" max="16" width="32.28515625" customWidth="1"/>
  </cols>
  <sheetData>
    <row r="1" spans="1:11" ht="14.45" x14ac:dyDescent="0.3">
      <c r="A1" s="162" t="s">
        <v>0</v>
      </c>
      <c r="B1" s="162"/>
    </row>
    <row r="2" spans="1:11" ht="15" customHeight="1" x14ac:dyDescent="0.25">
      <c r="B2" s="356" t="str">
        <f>+'1. Information Sheet'!B2</f>
        <v>INCENTIVE REGULATION MODEL FOR 2019 FILERS</v>
      </c>
      <c r="C2" s="356"/>
      <c r="D2" s="356"/>
      <c r="E2" s="356"/>
      <c r="F2" s="356"/>
      <c r="G2" s="356"/>
      <c r="H2" s="356"/>
    </row>
    <row r="3" spans="1:11" ht="15" customHeight="1" x14ac:dyDescent="0.25">
      <c r="B3" s="356"/>
      <c r="C3" s="356"/>
      <c r="D3" s="356"/>
      <c r="E3" s="356"/>
      <c r="F3" s="356"/>
      <c r="G3" s="356"/>
      <c r="H3" s="356"/>
    </row>
    <row r="4" spans="1:11" ht="15" customHeight="1" x14ac:dyDescent="0.25">
      <c r="B4" s="356"/>
      <c r="C4" s="356"/>
      <c r="D4" s="356"/>
      <c r="E4" s="356"/>
      <c r="F4" s="356"/>
      <c r="G4" s="356"/>
      <c r="H4" s="356"/>
    </row>
    <row r="5" spans="1:11" ht="15" customHeight="1" x14ac:dyDescent="0.25">
      <c r="B5" s="356"/>
      <c r="C5" s="356"/>
      <c r="D5" s="356"/>
      <c r="E5" s="356"/>
      <c r="F5" s="356"/>
      <c r="G5" s="356"/>
      <c r="H5" s="356"/>
    </row>
    <row r="6" spans="1:11" ht="15" customHeight="1" x14ac:dyDescent="0.25">
      <c r="B6" s="356"/>
      <c r="C6" s="356"/>
      <c r="D6" s="356"/>
      <c r="E6" s="356"/>
      <c r="F6" s="356"/>
      <c r="G6" s="356"/>
      <c r="H6" s="356"/>
    </row>
    <row r="7" spans="1:11" ht="15" customHeight="1" x14ac:dyDescent="0.25">
      <c r="B7" s="356"/>
      <c r="C7" s="356"/>
      <c r="D7" s="356"/>
      <c r="E7" s="356"/>
      <c r="F7" s="356"/>
      <c r="G7" s="356"/>
      <c r="H7" s="356"/>
    </row>
    <row r="8" spans="1:11" ht="15" customHeight="1" x14ac:dyDescent="0.25">
      <c r="B8" s="356"/>
      <c r="C8" s="356"/>
      <c r="D8" s="356"/>
      <c r="E8" s="356"/>
      <c r="F8" s="356"/>
      <c r="G8" s="356"/>
      <c r="H8" s="356"/>
    </row>
    <row r="9" spans="1:11" ht="15" customHeight="1" x14ac:dyDescent="0.25">
      <c r="B9" s="356"/>
      <c r="C9" s="356"/>
      <c r="D9" s="356"/>
      <c r="E9" s="356"/>
      <c r="F9" s="356"/>
      <c r="G9" s="356"/>
      <c r="H9" s="356"/>
    </row>
    <row r="12" spans="1:11" ht="78.75" customHeight="1" x14ac:dyDescent="0.3">
      <c r="B12" s="452" t="s">
        <v>330</v>
      </c>
      <c r="C12" s="452"/>
      <c r="D12" s="452"/>
      <c r="E12" s="452"/>
      <c r="F12" s="453"/>
      <c r="G12" s="453"/>
    </row>
    <row r="13" spans="1:11" ht="14.45" x14ac:dyDescent="0.3">
      <c r="B13" s="134"/>
      <c r="C13" s="134"/>
      <c r="D13" s="134"/>
      <c r="E13" s="134"/>
      <c r="F13" s="84"/>
      <c r="G13" s="84"/>
    </row>
    <row r="14" spans="1:11" ht="45.75" customHeight="1" x14ac:dyDescent="0.3">
      <c r="B14" s="135" t="s">
        <v>223</v>
      </c>
      <c r="C14" s="175">
        <v>2016</v>
      </c>
      <c r="D14" s="262"/>
      <c r="E14" s="263"/>
      <c r="F14" s="263"/>
      <c r="G14" s="263"/>
      <c r="H14" s="263"/>
      <c r="I14" s="263"/>
      <c r="J14" s="263"/>
      <c r="K14" s="263"/>
    </row>
    <row r="15" spans="1:11" ht="14.45" x14ac:dyDescent="0.3">
      <c r="B15" s="134"/>
      <c r="C15" s="134"/>
      <c r="D15" s="134"/>
      <c r="E15" s="134"/>
      <c r="F15" s="84"/>
      <c r="G15" s="84"/>
    </row>
    <row r="16" spans="1:11" ht="34.5" customHeight="1" x14ac:dyDescent="0.3">
      <c r="B16" s="451" t="s">
        <v>225</v>
      </c>
      <c r="C16" s="451"/>
      <c r="D16" s="451"/>
      <c r="E16" s="451"/>
      <c r="F16" s="451"/>
      <c r="G16" s="451"/>
      <c r="J16" s="136"/>
    </row>
    <row r="17" spans="1:16" ht="17.25" customHeight="1" thickBot="1" x14ac:dyDescent="0.35">
      <c r="C17" s="137"/>
      <c r="D17" s="138" t="s">
        <v>177</v>
      </c>
      <c r="E17" s="139">
        <v>2017</v>
      </c>
      <c r="F17" s="139">
        <v>2016</v>
      </c>
      <c r="G17" s="139"/>
      <c r="H17" s="139"/>
      <c r="I17" s="139"/>
      <c r="J17" s="140"/>
    </row>
    <row r="18" spans="1:16" s="77" customFormat="1" ht="27.6" thickBot="1" x14ac:dyDescent="0.35">
      <c r="A18" s="209"/>
      <c r="B18" s="141" t="s">
        <v>331</v>
      </c>
      <c r="C18" s="142" t="s">
        <v>227</v>
      </c>
      <c r="D18" s="347">
        <f>SUM(E18:J18)</f>
        <v>3596684692.4563026</v>
      </c>
      <c r="E18" s="143">
        <f>'7. CBR Calculation'!C34-'7. CBR Calculation'!E34</f>
        <v>3596684692.4563026</v>
      </c>
      <c r="F18" s="143"/>
      <c r="G18" s="143"/>
      <c r="H18" s="144"/>
      <c r="I18" s="145"/>
      <c r="J18" s="145"/>
    </row>
    <row r="19" spans="1:16" s="77" customFormat="1" thickBot="1" x14ac:dyDescent="0.35">
      <c r="A19" s="209"/>
      <c r="B19" s="141" t="s">
        <v>228</v>
      </c>
      <c r="C19" s="142" t="s">
        <v>229</v>
      </c>
      <c r="D19" s="347">
        <f>SUM(E19:J19)</f>
        <v>127847550</v>
      </c>
      <c r="E19" s="146">
        <f>E69</f>
        <v>127847550</v>
      </c>
      <c r="F19" s="146"/>
      <c r="G19" s="146"/>
      <c r="H19" s="146"/>
      <c r="I19" s="147"/>
      <c r="J19" s="147"/>
    </row>
    <row r="20" spans="1:16" s="77" customFormat="1" thickBot="1" x14ac:dyDescent="0.35">
      <c r="A20" s="209"/>
      <c r="B20" s="148" t="s">
        <v>230</v>
      </c>
      <c r="C20" s="149" t="s">
        <v>231</v>
      </c>
      <c r="D20" s="348">
        <f>IFERROR(+D19/D18,0)</f>
        <v>3.5545943259398811E-2</v>
      </c>
      <c r="E20" s="150"/>
      <c r="F20" s="150"/>
      <c r="G20" s="150"/>
      <c r="H20" s="151"/>
      <c r="I20" s="151"/>
      <c r="J20" s="151"/>
    </row>
    <row r="22" spans="1:16" ht="14.45" x14ac:dyDescent="0.3">
      <c r="D22" s="152"/>
      <c r="E22" s="152"/>
      <c r="F22" s="153"/>
      <c r="G22" s="152"/>
    </row>
    <row r="23" spans="1:16" ht="14.45" x14ac:dyDescent="0.3">
      <c r="B23" s="456" t="s">
        <v>332</v>
      </c>
      <c r="C23" s="456"/>
      <c r="D23" s="456"/>
      <c r="E23" s="282"/>
      <c r="G23" s="154"/>
    </row>
    <row r="24" spans="1:16" thickBot="1" x14ac:dyDescent="0.35">
      <c r="B24" s="155"/>
      <c r="C24" s="155"/>
      <c r="D24" s="136"/>
      <c r="E24" s="136"/>
      <c r="P24" s="154"/>
    </row>
    <row r="25" spans="1:16" thickBot="1" x14ac:dyDescent="0.35">
      <c r="B25" s="156" t="s">
        <v>333</v>
      </c>
      <c r="C25" s="174" t="s">
        <v>234</v>
      </c>
      <c r="D25" s="349">
        <f>'7. CBR Calculation'!C17</f>
        <v>-55880.028700500014</v>
      </c>
      <c r="E25" s="287"/>
    </row>
    <row r="26" spans="1:16" ht="27.6" thickBot="1" x14ac:dyDescent="0.35">
      <c r="B26" s="141" t="s">
        <v>334</v>
      </c>
      <c r="C26" s="142" t="s">
        <v>236</v>
      </c>
      <c r="D26" s="349">
        <f>+D20*D25</f>
        <v>-1986.3083295215506</v>
      </c>
      <c r="E26" s="287"/>
      <c r="F26" s="157"/>
    </row>
    <row r="27" spans="1:16" ht="40.9" thickBot="1" x14ac:dyDescent="0.35">
      <c r="B27" s="141" t="s">
        <v>335</v>
      </c>
      <c r="C27" s="142" t="s">
        <v>238</v>
      </c>
      <c r="D27" s="349">
        <f>+D25-D26</f>
        <v>-53893.720370978466</v>
      </c>
      <c r="E27" s="287"/>
      <c r="P27" t="s">
        <v>239</v>
      </c>
    </row>
    <row r="29" spans="1:16" ht="14.45" x14ac:dyDescent="0.3">
      <c r="B29" s="451" t="s">
        <v>336</v>
      </c>
      <c r="C29" s="451"/>
      <c r="D29" s="451"/>
      <c r="E29" s="451"/>
      <c r="F29" s="451"/>
    </row>
    <row r="30" spans="1:16" ht="14.45" x14ac:dyDescent="0.3">
      <c r="B30" s="259"/>
      <c r="C30" s="259"/>
      <c r="D30" s="259"/>
      <c r="E30" s="134"/>
      <c r="F30" s="134"/>
    </row>
    <row r="31" spans="1:16" ht="14.45" x14ac:dyDescent="0.3">
      <c r="B31" s="449" t="s">
        <v>241</v>
      </c>
      <c r="C31" s="450"/>
      <c r="D31" s="450"/>
      <c r="E31" s="251"/>
      <c r="F31" s="251"/>
      <c r="G31" s="251"/>
      <c r="H31" s="249"/>
      <c r="I31" s="249"/>
      <c r="J31" s="250"/>
      <c r="K31" s="237"/>
      <c r="L31" s="237"/>
      <c r="M31" s="237"/>
    </row>
    <row r="32" spans="1:16" ht="66.599999999999994" x14ac:dyDescent="0.3">
      <c r="B32" s="229" t="s">
        <v>242</v>
      </c>
      <c r="C32" s="229"/>
      <c r="D32" s="230" t="s">
        <v>243</v>
      </c>
      <c r="E32" s="294">
        <v>2017</v>
      </c>
      <c r="F32" s="273" t="s">
        <v>244</v>
      </c>
      <c r="G32" s="158"/>
      <c r="H32" s="158"/>
      <c r="I32" s="158"/>
      <c r="J32" s="158"/>
      <c r="K32" s="238" t="s">
        <v>249</v>
      </c>
      <c r="L32" s="239" t="s">
        <v>337</v>
      </c>
      <c r="M32" s="239" t="s">
        <v>251</v>
      </c>
    </row>
    <row r="33" spans="2:13" x14ac:dyDescent="0.25">
      <c r="B33" s="231" t="s">
        <v>252</v>
      </c>
      <c r="C33" s="231"/>
      <c r="D33" s="232">
        <f>SUM(E33:J33)</f>
        <v>1112523</v>
      </c>
      <c r="E33" s="160">
        <f>'6A. GA Allocation_Class A'!E33</f>
        <v>1112523</v>
      </c>
      <c r="F33" s="160"/>
      <c r="G33" s="159"/>
      <c r="H33" s="159"/>
      <c r="I33" s="159"/>
      <c r="J33" s="159"/>
      <c r="K33" s="240">
        <f t="shared" ref="K33:K43" si="0">IFERROR(+D33/$D$69,0)</f>
        <v>8.7019500960323452E-3</v>
      </c>
      <c r="L33" s="241">
        <f>+K33*$D$26</f>
        <v>-17.284755958829905</v>
      </c>
      <c r="M33" s="242">
        <f>+L33/12</f>
        <v>-1.440396329902492</v>
      </c>
    </row>
    <row r="34" spans="2:13" x14ac:dyDescent="0.25">
      <c r="B34" s="233" t="s">
        <v>253</v>
      </c>
      <c r="C34" s="233"/>
      <c r="D34" s="234">
        <f>SUM(E34:J34)</f>
        <v>11119481</v>
      </c>
      <c r="E34" s="160">
        <f>'6A. GA Allocation_Class A'!E34</f>
        <v>11119481</v>
      </c>
      <c r="F34" s="160"/>
      <c r="G34" s="160"/>
      <c r="H34" s="160"/>
      <c r="I34" s="160"/>
      <c r="J34" s="160"/>
      <c r="K34" s="243">
        <f t="shared" si="0"/>
        <v>8.6974533340685833E-2</v>
      </c>
      <c r="L34" s="244">
        <f t="shared" ref="L34:L43" si="1">+K34*$D$26</f>
        <v>-172.7582400308541</v>
      </c>
      <c r="M34" s="245">
        <f t="shared" ref="M34:M68" si="2">+L34/12</f>
        <v>-14.396520002571174</v>
      </c>
    </row>
    <row r="35" spans="2:13" outlineLevel="1" x14ac:dyDescent="0.25">
      <c r="B35" s="233" t="s">
        <v>254</v>
      </c>
      <c r="C35" s="233"/>
      <c r="D35" s="234">
        <f t="shared" ref="D35:D68" si="3">SUM(E35:J35)</f>
        <v>1259299</v>
      </c>
      <c r="E35" s="160">
        <f>'6A. GA Allocation_Class A'!E35</f>
        <v>1259299</v>
      </c>
      <c r="F35" s="160"/>
      <c r="G35" s="160"/>
      <c r="H35" s="160"/>
      <c r="I35" s="160"/>
      <c r="J35" s="160"/>
      <c r="K35" s="243">
        <f t="shared" si="0"/>
        <v>9.8500049472985598E-3</v>
      </c>
      <c r="L35" s="244">
        <f t="shared" si="1"/>
        <v>-19.56514687264761</v>
      </c>
      <c r="M35" s="245">
        <f t="shared" si="2"/>
        <v>-1.6304289060539674</v>
      </c>
    </row>
    <row r="36" spans="2:13" outlineLevel="1" x14ac:dyDescent="0.25">
      <c r="B36" s="233" t="s">
        <v>255</v>
      </c>
      <c r="C36" s="233"/>
      <c r="D36" s="234">
        <f t="shared" si="3"/>
        <v>2132444</v>
      </c>
      <c r="E36" s="160">
        <f>'6A. GA Allocation_Class A'!E36</f>
        <v>2132444</v>
      </c>
      <c r="F36" s="160"/>
      <c r="G36" s="160"/>
      <c r="H36" s="160"/>
      <c r="I36" s="160"/>
      <c r="J36" s="160"/>
      <c r="K36" s="243">
        <f t="shared" si="0"/>
        <v>1.6679584395633707E-2</v>
      </c>
      <c r="L36" s="244">
        <f t="shared" si="1"/>
        <v>-33.13079741800491</v>
      </c>
      <c r="M36" s="245">
        <f t="shared" si="2"/>
        <v>-2.7608997848337427</v>
      </c>
    </row>
    <row r="37" spans="2:13" outlineLevel="1" x14ac:dyDescent="0.25">
      <c r="B37" s="233" t="s">
        <v>256</v>
      </c>
      <c r="C37" s="233"/>
      <c r="D37" s="234">
        <f t="shared" si="3"/>
        <v>1331127</v>
      </c>
      <c r="E37" s="160">
        <f>'6A. GA Allocation_Class A'!E37</f>
        <v>1331127</v>
      </c>
      <c r="F37" s="160"/>
      <c r="G37" s="160"/>
      <c r="H37" s="160"/>
      <c r="I37" s="160"/>
      <c r="J37" s="160"/>
      <c r="K37" s="243">
        <f t="shared" si="0"/>
        <v>1.0411830340119933E-2</v>
      </c>
      <c r="L37" s="244">
        <f t="shared" si="1"/>
        <v>-20.681105330145421</v>
      </c>
      <c r="M37" s="245">
        <f t="shared" si="2"/>
        <v>-1.7234254441787851</v>
      </c>
    </row>
    <row r="38" spans="2:13" outlineLevel="1" x14ac:dyDescent="0.25">
      <c r="B38" s="233" t="s">
        <v>257</v>
      </c>
      <c r="C38" s="233"/>
      <c r="D38" s="234">
        <f t="shared" si="3"/>
        <v>2762887</v>
      </c>
      <c r="E38" s="160">
        <f>'6A. GA Allocation_Class A'!E38</f>
        <v>2762887</v>
      </c>
      <c r="F38" s="160"/>
      <c r="G38" s="160"/>
      <c r="H38" s="160"/>
      <c r="I38" s="160"/>
      <c r="J38" s="160"/>
      <c r="K38" s="243">
        <f t="shared" si="0"/>
        <v>2.1610793480203571E-2</v>
      </c>
      <c r="L38" s="244">
        <f t="shared" si="1"/>
        <v>-42.92569909729837</v>
      </c>
      <c r="M38" s="245">
        <f t="shared" si="2"/>
        <v>-3.577141591441531</v>
      </c>
    </row>
    <row r="39" spans="2:13" outlineLevel="1" x14ac:dyDescent="0.25">
      <c r="B39" s="233" t="s">
        <v>258</v>
      </c>
      <c r="C39" s="233"/>
      <c r="D39" s="234">
        <f t="shared" si="3"/>
        <v>6256539</v>
      </c>
      <c r="E39" s="160">
        <f>'6A. GA Allocation_Class A'!E39</f>
        <v>6256539</v>
      </c>
      <c r="F39" s="160"/>
      <c r="G39" s="160"/>
      <c r="H39" s="160"/>
      <c r="I39" s="160"/>
      <c r="J39" s="160"/>
      <c r="K39" s="243">
        <f t="shared" si="0"/>
        <v>4.8937496260194273E-2</v>
      </c>
      <c r="L39" s="244">
        <f t="shared" si="1"/>
        <v>-97.204956447553613</v>
      </c>
      <c r="M39" s="245">
        <f t="shared" si="2"/>
        <v>-8.1004130372961338</v>
      </c>
    </row>
    <row r="40" spans="2:13" outlineLevel="1" x14ac:dyDescent="0.25">
      <c r="B40" s="233" t="s">
        <v>259</v>
      </c>
      <c r="C40" s="233"/>
      <c r="D40" s="234">
        <f t="shared" si="3"/>
        <v>999971</v>
      </c>
      <c r="E40" s="160">
        <f>'6A. GA Allocation_Class A'!E40</f>
        <v>999971</v>
      </c>
      <c r="F40" s="160"/>
      <c r="G40" s="160"/>
      <c r="H40" s="160"/>
      <c r="I40" s="160"/>
      <c r="J40" s="160"/>
      <c r="K40" s="243">
        <f t="shared" si="0"/>
        <v>7.8215890722974357E-3</v>
      </c>
      <c r="L40" s="244">
        <f t="shared" si="1"/>
        <v>-15.536087524399134</v>
      </c>
      <c r="M40" s="245">
        <f t="shared" si="2"/>
        <v>-1.2946739603665944</v>
      </c>
    </row>
    <row r="41" spans="2:13" outlineLevel="1" x14ac:dyDescent="0.25">
      <c r="B41" s="233" t="s">
        <v>260</v>
      </c>
      <c r="C41" s="233"/>
      <c r="D41" s="234">
        <f t="shared" si="3"/>
        <v>7013680</v>
      </c>
      <c r="E41" s="160">
        <f>'6A. GA Allocation_Class A'!E41</f>
        <v>7013680</v>
      </c>
      <c r="F41" s="160"/>
      <c r="G41" s="160"/>
      <c r="H41" s="160"/>
      <c r="I41" s="160"/>
      <c r="J41" s="160"/>
      <c r="K41" s="243">
        <f t="shared" si="0"/>
        <v>5.4859713776290592E-2</v>
      </c>
      <c r="L41" s="244">
        <f t="shared" si="1"/>
        <v>-108.96830642901416</v>
      </c>
      <c r="M41" s="245">
        <f t="shared" si="2"/>
        <v>-9.0806922024178469</v>
      </c>
    </row>
    <row r="42" spans="2:13" outlineLevel="1" x14ac:dyDescent="0.25">
      <c r="B42" s="233" t="s">
        <v>261</v>
      </c>
      <c r="C42" s="233"/>
      <c r="D42" s="234">
        <f t="shared" si="3"/>
        <v>3468287</v>
      </c>
      <c r="E42" s="160">
        <f>'6A. GA Allocation_Class A'!E42</f>
        <v>3468287</v>
      </c>
      <c r="F42" s="160"/>
      <c r="G42" s="160"/>
      <c r="H42" s="160"/>
      <c r="I42" s="160"/>
      <c r="J42" s="160"/>
      <c r="K42" s="243">
        <f t="shared" si="0"/>
        <v>2.7128302419561424E-2</v>
      </c>
      <c r="L42" s="244">
        <f t="shared" si="1"/>
        <v>-53.885173061754493</v>
      </c>
      <c r="M42" s="245">
        <f t="shared" si="2"/>
        <v>-4.4904310884795411</v>
      </c>
    </row>
    <row r="43" spans="2:13" outlineLevel="1" x14ac:dyDescent="0.25">
      <c r="B43" s="233" t="s">
        <v>262</v>
      </c>
      <c r="C43" s="233"/>
      <c r="D43" s="234">
        <f t="shared" si="3"/>
        <v>5796244</v>
      </c>
      <c r="E43" s="160">
        <f>'6A. GA Allocation_Class A'!E43</f>
        <v>5796244</v>
      </c>
      <c r="F43" s="160"/>
      <c r="G43" s="160"/>
      <c r="H43" s="160"/>
      <c r="I43" s="160"/>
      <c r="J43" s="160"/>
      <c r="K43" s="243">
        <f t="shared" si="0"/>
        <v>4.5337153508221317E-2</v>
      </c>
      <c r="L43" s="244">
        <f t="shared" si="1"/>
        <v>-90.053565650177191</v>
      </c>
      <c r="M43" s="245">
        <f t="shared" si="2"/>
        <v>-7.5044638041814329</v>
      </c>
    </row>
    <row r="44" spans="2:13" outlineLevel="1" x14ac:dyDescent="0.25">
      <c r="B44" s="233" t="s">
        <v>263</v>
      </c>
      <c r="C44" s="233"/>
      <c r="D44" s="234">
        <f t="shared" si="3"/>
        <v>7763800</v>
      </c>
      <c r="E44" s="160">
        <f>'6A. GA Allocation_Class A'!E44</f>
        <v>7763800</v>
      </c>
      <c r="F44" s="160"/>
      <c r="G44" s="160"/>
      <c r="H44" s="160"/>
      <c r="I44" s="160"/>
      <c r="J44" s="160"/>
      <c r="K44" s="243">
        <f t="shared" ref="K44:K68" si="4">IFERROR(+D44/$D$69,0)</f>
        <v>6.0727014322918195E-2</v>
      </c>
      <c r="L44" s="244">
        <f t="shared" ref="L44:L68" si="5">+K44*$D$26</f>
        <v>-120.62257437658691</v>
      </c>
      <c r="M44" s="245">
        <f t="shared" si="2"/>
        <v>-10.051881198048909</v>
      </c>
    </row>
    <row r="45" spans="2:13" outlineLevel="1" x14ac:dyDescent="0.25">
      <c r="B45" s="233" t="s">
        <v>264</v>
      </c>
      <c r="C45" s="233"/>
      <c r="D45" s="234">
        <f t="shared" si="3"/>
        <v>5278662</v>
      </c>
      <c r="E45" s="160">
        <f>'6A. GA Allocation_Class A'!E45</f>
        <v>5278662</v>
      </c>
      <c r="F45" s="160"/>
      <c r="G45" s="160"/>
      <c r="H45" s="160"/>
      <c r="I45" s="160"/>
      <c r="J45" s="160"/>
      <c r="K45" s="243">
        <f t="shared" si="4"/>
        <v>4.1288722388500995E-2</v>
      </c>
      <c r="L45" s="244">
        <f t="shared" si="5"/>
        <v>-82.012133195582464</v>
      </c>
      <c r="M45" s="245">
        <f t="shared" si="2"/>
        <v>-6.8343444329652057</v>
      </c>
    </row>
    <row r="46" spans="2:13" outlineLevel="1" x14ac:dyDescent="0.25">
      <c r="B46" s="233" t="s">
        <v>265</v>
      </c>
      <c r="C46" s="233"/>
      <c r="D46" s="234">
        <f t="shared" si="3"/>
        <v>3940838</v>
      </c>
      <c r="E46" s="160">
        <f>'6A. GA Allocation_Class A'!E46</f>
        <v>3940838</v>
      </c>
      <c r="F46" s="160"/>
      <c r="G46" s="160"/>
      <c r="H46" s="160"/>
      <c r="I46" s="160"/>
      <c r="J46" s="160"/>
      <c r="K46" s="243">
        <f t="shared" si="4"/>
        <v>3.0824509347265553E-2</v>
      </c>
      <c r="L46" s="244">
        <f t="shared" si="5"/>
        <v>-61.226979669888465</v>
      </c>
      <c r="M46" s="245">
        <f t="shared" si="2"/>
        <v>-5.1022483058240384</v>
      </c>
    </row>
    <row r="47" spans="2:13" outlineLevel="1" x14ac:dyDescent="0.25">
      <c r="B47" s="233" t="s">
        <v>266</v>
      </c>
      <c r="C47" s="233"/>
      <c r="D47" s="234">
        <f t="shared" si="3"/>
        <v>6298192</v>
      </c>
      <c r="E47" s="160">
        <f>'6A. GA Allocation_Class A'!E47</f>
        <v>6298192</v>
      </c>
      <c r="F47" s="160"/>
      <c r="G47" s="160"/>
      <c r="H47" s="160"/>
      <c r="I47" s="160"/>
      <c r="J47" s="160"/>
      <c r="K47" s="243">
        <f t="shared" si="4"/>
        <v>4.9263298358083511E-2</v>
      </c>
      <c r="L47" s="244">
        <f t="shared" si="5"/>
        <v>-97.852099868366608</v>
      </c>
      <c r="M47" s="245">
        <f t="shared" si="2"/>
        <v>-8.1543416556972179</v>
      </c>
    </row>
    <row r="48" spans="2:13" outlineLevel="1" x14ac:dyDescent="0.25">
      <c r="B48" s="233" t="s">
        <v>267</v>
      </c>
      <c r="C48" s="233"/>
      <c r="D48" s="234">
        <f t="shared" si="3"/>
        <v>4930067</v>
      </c>
      <c r="E48" s="160">
        <f>'6A. GA Allocation_Class A'!E48</f>
        <v>4930067</v>
      </c>
      <c r="F48" s="160"/>
      <c r="G48" s="160"/>
      <c r="H48" s="160"/>
      <c r="I48" s="160"/>
      <c r="J48" s="160"/>
      <c r="K48" s="243">
        <f t="shared" si="4"/>
        <v>3.8562076473111918E-2</v>
      </c>
      <c r="L48" s="244">
        <f t="shared" si="5"/>
        <v>-76.596173702189219</v>
      </c>
      <c r="M48" s="245">
        <f t="shared" si="2"/>
        <v>-6.3830144751824349</v>
      </c>
    </row>
    <row r="49" spans="2:14" outlineLevel="1" x14ac:dyDescent="0.25">
      <c r="B49" s="233" t="s">
        <v>268</v>
      </c>
      <c r="C49" s="233"/>
      <c r="D49" s="234">
        <f t="shared" si="3"/>
        <v>3018648</v>
      </c>
      <c r="E49" s="160">
        <f>'6A. GA Allocation_Class A'!E49</f>
        <v>3018648</v>
      </c>
      <c r="F49" s="160"/>
      <c r="G49" s="160"/>
      <c r="H49" s="160"/>
      <c r="I49" s="160"/>
      <c r="J49" s="160"/>
      <c r="K49" s="243">
        <f t="shared" si="4"/>
        <v>2.3611308937871708E-2</v>
      </c>
      <c r="L49" s="244">
        <f t="shared" si="5"/>
        <v>-46.89933961420121</v>
      </c>
      <c r="M49" s="245">
        <f t="shared" si="2"/>
        <v>-3.9082783011834343</v>
      </c>
    </row>
    <row r="50" spans="2:14" outlineLevel="1" x14ac:dyDescent="0.25">
      <c r="B50" s="233" t="s">
        <v>269</v>
      </c>
      <c r="C50" s="233"/>
      <c r="D50" s="234">
        <f t="shared" si="3"/>
        <v>3108153</v>
      </c>
      <c r="E50" s="160">
        <f>'6A. GA Allocation_Class A'!E50</f>
        <v>3108153</v>
      </c>
      <c r="F50" s="160"/>
      <c r="G50" s="160"/>
      <c r="H50" s="160"/>
      <c r="I50" s="160"/>
      <c r="J50" s="160"/>
      <c r="K50" s="243">
        <f t="shared" si="4"/>
        <v>2.4311400570445035E-2</v>
      </c>
      <c r="L50" s="244">
        <f t="shared" si="5"/>
        <v>-48.289937455409948</v>
      </c>
      <c r="M50" s="245">
        <f t="shared" si="2"/>
        <v>-4.024161454617496</v>
      </c>
    </row>
    <row r="51" spans="2:14" outlineLevel="1" x14ac:dyDescent="0.25">
      <c r="B51" s="233" t="s">
        <v>270</v>
      </c>
      <c r="C51" s="233"/>
      <c r="D51" s="234">
        <f t="shared" si="3"/>
        <v>1506099</v>
      </c>
      <c r="E51" s="160">
        <f>'6A. GA Allocation_Class A'!E51</f>
        <v>1506099</v>
      </c>
      <c r="F51" s="160"/>
      <c r="G51" s="160"/>
      <c r="H51" s="160"/>
      <c r="I51" s="160"/>
      <c r="J51" s="160"/>
      <c r="K51" s="243">
        <f t="shared" si="4"/>
        <v>1.1780429112642363E-2</v>
      </c>
      <c r="L51" s="244">
        <f t="shared" si="5"/>
        <v>-23.399564471779694</v>
      </c>
      <c r="M51" s="245">
        <f t="shared" si="2"/>
        <v>-1.9499637059816413</v>
      </c>
    </row>
    <row r="52" spans="2:14" outlineLevel="1" x14ac:dyDescent="0.25">
      <c r="B52" s="233" t="s">
        <v>271</v>
      </c>
      <c r="C52" s="233"/>
      <c r="D52" s="234">
        <f t="shared" si="3"/>
        <v>2076084</v>
      </c>
      <c r="E52" s="160">
        <f>'6A. GA Allocation_Class A'!E52</f>
        <v>2076084</v>
      </c>
      <c r="F52" s="160"/>
      <c r="G52" s="160"/>
      <c r="H52" s="160"/>
      <c r="I52" s="160"/>
      <c r="J52" s="160"/>
      <c r="K52" s="243">
        <f t="shared" si="4"/>
        <v>1.6238746851230234E-2</v>
      </c>
      <c r="L52" s="244">
        <f t="shared" si="5"/>
        <v>-32.255158131590463</v>
      </c>
      <c r="M52" s="245">
        <f t="shared" si="2"/>
        <v>-2.6879298442992052</v>
      </c>
    </row>
    <row r="53" spans="2:14" outlineLevel="1" x14ac:dyDescent="0.25">
      <c r="B53" s="233" t="s">
        <v>272</v>
      </c>
      <c r="C53" s="233"/>
      <c r="D53" s="234">
        <f t="shared" si="3"/>
        <v>5424020</v>
      </c>
      <c r="E53" s="160">
        <f>'6A. GA Allocation_Class A'!E53</f>
        <v>5424020</v>
      </c>
      <c r="F53" s="160"/>
      <c r="G53" s="160"/>
      <c r="H53" s="160"/>
      <c r="I53" s="160"/>
      <c r="J53" s="160"/>
      <c r="K53" s="243">
        <f t="shared" si="4"/>
        <v>4.2425685904813978E-2</v>
      </c>
      <c r="L53" s="244">
        <f t="shared" si="5"/>
        <v>-84.270493298397042</v>
      </c>
      <c r="M53" s="245">
        <f t="shared" si="2"/>
        <v>-7.0225411081997535</v>
      </c>
    </row>
    <row r="54" spans="2:14" outlineLevel="1" x14ac:dyDescent="0.25">
      <c r="B54" s="233" t="s">
        <v>273</v>
      </c>
      <c r="C54" s="233"/>
      <c r="D54" s="234">
        <f t="shared" si="3"/>
        <v>2583905</v>
      </c>
      <c r="E54" s="160">
        <f>'6A. GA Allocation_Class A'!E54</f>
        <v>2583905</v>
      </c>
      <c r="F54" s="160"/>
      <c r="G54" s="160"/>
      <c r="H54" s="160"/>
      <c r="I54" s="160"/>
      <c r="J54" s="160"/>
      <c r="K54" s="243">
        <f t="shared" si="4"/>
        <v>2.0210829225902255E-2</v>
      </c>
      <c r="L54" s="244">
        <f t="shared" si="5"/>
        <v>-40.144938437947239</v>
      </c>
      <c r="M54" s="245">
        <f t="shared" si="2"/>
        <v>-3.3454115364956034</v>
      </c>
    </row>
    <row r="55" spans="2:14" outlineLevel="1" x14ac:dyDescent="0.25">
      <c r="B55" s="233" t="s">
        <v>274</v>
      </c>
      <c r="C55" s="233"/>
      <c r="D55" s="234">
        <f t="shared" si="3"/>
        <v>2529573</v>
      </c>
      <c r="E55" s="292">
        <f>'6A. GA Allocation_Class A'!E55</f>
        <v>2529573</v>
      </c>
      <c r="F55" s="160"/>
      <c r="G55" s="160"/>
      <c r="H55" s="160"/>
      <c r="I55" s="160"/>
      <c r="J55" s="160"/>
      <c r="K55" s="243">
        <f t="shared" si="4"/>
        <v>1.9785854324154042E-2</v>
      </c>
      <c r="L55" s="244">
        <f t="shared" si="5"/>
        <v>-39.300807250767164</v>
      </c>
      <c r="M55" s="245">
        <f t="shared" si="2"/>
        <v>-3.2750672708972637</v>
      </c>
      <c r="N55" t="s">
        <v>275</v>
      </c>
    </row>
    <row r="56" spans="2:14" outlineLevel="1" x14ac:dyDescent="0.25">
      <c r="B56" s="233" t="s">
        <v>276</v>
      </c>
      <c r="C56" s="233"/>
      <c r="D56" s="234">
        <f t="shared" si="3"/>
        <v>3390659</v>
      </c>
      <c r="E56" s="292">
        <f>'6A. GA Allocation_Class A'!E56</f>
        <v>3390659</v>
      </c>
      <c r="F56" s="160"/>
      <c r="G56" s="160"/>
      <c r="H56" s="160"/>
      <c r="I56" s="160"/>
      <c r="J56" s="160"/>
      <c r="K56" s="243">
        <f t="shared" si="4"/>
        <v>2.6521110494491292E-2</v>
      </c>
      <c r="L56" s="244">
        <f t="shared" si="5"/>
        <v>-52.679102683369464</v>
      </c>
      <c r="M56" s="245">
        <f t="shared" si="2"/>
        <v>-4.3899252236141217</v>
      </c>
      <c r="N56" t="s">
        <v>277</v>
      </c>
    </row>
    <row r="57" spans="2:14" outlineLevel="1" x14ac:dyDescent="0.25">
      <c r="B57" s="233" t="s">
        <v>278</v>
      </c>
      <c r="C57" s="233"/>
      <c r="D57" s="234">
        <f t="shared" si="3"/>
        <v>1161128</v>
      </c>
      <c r="E57" s="291">
        <f>'6A. GA Allocation_Class A'!E57</f>
        <v>1161128</v>
      </c>
      <c r="F57" s="160"/>
      <c r="G57" s="160"/>
      <c r="H57" s="160"/>
      <c r="I57" s="160"/>
      <c r="J57" s="160"/>
      <c r="K57" s="243">
        <f t="shared" si="4"/>
        <v>9.0821294580928618E-3</v>
      </c>
      <c r="L57" s="244">
        <f t="shared" si="5"/>
        <v>-18.039909392402897</v>
      </c>
      <c r="M57" s="245">
        <f t="shared" si="2"/>
        <v>-1.5033257827002415</v>
      </c>
      <c r="N57" t="s">
        <v>279</v>
      </c>
    </row>
    <row r="58" spans="2:14" outlineLevel="1" x14ac:dyDescent="0.25">
      <c r="B58" s="233" t="s">
        <v>280</v>
      </c>
      <c r="C58" s="233"/>
      <c r="D58" s="234">
        <f t="shared" si="3"/>
        <v>2421761</v>
      </c>
      <c r="E58" s="160">
        <f>'6A. GA Allocation_Class A'!E58</f>
        <v>2421761</v>
      </c>
      <c r="F58" s="160"/>
      <c r="G58" s="160"/>
      <c r="H58" s="160"/>
      <c r="I58" s="160"/>
      <c r="J58" s="160"/>
      <c r="K58" s="243">
        <f t="shared" si="4"/>
        <v>1.8942568707808635E-2</v>
      </c>
      <c r="L58" s="244">
        <f t="shared" si="5"/>
        <v>-37.625782006854564</v>
      </c>
      <c r="M58" s="245">
        <f t="shared" si="2"/>
        <v>-3.1354818339045472</v>
      </c>
    </row>
    <row r="59" spans="2:14" outlineLevel="1" x14ac:dyDescent="0.25">
      <c r="B59" s="233" t="s">
        <v>281</v>
      </c>
      <c r="C59" s="233"/>
      <c r="D59" s="234">
        <f t="shared" si="3"/>
        <v>1568280</v>
      </c>
      <c r="E59" s="160">
        <f>'6A. GA Allocation_Class A'!E59</f>
        <v>1568280</v>
      </c>
      <c r="F59" s="160"/>
      <c r="G59" s="160"/>
      <c r="H59" s="160"/>
      <c r="I59" s="160"/>
      <c r="J59" s="160"/>
      <c r="K59" s="243">
        <f t="shared" si="4"/>
        <v>1.2266797447428597E-2</v>
      </c>
      <c r="L59" s="244">
        <f t="shared" si="5"/>
        <v>-24.365641946381118</v>
      </c>
      <c r="M59" s="245">
        <f t="shared" si="2"/>
        <v>-2.0304701621984265</v>
      </c>
    </row>
    <row r="60" spans="2:14" outlineLevel="1" x14ac:dyDescent="0.25">
      <c r="B60" s="233" t="s">
        <v>282</v>
      </c>
      <c r="C60" s="233"/>
      <c r="D60" s="234">
        <f t="shared" si="3"/>
        <v>3124881</v>
      </c>
      <c r="E60" s="160">
        <f>'6A. GA Allocation_Class A'!E60</f>
        <v>3124881</v>
      </c>
      <c r="F60" s="160"/>
      <c r="G60" s="160"/>
      <c r="H60" s="160"/>
      <c r="I60" s="160"/>
      <c r="J60" s="160"/>
      <c r="K60" s="243">
        <f t="shared" si="4"/>
        <v>2.4442243906903183E-2</v>
      </c>
      <c r="L60" s="244">
        <f t="shared" si="5"/>
        <v>-48.549832664479162</v>
      </c>
      <c r="M60" s="245">
        <f t="shared" si="2"/>
        <v>-4.0458193887065965</v>
      </c>
    </row>
    <row r="61" spans="2:14" outlineLevel="1" x14ac:dyDescent="0.25">
      <c r="B61" s="233" t="s">
        <v>283</v>
      </c>
      <c r="C61" s="233"/>
      <c r="D61" s="234">
        <f t="shared" si="3"/>
        <v>2706410</v>
      </c>
      <c r="E61" s="160">
        <f>'6A. GA Allocation_Class A'!E61</f>
        <v>2706410</v>
      </c>
      <c r="F61" s="160"/>
      <c r="G61" s="160"/>
      <c r="H61" s="160"/>
      <c r="I61" s="160"/>
      <c r="J61" s="160"/>
      <c r="K61" s="243">
        <f t="shared" si="4"/>
        <v>2.116904078333922E-2</v>
      </c>
      <c r="L61" s="244">
        <f t="shared" si="5"/>
        <v>-42.048242035928105</v>
      </c>
      <c r="M61" s="245">
        <f t="shared" si="2"/>
        <v>-3.5040201696606754</v>
      </c>
    </row>
    <row r="62" spans="2:14" outlineLevel="1" x14ac:dyDescent="0.25">
      <c r="B62" s="233" t="s">
        <v>284</v>
      </c>
      <c r="C62" s="233"/>
      <c r="D62" s="234">
        <f t="shared" si="3"/>
        <v>3613039</v>
      </c>
      <c r="E62" s="160">
        <f>'6A. GA Allocation_Class A'!E62</f>
        <v>3613039</v>
      </c>
      <c r="F62" s="160"/>
      <c r="G62" s="160"/>
      <c r="H62" s="160"/>
      <c r="I62" s="160"/>
      <c r="J62" s="160"/>
      <c r="K62" s="243">
        <f t="shared" si="4"/>
        <v>2.8260525915436003E-2</v>
      </c>
      <c r="L62" s="244">
        <f t="shared" si="5"/>
        <v>-56.134118022490178</v>
      </c>
      <c r="M62" s="245">
        <f t="shared" si="2"/>
        <v>-4.6778431685408481</v>
      </c>
    </row>
    <row r="63" spans="2:14" outlineLevel="1" x14ac:dyDescent="0.25">
      <c r="B63" s="233" t="s">
        <v>285</v>
      </c>
      <c r="C63" s="233"/>
      <c r="D63" s="234">
        <f t="shared" si="3"/>
        <v>3605652</v>
      </c>
      <c r="E63" s="160">
        <f>'6A. GA Allocation_Class A'!E63</f>
        <v>3605652</v>
      </c>
      <c r="F63" s="160"/>
      <c r="G63" s="160"/>
      <c r="H63" s="160"/>
      <c r="I63" s="160"/>
      <c r="J63" s="160"/>
      <c r="K63" s="243">
        <f t="shared" si="4"/>
        <v>2.8202746161346073E-2</v>
      </c>
      <c r="L63" s="244">
        <f t="shared" si="5"/>
        <v>-56.019349615663643</v>
      </c>
      <c r="M63" s="245">
        <f t="shared" si="2"/>
        <v>-4.6682791346386372</v>
      </c>
    </row>
    <row r="64" spans="2:14" outlineLevel="1" x14ac:dyDescent="0.25">
      <c r="B64" s="233" t="s">
        <v>286</v>
      </c>
      <c r="C64" s="233"/>
      <c r="D64" s="234">
        <f t="shared" si="3"/>
        <v>1802628</v>
      </c>
      <c r="E64" s="160">
        <f>'6A. GA Allocation_Class A'!E64</f>
        <v>1802628</v>
      </c>
      <c r="F64" s="160"/>
      <c r="G64" s="160"/>
      <c r="H64" s="160"/>
      <c r="I64" s="160"/>
      <c r="J64" s="160"/>
      <c r="K64" s="243">
        <f t="shared" si="4"/>
        <v>1.4099824361123853E-2</v>
      </c>
      <c r="L64" s="244">
        <f t="shared" si="5"/>
        <v>-28.006598573291186</v>
      </c>
      <c r="M64" s="245">
        <f t="shared" si="2"/>
        <v>-2.3338832144409323</v>
      </c>
    </row>
    <row r="65" spans="2:13" outlineLevel="1" x14ac:dyDescent="0.25">
      <c r="B65" s="233" t="s">
        <v>287</v>
      </c>
      <c r="C65" s="233"/>
      <c r="D65" s="234">
        <f t="shared" si="3"/>
        <v>736499</v>
      </c>
      <c r="E65" s="160">
        <f>'6A. GA Allocation_Class A'!E65</f>
        <v>736499</v>
      </c>
      <c r="F65" s="160"/>
      <c r="G65" s="160"/>
      <c r="H65" s="160"/>
      <c r="I65" s="160"/>
      <c r="J65" s="160"/>
      <c r="K65" s="243">
        <f t="shared" si="4"/>
        <v>5.7607595921861619E-3</v>
      </c>
      <c r="L65" s="244">
        <f t="shared" si="5"/>
        <v>-11.442644762330545</v>
      </c>
      <c r="M65" s="245">
        <f t="shared" si="2"/>
        <v>-0.95355373019421208</v>
      </c>
    </row>
    <row r="66" spans="2:13" outlineLevel="1" x14ac:dyDescent="0.25">
      <c r="B66" s="233" t="s">
        <v>288</v>
      </c>
      <c r="C66" s="233"/>
      <c r="D66" s="234">
        <f t="shared" si="3"/>
        <v>3439510</v>
      </c>
      <c r="E66" s="160">
        <f>'6A. GA Allocation_Class A'!E66</f>
        <v>3439510</v>
      </c>
      <c r="F66" s="160"/>
      <c r="G66" s="160"/>
      <c r="H66" s="160"/>
      <c r="I66" s="160"/>
      <c r="J66" s="160"/>
      <c r="K66" s="243">
        <f t="shared" si="4"/>
        <v>2.6903214023264427E-2</v>
      </c>
      <c r="L66" s="244">
        <f t="shared" si="5"/>
        <v>-53.438078105311121</v>
      </c>
      <c r="M66" s="245">
        <f t="shared" si="2"/>
        <v>-4.4531731754425934</v>
      </c>
    </row>
    <row r="67" spans="2:13" outlineLevel="1" x14ac:dyDescent="0.25">
      <c r="B67" s="233" t="s">
        <v>289</v>
      </c>
      <c r="C67" s="233"/>
      <c r="D67" s="234">
        <f t="shared" si="3"/>
        <v>792832</v>
      </c>
      <c r="E67" s="160">
        <f>'6A. GA Allocation_Class A'!E67</f>
        <v>792832</v>
      </c>
      <c r="F67" s="160"/>
      <c r="G67" s="160"/>
      <c r="H67" s="160"/>
      <c r="I67" s="160"/>
      <c r="J67" s="160"/>
      <c r="K67" s="243">
        <f t="shared" si="4"/>
        <v>6.2013859475601998E-3</v>
      </c>
      <c r="L67" s="244">
        <f t="shared" si="5"/>
        <v>-12.31786456221672</v>
      </c>
      <c r="M67" s="245">
        <f t="shared" si="2"/>
        <v>-1.02648871351806</v>
      </c>
    </row>
    <row r="68" spans="2:13" outlineLevel="1" x14ac:dyDescent="0.25">
      <c r="B68" s="233" t="s">
        <v>290</v>
      </c>
      <c r="C68" s="233"/>
      <c r="D68" s="234">
        <f t="shared" si="3"/>
        <v>7773748</v>
      </c>
      <c r="E68" s="160">
        <f>'6A. GA Allocation_Class A'!E68</f>
        <v>7773748</v>
      </c>
      <c r="F68" s="160"/>
      <c r="G68" s="160"/>
      <c r="H68" s="160"/>
      <c r="I68" s="160"/>
      <c r="J68" s="160"/>
      <c r="K68" s="243">
        <f t="shared" si="4"/>
        <v>6.0804825747540724E-2</v>
      </c>
      <c r="L68" s="244">
        <f t="shared" si="5"/>
        <v>-120.77713185744659</v>
      </c>
      <c r="M68" s="245">
        <f t="shared" si="2"/>
        <v>-10.064760988120549</v>
      </c>
    </row>
    <row r="69" spans="2:13" x14ac:dyDescent="0.25">
      <c r="B69" s="235" t="s">
        <v>177</v>
      </c>
      <c r="C69" s="235"/>
      <c r="D69" s="236">
        <f>SUM(D33:D68)</f>
        <v>127847550</v>
      </c>
      <c r="E69" s="236">
        <f>SUM(E33:E68)</f>
        <v>127847550</v>
      </c>
      <c r="F69" s="236">
        <f>SUM(F33:F68)</f>
        <v>0</v>
      </c>
      <c r="G69" s="161">
        <f>SUM(G33:G43)</f>
        <v>0</v>
      </c>
      <c r="H69" s="161">
        <f t="shared" ref="H69:J69" si="6">SUM(H33:H39)</f>
        <v>0</v>
      </c>
      <c r="I69" s="161">
        <f t="shared" si="6"/>
        <v>0</v>
      </c>
      <c r="J69" s="161">
        <f t="shared" si="6"/>
        <v>0</v>
      </c>
      <c r="K69" s="246">
        <f>SUM(K33:K68)</f>
        <v>1</v>
      </c>
      <c r="L69" s="236">
        <f>SUM(L33:L68)</f>
        <v>-1986.3083295215508</v>
      </c>
      <c r="M69" s="248"/>
    </row>
    <row r="70" spans="2:13" x14ac:dyDescent="0.25">
      <c r="K70" s="62"/>
      <c r="L70" s="62"/>
      <c r="M70" s="62"/>
    </row>
  </sheetData>
  <mergeCells count="6">
    <mergeCell ref="B31:D31"/>
    <mergeCell ref="B2:H9"/>
    <mergeCell ref="B12:G12"/>
    <mergeCell ref="B16:G16"/>
    <mergeCell ref="B23:D23"/>
    <mergeCell ref="B29:F29"/>
  </mergeCells>
  <hyperlinks>
    <hyperlink ref="A1" location="Index" display="Back to Index"/>
  </hyperlinks>
  <pageMargins left="0.7" right="0.7" top="0.75" bottom="0.75" header="0.3" footer="0.3"/>
  <pageSetup scale="59" orientation="landscape"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E99FA68A33C724FA894CDAF43EEA7C7" ma:contentTypeVersion="6" ma:contentTypeDescription="Create a new document." ma:contentTypeScope="" ma:versionID="a51e3a97222f7547f2bcd846346b24b4">
  <xsd:schema xmlns:xsd="http://www.w3.org/2001/XMLSchema" xmlns:xs="http://www.w3.org/2001/XMLSchema" xmlns:p="http://schemas.microsoft.com/office/2006/metadata/properties" xmlns:ns2="c7144278-a604-49a7-8187-9642ca59cb21" xmlns:ns3="01f4ed2e-8ed5-4f01-addc-53cbf92106b5" targetNamespace="http://schemas.microsoft.com/office/2006/metadata/properties" ma:root="true" ma:fieldsID="d62e64f0ef921e6ff26ceba308a2171a" ns2:_="" ns3:_="">
    <xsd:import namespace="c7144278-a604-49a7-8187-9642ca59cb21"/>
    <xsd:import namespace="01f4ed2e-8ed5-4f01-addc-53cbf92106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144278-a604-49a7-8187-9642ca59cb2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ed2e-8ed5-4f01-addc-53cbf92106b5"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A4E1DC-E422-4966-89FF-0FB09DC0093B}">
  <ds:schemaRefs>
    <ds:schemaRef ds:uri="http://schemas.microsoft.com/sharepoint/v3/contenttype/forms"/>
  </ds:schemaRefs>
</ds:datastoreItem>
</file>

<file path=customXml/itemProps2.xml><?xml version="1.0" encoding="utf-8"?>
<ds:datastoreItem xmlns:ds="http://schemas.openxmlformats.org/officeDocument/2006/customXml" ds:itemID="{C17D4D23-8F6E-413A-A994-9EF3ECB2292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CFD8DFD-321A-4D0F-B831-99C1EC03EF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144278-a604-49a7-8187-9642ca59cb21"/>
    <ds:schemaRef ds:uri="01f4ed2e-8ed5-4f01-addc-53cbf9210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24</vt:i4>
      </vt:variant>
    </vt:vector>
  </HeadingPairs>
  <TitlesOfParts>
    <vt:vector size="35" baseType="lpstr">
      <vt:lpstr>1. Information Sheet</vt:lpstr>
      <vt:lpstr>3. Continuity Schedule</vt:lpstr>
      <vt:lpstr>4. Billing Det. for Def-Var</vt:lpstr>
      <vt:lpstr>5. Allocating Def-Var Balances</vt:lpstr>
      <vt:lpstr>6. GA Calculation</vt:lpstr>
      <vt:lpstr>6A. GA Allocation_Class A</vt:lpstr>
      <vt:lpstr>6B. GA Allocation_new Class B</vt:lpstr>
      <vt:lpstr>7. CBR Calculation</vt:lpstr>
      <vt:lpstr>7A. CBR Allocation_Class A</vt:lpstr>
      <vt:lpstr>7B. CBR Allocation_new Class B</vt:lpstr>
      <vt:lpstr>8. Calculation of Def-Var RR</vt:lpstr>
      <vt:lpstr>BILLING_DETERMINANTS</vt:lpstr>
      <vt:lpstr>Criteria</vt:lpstr>
      <vt:lpstr>'1. Information Sheet'!Print_Area</vt:lpstr>
      <vt:lpstr>'3. Continuity Schedule'!Print_Area</vt:lpstr>
      <vt:lpstr>'4. Billing Det. for Def-Var'!Print_Area</vt:lpstr>
      <vt:lpstr>'5. Allocating Def-Var Balances'!Print_Area</vt:lpstr>
      <vt:lpstr>'6. GA Calculation'!Print_Area</vt:lpstr>
      <vt:lpstr>'6A. GA Allocation_Class A'!Print_Area</vt:lpstr>
      <vt:lpstr>'6B. GA Allocation_new Class B'!Print_Area</vt:lpstr>
      <vt:lpstr>'7. CBR Calculation'!Print_Area</vt:lpstr>
      <vt:lpstr>'7A. CBR Allocation_Class A'!Print_Area</vt:lpstr>
      <vt:lpstr>'7B. CBR Allocation_new Class B'!Print_Area</vt:lpstr>
      <vt:lpstr>'8. Calculation of Def-Var RR'!Print_Area</vt:lpstr>
      <vt:lpstr>Start_10</vt:lpstr>
      <vt:lpstr>Start_11</vt:lpstr>
      <vt:lpstr>Start_12</vt:lpstr>
      <vt:lpstr>Start_13</vt:lpstr>
      <vt:lpstr>Start_14</vt:lpstr>
      <vt:lpstr>Start_3</vt:lpstr>
      <vt:lpstr>Start_5</vt:lpstr>
      <vt:lpstr>Start_6</vt:lpstr>
      <vt:lpstr>Start_7</vt:lpstr>
      <vt:lpstr>Start_8</vt:lpstr>
      <vt:lpstr>Start_9</vt:lpstr>
    </vt:vector>
  </TitlesOfParts>
  <Manager/>
  <Company>PowerStream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Vitalika Quenville</dc:creator>
  <cp:keywords/>
  <dc:description/>
  <cp:lastModifiedBy>William Cheng</cp:lastModifiedBy>
  <cp:revision/>
  <dcterms:created xsi:type="dcterms:W3CDTF">2017-04-01T19:51:37Z</dcterms:created>
  <dcterms:modified xsi:type="dcterms:W3CDTF">2018-10-19T20:16:54Z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0x0101004E99FA68A33C724FA894CDAF43EEA7C7</vt:lpwstr>
  </property>
</Properties>
</file>