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codeName="ThisWorkbook" defaultThemeVersion="124226"/>
  <mc:AlternateContent xmlns:mc="http://schemas.openxmlformats.org/markup-compatibility/2006">
    <mc:Choice Requires="x15">
      <x15ac:absPath xmlns:x15ac="http://schemas.microsoft.com/office/spreadsheetml/2010/11/ac" url="T:\5. TESI UTILITIES\Hearst Power\2019 IRM\Final Filing\"/>
    </mc:Choice>
  </mc:AlternateContent>
  <xr:revisionPtr revIDLastSave="0" documentId="8_{DF0B3CED-987F-40FF-82FE-77E562397C49}" xr6:coauthVersionLast="37" xr6:coauthVersionMax="37" xr10:uidLastSave="{00000000-0000-0000-0000-000000000000}"/>
  <bookViews>
    <workbookView xWindow="0" yWindow="0" windowWidth="57600" windowHeight="11565" tabRatio="802" firstSheet="3" activeTab="4" xr2:uid="{00000000-000D-0000-FFFF-FFFF00000000}"/>
  </bookViews>
  <sheets>
    <sheet name="Instructions" sheetId="87" r:id="rId1"/>
    <sheet name="LRAMVA Checklist Schematic" sheetId="63" r:id="rId2"/>
    <sheet name="DropDownList" sheetId="80" state="hidden" r:id="rId3"/>
    <sheet name="Contents" sheetId="62"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3-a.  Rate Class Allocations" sheetId="86" r:id="rId13"/>
    <sheet name="8.  Streetlighting" sheetId="85" r:id="rId14"/>
  </sheets>
  <externalReferences>
    <externalReference r:id="rId15"/>
  </externalReferences>
  <definedNames>
    <definedName name="_xlnm._FilterDatabase" localSheetId="11" hidden="1">'7.  Persistence Report'!$C$26:$BT$26</definedName>
    <definedName name="_xlnm._FilterDatabase" localSheetId="2"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3">Contents!$A$1:$D$27</definedName>
    <definedName name="_xlnm.Print_Area" localSheetId="1">'LRAMVA Checklist Schematic'!$A$1:$H$31</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1108" i="79" l="1"/>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20" i="79"/>
  <c r="N616" i="79"/>
  <c r="N613" i="79"/>
  <c r="N610" i="79"/>
  <c r="N607" i="79"/>
  <c r="N604" i="79"/>
  <c r="N559" i="79"/>
  <c r="N556" i="79"/>
  <c r="N553" i="79"/>
  <c r="N550" i="79"/>
  <c r="N547" i="79"/>
  <c r="N544" i="79"/>
  <c r="N541" i="79"/>
  <c r="N535" i="79"/>
  <c r="N532" i="79"/>
  <c r="N529" i="79"/>
  <c r="N526" i="79"/>
  <c r="N523" i="79"/>
  <c r="N516" i="79"/>
  <c r="N513" i="79"/>
  <c r="N510" i="79"/>
  <c r="N506" i="79"/>
  <c r="N503" i="79"/>
  <c r="N500" i="79"/>
  <c r="N497" i="79"/>
  <c r="N494" i="79"/>
  <c r="N491" i="79"/>
  <c r="N485" i="79"/>
  <c r="N467" i="79"/>
  <c r="N464" i="79"/>
  <c r="N461" i="79"/>
  <c r="N458" i="79"/>
  <c r="N454" i="79"/>
  <c r="N451" i="79"/>
  <c r="N447" i="79"/>
  <c r="N443" i="79"/>
  <c r="N440" i="79"/>
  <c r="N437"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4" i="79"/>
  <c r="N250" i="79"/>
  <c r="N247" i="79"/>
  <c r="N244" i="79"/>
  <c r="N241" i="79"/>
  <c r="N238" i="79"/>
  <c r="N193" i="79"/>
  <c r="N190" i="79"/>
  <c r="N187" i="79"/>
  <c r="N184" i="79"/>
  <c r="N181" i="79"/>
  <c r="N178" i="79"/>
  <c r="N175" i="79"/>
  <c r="N169" i="79"/>
  <c r="N166" i="79"/>
  <c r="N163" i="79"/>
  <c r="N160" i="79"/>
  <c r="N157" i="79"/>
  <c r="N154" i="79"/>
  <c r="N150" i="79"/>
  <c r="N147" i="79"/>
  <c r="N144" i="79"/>
  <c r="N140" i="79"/>
  <c r="N137" i="79"/>
  <c r="N134" i="79"/>
  <c r="N131" i="79"/>
  <c r="N128" i="79"/>
  <c r="N125" i="79"/>
  <c r="N122" i="79"/>
  <c r="N119" i="79"/>
  <c r="N101" i="79"/>
  <c r="N98" i="79"/>
  <c r="N95" i="79"/>
  <c r="N92" i="79"/>
  <c r="N88" i="79"/>
  <c r="N85" i="79"/>
  <c r="N81" i="79"/>
  <c r="N77" i="79"/>
  <c r="N74" i="79"/>
  <c r="N71" i="79"/>
  <c r="N67" i="79"/>
  <c r="N61" i="79"/>
  <c r="N58" i="79"/>
  <c r="N55" i="79"/>
  <c r="O1110" i="79"/>
  <c r="D1110" i="79"/>
  <c r="O927" i="79"/>
  <c r="D927" i="79"/>
  <c r="O744" i="79"/>
  <c r="D744" i="79"/>
  <c r="O561" i="79"/>
  <c r="N520" i="79"/>
  <c r="N488" i="79"/>
  <c r="O378" i="79"/>
  <c r="O195" i="79"/>
  <c r="N64" i="79"/>
  <c r="D22" i="45" l="1"/>
  <c r="E44" i="44" l="1"/>
  <c r="AM139" i="79" l="1"/>
  <c r="Q46" i="44"/>
  <c r="P46" i="44"/>
  <c r="O46" i="44"/>
  <c r="N46" i="44"/>
  <c r="M46" i="44"/>
  <c r="L46" i="44"/>
  <c r="K46" i="44"/>
  <c r="J46" i="44"/>
  <c r="I46" i="44"/>
  <c r="H46" i="44"/>
  <c r="G46" i="44"/>
  <c r="F46" i="44"/>
  <c r="E46" i="44"/>
  <c r="D46" i="44"/>
  <c r="O513" i="46" l="1"/>
  <c r="O127" i="46"/>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G50" i="44" s="1"/>
  <c r="AB951" i="79"/>
  <c r="AB1110" i="79" s="1"/>
  <c r="AB768" i="79"/>
  <c r="AB585" i="79"/>
  <c r="AB219" i="79"/>
  <c r="AB402" i="79"/>
  <c r="AB576" i="79" s="1"/>
  <c r="AB36" i="79"/>
  <c r="AB21" i="46"/>
  <c r="Y278" i="46"/>
  <c r="Y384" i="46" s="1"/>
  <c r="AE149" i="46"/>
  <c r="AE255" i="46" s="1"/>
  <c r="AB148" i="46"/>
  <c r="G123" i="45"/>
  <c r="AA149" i="46"/>
  <c r="AA255" i="46" s="1"/>
  <c r="AE407" i="46"/>
  <c r="I43" i="44"/>
  <c r="I53" i="44" s="1"/>
  <c r="E43" i="44"/>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D50" i="44" s="1"/>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H50" i="44" l="1"/>
  <c r="F50" i="44"/>
  <c r="I50" i="44"/>
  <c r="E53" i="44"/>
  <c r="E50" i="44"/>
  <c r="AC577" i="79"/>
  <c r="AC576" i="79"/>
  <c r="AC578" i="79"/>
  <c r="D53" i="44"/>
  <c r="AD212" i="79"/>
  <c r="AD208" i="79"/>
  <c r="AD211" i="79"/>
  <c r="AD210" i="79"/>
  <c r="AD209"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l="1"/>
  <c r="AB135" i="46"/>
  <c r="AD127" i="46"/>
  <c r="AD138" i="46"/>
  <c r="AD141" i="46"/>
  <c r="AD140" i="46"/>
  <c r="AD135" i="46"/>
  <c r="AD143" i="46"/>
  <c r="AD142" i="46"/>
  <c r="AD139" i="46"/>
  <c r="AD137" i="46"/>
  <c r="AD136"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E23" i="45"/>
  <c r="I128" i="45"/>
  <c r="E86" i="45"/>
  <c r="E100" i="45"/>
  <c r="E72" i="45"/>
  <c r="E107" i="45"/>
  <c r="E114" i="45"/>
  <c r="E79" i="45"/>
  <c r="E93" i="45"/>
  <c r="E65" i="45"/>
  <c r="G65" i="45"/>
  <c r="G100" i="45"/>
  <c r="G86" i="45"/>
  <c r="G114" i="45"/>
  <c r="G107" i="45"/>
  <c r="G79" i="45"/>
  <c r="G93" i="45"/>
  <c r="G72" i="45"/>
  <c r="H93" i="45"/>
  <c r="H79" i="45"/>
  <c r="H86" i="45"/>
  <c r="H107" i="45"/>
  <c r="O127" i="45" s="1"/>
  <c r="H114" i="45"/>
  <c r="P127" i="45" s="1"/>
  <c r="H100" i="45"/>
  <c r="H72" i="45"/>
  <c r="I93" i="45"/>
  <c r="M128" i="45" s="1"/>
  <c r="I86" i="45"/>
  <c r="I72" i="45"/>
  <c r="I100" i="45"/>
  <c r="N128" i="45" s="1"/>
  <c r="I114" i="45"/>
  <c r="P128" i="45" s="1"/>
  <c r="I107" i="45"/>
  <c r="O128" i="45" s="1"/>
  <c r="I79" i="45"/>
  <c r="F58" i="45"/>
  <c r="F107" i="45"/>
  <c r="F86" i="45"/>
  <c r="F100" i="45"/>
  <c r="F72" i="45"/>
  <c r="F93" i="45"/>
  <c r="F114" i="45"/>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H37" i="45"/>
  <c r="E127" i="45" s="1"/>
  <c r="H65" i="45"/>
  <c r="I127" i="45" s="1"/>
  <c r="H30" i="45"/>
  <c r="D127" i="45" s="1"/>
  <c r="I23" i="45"/>
  <c r="C128" i="45" s="1"/>
  <c r="G58" i="45"/>
  <c r="G51" i="45"/>
  <c r="G44" i="45"/>
  <c r="G37" i="45"/>
  <c r="K58" i="45"/>
  <c r="K51" i="45"/>
  <c r="K30" i="45"/>
  <c r="K44" i="45"/>
  <c r="K37" i="45"/>
  <c r="H58" i="45"/>
  <c r="H127" i="45" s="1"/>
  <c r="H44" i="45"/>
  <c r="F127" i="45" s="1"/>
  <c r="H51" i="45"/>
  <c r="G127" i="45" s="1"/>
  <c r="E51" i="45"/>
  <c r="E37" i="45"/>
  <c r="E44" i="45"/>
  <c r="I58" i="45"/>
  <c r="I44" i="45"/>
  <c r="I37" i="45"/>
  <c r="I51" i="45"/>
  <c r="F51" i="45"/>
  <c r="F44" i="45"/>
  <c r="F37" i="45"/>
  <c r="J58" i="45"/>
  <c r="J44" i="45"/>
  <c r="J37" i="45"/>
  <c r="J51" i="45"/>
  <c r="I30" i="45"/>
  <c r="F30" i="45"/>
  <c r="G23" i="45"/>
  <c r="G30"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8" i="45"/>
  <c r="AJ516" i="46"/>
  <c r="AJ520" i="46" s="1"/>
  <c r="N127" i="45"/>
  <c r="AG387" i="46"/>
  <c r="G129" i="45"/>
  <c r="E129" i="45"/>
  <c r="AA381" i="79" s="1"/>
  <c r="AA382" i="79" s="1"/>
  <c r="AF258" i="46"/>
  <c r="Y258" i="46"/>
  <c r="Y259" i="46" s="1"/>
  <c r="F128" i="45"/>
  <c r="E130" i="45"/>
  <c r="L130" i="45"/>
  <c r="J128" i="45"/>
  <c r="K127" i="45"/>
  <c r="AG516" i="46" s="1"/>
  <c r="AG520" i="46" s="1"/>
  <c r="AF130" i="46"/>
  <c r="AF131" i="46" s="1"/>
  <c r="K54" i="43" s="1"/>
  <c r="I129" i="45"/>
  <c r="AG130" i="46"/>
  <c r="AG131" i="46" s="1"/>
  <c r="L54" i="43" s="1"/>
  <c r="G128" i="45"/>
  <c r="E128" i="45"/>
  <c r="AE198" i="79" s="1"/>
  <c r="AE202" i="79" s="1"/>
  <c r="D129" i="45"/>
  <c r="H128" i="45"/>
  <c r="F130" i="45"/>
  <c r="C132" i="45"/>
  <c r="M130" i="45"/>
  <c r="AH258" i="46"/>
  <c r="L128" i="45"/>
  <c r="AI516" i="46"/>
  <c r="M127" i="45"/>
  <c r="K129" i="45"/>
  <c r="K130" i="45"/>
  <c r="J129" i="45"/>
  <c r="AH516" i="46"/>
  <c r="L127" i="45"/>
  <c r="AI387" i="46"/>
  <c r="AI389" i="46" s="1"/>
  <c r="F129" i="45"/>
  <c r="H129" i="45"/>
  <c r="D130" i="45"/>
  <c r="I130" i="45"/>
  <c r="J130" i="45"/>
  <c r="AF387" i="46"/>
  <c r="AH130" i="46"/>
  <c r="AH131" i="46" s="1"/>
  <c r="M54" i="43" s="1"/>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Y522" i="46"/>
  <c r="D64" i="43" s="1"/>
  <c r="AD522" i="46"/>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R26" i="47"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Y757" i="79"/>
  <c r="AJ390" i="46"/>
  <c r="AI390" i="46"/>
  <c r="Y202" i="79"/>
  <c r="Y200" i="79"/>
  <c r="Y201" i="79"/>
  <c r="AJ388" i="46"/>
  <c r="Y205" i="79"/>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I64" i="43"/>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67" i="79" l="1"/>
  <c r="AK565" i="79"/>
  <c r="AK571" i="79"/>
  <c r="AK569" i="79"/>
  <c r="AK570" i="79"/>
  <c r="AK566" i="79"/>
  <c r="AK568" i="79"/>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Y573" i="79"/>
  <c r="D73" i="43" s="1"/>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Y756" i="79"/>
  <c r="D75" i="43" s="1"/>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K572" i="79" l="1"/>
  <c r="P72" i="43" s="1"/>
  <c r="AM205" i="79"/>
  <c r="AD572" i="79"/>
  <c r="I72" i="43" s="1"/>
  <c r="AJ572" i="79"/>
  <c r="O72" i="43" s="1"/>
  <c r="AM521" i="46"/>
  <c r="AM523" i="46" s="1"/>
  <c r="U31" i="47"/>
  <c r="R55"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G104" i="43"/>
  <c r="AM936" i="79"/>
  <c r="AM755" i="79"/>
  <c r="AM939" i="79"/>
  <c r="AM938" i="79"/>
  <c r="AM757" i="79"/>
  <c r="J104" i="43" s="1"/>
  <c r="D103" i="43"/>
  <c r="C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E87"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Z756" i="79"/>
  <c r="E75" i="43" s="1"/>
  <c r="J94" i="43"/>
  <c r="L97" i="43"/>
  <c r="AL756" i="79"/>
  <c r="Q75" i="43" s="1"/>
  <c r="AF756" i="79"/>
  <c r="K75" i="43" s="1"/>
  <c r="AD940" i="79"/>
  <c r="I78" i="43" s="1"/>
  <c r="J95" i="43"/>
  <c r="I96" i="43"/>
  <c r="Y572" i="79"/>
  <c r="D72" i="43" s="1"/>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L87" i="43" l="1"/>
  <c r="Q87" i="43"/>
  <c r="M87" i="43"/>
  <c r="I87" i="43"/>
  <c r="P87" i="43"/>
  <c r="N87" i="43"/>
  <c r="T75" i="47"/>
  <c r="O87" i="43"/>
  <c r="H87" i="43"/>
  <c r="D87" i="43"/>
  <c r="K87" i="43"/>
  <c r="J87" i="43"/>
  <c r="F87" i="43"/>
  <c r="L81" i="47"/>
  <c r="G87" i="43"/>
  <c r="U83" i="47"/>
  <c r="H20" i="43"/>
  <c r="E29" i="43"/>
  <c r="Q82" i="47"/>
  <c r="P83" i="47"/>
  <c r="R63"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R69"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R75"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E32"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66" i="43"/>
  <c r="R87" i="43" s="1"/>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7"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1"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30"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3"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D105" i="43" s="1"/>
  <c r="K42" i="47"/>
  <c r="F29" i="43" l="1"/>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R85" i="43" s="1"/>
  <c r="F31" i="43"/>
  <c r="F43" i="43" s="1"/>
  <c r="W89" i="47"/>
  <c r="W102" i="47" s="1"/>
  <c r="G105" i="43"/>
  <c r="H21" i="43" l="1"/>
  <c r="H22" i="43" s="1"/>
  <c r="G31" i="43"/>
  <c r="G43" i="43" s="1"/>
  <c r="G106" i="43"/>
  <c r="W104" i="47"/>
  <c r="W117" i="47" s="1"/>
  <c r="H105" i="43"/>
  <c r="H106" i="43" s="1"/>
  <c r="W119" i="47" l="1"/>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Tandem Energy Services</author>
  </authors>
  <commentList>
    <comment ref="F16" authorId="0" shapeId="0" xr:uid="{90D733FB-412B-463C-A3B0-9FA346467C19}">
      <text>
        <r>
          <rPr>
            <b/>
            <sz val="9"/>
            <color indexed="81"/>
            <rFont val="Tahoma"/>
            <family val="2"/>
          </rPr>
          <t>Tandem Energy Services:</t>
        </r>
        <r>
          <rPr>
            <sz val="9"/>
            <color indexed="81"/>
            <rFont val="Tahoma"/>
            <family val="2"/>
          </rPr>
          <t xml:space="preserve">
Calculated as the Settlement agreement only had the baseline in kWh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A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<sst xmlns="http://schemas.openxmlformats.org/spreadsheetml/2006/main" count="2924" uniqueCount="700">
  <si>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</si>
  <si>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</si>
  <si>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</si>
  <si>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</si>
  <si>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</si>
  <si>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</si>
  <si>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</si>
  <si>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</si>
  <si>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</si>
  <si>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</si>
  <si>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</si>
  <si>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</si>
  <si>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</si>
  <si>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</si>
  <si>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</si>
  <si>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</si>
  <si>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</si>
  <si>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</si>
  <si>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</si>
  <si>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</si>
  <si>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</si>
  <si>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</si>
  <si>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</si>
  <si>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</si>
  <si>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</si>
  <si>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</si>
  <si>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</si>
  <si>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</si>
  <si>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</si>
  <si>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</si>
  <si>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</si>
  <si>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</si>
  <si>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</si>
  <si>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</si>
  <si>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</si>
  <si>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</si>
  <si>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</si>
  <si>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</si>
  <si>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</si>
  <si>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</si>
  <si>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</si>
  <si>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</si>
  <si>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</si>
  <si>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</si>
  <si>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</si>
  <si>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</si>
  <si>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</si>
  <si>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</si>
  <si>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</si>
  <si>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</si>
  <si>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</si>
  <si>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</si>
  <si>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</si>
  <si>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</si>
  <si>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</si>
  <si>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</si>
  <si>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</si>
  <si>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</si>
  <si>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</si>
  <si>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</si>
  <si>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</si>
  <si>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</si>
  <si>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</si>
  <si>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</si>
  <si>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</si>
  <si>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</si>
  <si>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</si>
  <si>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</si>
  <si>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</si>
  <si>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</si>
  <si>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</si>
  <si>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</si>
  <si>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</si>
  <si>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</si>
  <si>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</si>
  <si>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</si>
  <si>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</si>
  <si>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</si>
  <si>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</si>
  <si>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</si>
  <si>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</si>
  <si>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</si>
  <si>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</si>
  <si>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</si>
  <si>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</si>
  <si>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</si>
  <si>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</si>
  <si>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</si>
  <si>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</si>
  <si>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</si>
  <si>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</si>
  <si>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</si>
  <si>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</si>
  <si>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</si>
  <si>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</si>
  <si>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</si>
  <si>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</si>
  <si>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</si>
  <si>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</si>
  <si>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</si>
  <si>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</si>
  <si>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</si>
  <si>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</si>
  <si>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</si>
  <si>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</si>
  <si>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</si>
  <si>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</si>
  <si>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</si>
  <si>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</si>
  <si>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</si>
  <si>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</si>
  <si>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</si>
  <si>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</si>
  <si>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</si>
  <si>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</si>
  <si>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</si>
  <si>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</si>
  <si>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</si>
  <si>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</si>
  <si>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</si>
  <si>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</si>
  <si>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</si>
  <si>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</si>
  <si>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</si>
  <si>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</si>
  <si>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</si>
  <si>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</si>
  <si>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</si>
  <si>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</si>
  <si>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</si>
  <si>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</si>
  <si>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</si>
  <si>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</si>
  <si>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</si>
  <si>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</si>
  <si>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</si>
  <si>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</si>
  <si>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</si>
  <si>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</si>
  <si>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</si>
  <si>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</si>
  <si>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</si>
  <si>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</si>
  <si>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</si>
  <si>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</si>
  <si>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</si>
  <si>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</si>
  <si>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</si>
  <si>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</si>
  <si>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</si>
  <si>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</si>
  <si>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</si>
  <si>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</si>
  <si>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</si>
  <si>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</si>
  <si>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</si>
  <si>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</si>
  <si>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</si>
  <si>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</si>
  <si>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</si>
  <si>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</si>
  <si>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</si>
  <si>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</si>
  <si>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</si>
  <si>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</si>
  <si>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</si>
  <si>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</si>
  <si>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</si>
  <si>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</si>
  <si>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</si>
  <si>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</si>
  <si>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</si>
  <si>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</si>
  <si>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</si>
  <si>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</si>
  <si>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</si>
  <si>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</si>
  <si>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</si>
  <si>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</si>
  <si>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</si>
  <si>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</si>
  <si>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</si>
  <si>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</si>
  <si>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</si>
  <si>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</si>
  <si>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</si>
  <si>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</si>
  <si>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</si>
  <si>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</si>
  <si>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</si>
  <si>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</si>
  <si>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</si>
  <si>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</si>
  <si>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</si>
  <si>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</si>
  <si>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</si>
  <si>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</si>
  <si>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</si>
  <si>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</si>
  <si>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</si>
  <si>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</si>
  <si>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</si>
  <si>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</si>
  <si>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</si>
  <si>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</si>
  <si>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</si>
  <si>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</si>
  <si>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</si>
  <si>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</si>
  <si>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</si>
  <si>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</si>
  <si>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</si>
  <si>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</si>
  <si>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</si>
  <si>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</si>
  <si>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</si>
  <si>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</si>
  <si>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</si>
  <si>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</si>
  <si>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</si>
  <si>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</si>
  <si>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</si>
  <si>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</si>
  <si>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</si>
  <si>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</si>
  <si>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</si>
  <si>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</si>
  <si>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</si>
  <si>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</si>
  <si>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</si>
  <si>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</si>
  <si>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</si>
  <si>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</si>
  <si>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</si>
  <si>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</si>
  <si>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</si>
  <si>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</si>
  <si>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</si>
  <si>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</si>
  <si>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</si>
  <si>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</si>
  <si>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</si>
  <si>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</si>
  <si>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</si>
  <si>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</si>
  <si>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</si>
  <si>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</si>
  <si>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</si>
  <si>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</si>
  <si>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</si>
  <si>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</si>
  <si>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</si>
  <si>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</si>
  <si>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</si>
  <si>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</si>
  <si>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</si>
  <si>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</si>
  <si>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</si>
  <si>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</si>
  <si>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</si>
  <si>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</si>
  <si>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</si>
  <si>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</si>
  <si>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</si>
  <si>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</si>
  <si>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</si>
  <si>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</si>
  <si>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</si>
  <si>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</si>
  <si>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</si>
  <si>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</si>
  <si>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</si>
  <si>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</si>
  <si>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</si>
  <si>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</si>
  <si>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</si>
  <si>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</si>
  <si>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</si>
  <si>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</si>
  <si>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</si>
  <si>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</si>
  <si>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</si>
  <si>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</si>
  <si>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</si>
  <si>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</si>
  <si>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</si>
  <si>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</si>
  <si>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</si>
  <si>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</si>
  <si>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</si>
  <si>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</si>
  <si>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</si>
  <si>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</si>
  <si>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</si>
  <si>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</si>
  <si>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</si>
  <si>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</si>
  <si>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</si>
  <si>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</si>
  <si>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</si>
  <si>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</si>
  <si>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</si>
  <si>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</si>
  <si>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</si>
  <si>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</si>
  <si>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</si>
  <si>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</si>
  <si>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</si>
  <si>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</si>
  <si>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</si>
  <si>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</si>
  <si>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</si>
  <si>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</si>
  <si>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</si>
  <si>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</si>
  <si>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</si>
  <si>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</si>
  <si>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</si>
  <si>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</si>
  <si>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</si>
  <si>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</si>
  <si>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</si>
  <si>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</si>
  <si>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</si>
  <si>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</si>
  <si>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</si>
  <si>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</si>
  <si>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</si>
  <si>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</si>
  <si>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</si>
  <si>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</si>
  <si>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</si>
  <si>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</si>
  <si>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</si>
  <si>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</si>
  <si>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</si>
  <si>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</si>
  <si>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</si>
  <si>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</si>
  <si>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</si>
  <si>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</si>
  <si>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</si>
  <si>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</si>
  <si>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</si>
  <si>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</si>
  <si>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</si>
  <si>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</si>
  <si>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</si>
  <si>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</si>
  <si>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</si>
  <si>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</si>
  <si>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</si>
  <si>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</si>
  <si>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</si>
  <si>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</si>
  <si>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</si>
  <si>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</si>
  <si>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</si>
  <si>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</si>
  <si>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</si>
  <si>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</si>
  <si>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</si>
  <si>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</si>
  <si>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</si>
  <si>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</si>
  <si>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</si>
  <si>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</si>
  <si>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</si>
  <si>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</si>
  <si>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</si>
  <si>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</si>
  <si>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</si>
  <si>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</si>
  <si>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</si>
  <si>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</si>
  <si>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</si>
  <si>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</si>
  <si>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</si>
  <si>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</si>
  <si>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</si>
  <si>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</si>
  <si>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</si>
  <si>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</si>
  <si>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</si>
  <si>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</si>
  <si>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</si>
  <si>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</si>
  <si>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</si>
  <si>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</si>
  <si>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</si>
  <si>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</si>
  <si>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</si>
  <si>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</si>
  <si>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</si>
  <si>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</si>
  <si>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</si>
  <si>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</si>
  <si>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</si>
  <si>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</si>
  <si>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</si>
  <si>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</si>
  <si>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</si>
  <si>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</si>
  <si>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</si>
  <si>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</si>
  <si>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</si>
  <si>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</si>
  <si>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</si>
  <si>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</si>
  <si>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</si>
  <si>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</si>
  <si>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</si>
  <si>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</si>
  <si>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</si>
  <si>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</si>
  <si>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</si>
  <si>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</si>
  <si>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</si>
  <si>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</si>
  <si>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</si>
  <si>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</si>
  <si>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</si>
  <si>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</si>
  <si>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</si>
  <si>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</si>
  <si>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</si>
  <si>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</si>
  <si>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</si>
  <si>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</si>
  <si>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</si>
  <si>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</si>
  <si>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</si>
  <si>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</si>
  <si>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</si>
  <si>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</si>
  <si>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</si>
  <si>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</si>
  <si>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</si>
  <si>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</si>
  <si>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</si>
  <si>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</si>
  <si>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</si>
  <si>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</si>
  <si>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</si>
  <si>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</si>
  <si>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</si>
  <si>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</si>
  <si>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</si>
  <si>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</si>
  <si>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</si>
  <si>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</si>
  <si>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</si>
  <si>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</si>
  <si>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</si>
  <si>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</si>
  <si>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</si>
  <si>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</si>
  <si>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</si>
  <si>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</si>
  <si>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</si>
  <si>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</si>
  <si>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</si>
  <si>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</si>
  <si>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</si>
  <si>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</si>
  <si>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</si>
  <si>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</si>
  <si>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</si>
  <si>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</si>
  <si>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</si>
  <si>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</si>
  <si>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</si>
  <si>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</si>
  <si>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</si>
  <si>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</si>
  <si>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</si>
  <si>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</si>
  <si>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</si>
  <si>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</si>
  <si>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</si>
  <si>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</si>
  <si>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</si>
  <si>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</si>
  <si>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</si>
  <si>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</si>
  <si>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</si>
  <si>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</si>
  <si>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</si>
  <si>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</si>
  <si>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</si>
  <si>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</si>
  <si>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</si>
  <si>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</si>
  <si>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</si>
  <si>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</si>
  <si>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</si>
  <si>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</si>
  <si>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</si>
  <si>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</si>
  <si>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</si>
  <si>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</si>
  <si>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</si>
  <si>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</si>
  <si>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</si>
  <si>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</si>
  <si>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</si>
  <si>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</si>
  <si>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</si>
  <si>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</si>
  <si>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</si>
  <si>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</si>
  <si>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</si>
  <si>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</si>
  <si>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</si>
  <si>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</si>
  <si>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</si>
  <si>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</si>
  <si>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</si>
  <si>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</si>
  <si>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</si>
  <si>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</si>
  <si>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</si>
  <si>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</si>
  <si>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</si>
  <si>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</si>
  <si>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</si>
  <si>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</si>
  <si>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</si>
  <si>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</si>
  <si>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</si>
  <si>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</si>
  <si>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</si>
  <si>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</si>
  <si>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</si>
  <si>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</si>
  <si>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</si>
  <si>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</si>
  <si>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</si>
  <si>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</si>
  <si>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</si>
  <si>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</si>
  <si>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</si>
  <si>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</si>
  <si>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</si>
  <si>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</si>
  <si>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</si>
  <si>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</si>
  <si>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</si>
  <si>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</si>
  <si>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</si>
  <si>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</si>
  <si>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</si>
  <si>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</si>
  <si>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</si>
  <si>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</si>
  <si>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</si>
  <si>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</si>
  <si>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</si>
  <si>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</si>
  <si>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</si>
  <si>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</si>
  <si>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</si>
  <si>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</si>
  <si>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</si>
  <si>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</si>
  <si>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</si>
  <si>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</si>
  <si>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</si>
  <si>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</si>
  <si>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</si>
  <si>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</si>
  <si>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</si>
  <si>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</si>
  <si>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</si>
  <si>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</si>
  <si>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</si>
  <si>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</si>
  <si>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</si>
  <si>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</si>
  <si>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</si>
  <si>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</si>
  <si>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</si>
  <si>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</si>
  <si>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</si>
  <si>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</si>
  <si>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</si>
  <si>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</si>
  <si>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</si>
  <si>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</si>
  <si>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</si>
  <si>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</si>
  <si>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</si>
  <si>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</si>
  <si>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</si>
  <si>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</si>
  <si>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</si>
  <si>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</si>
  <si>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</si>
  <si>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</si>
  <si>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</si>
  <si>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</si>
  <si>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</si>
  <si>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</si>
  <si>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</si>
  <si>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</si>
  <si>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</si>
  <si>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</si>
  <si>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</si>
  <si>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</si>
  <si>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</si>
  <si>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</si>
  <si>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</si>
  <si>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</si>
  <si>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</si>
  <si>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</si>
  <si>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</si>
  <si>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</si>
  <si>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</si>
  <si>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</si>
  <si>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</si>
  <si>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</si>
  <si>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</si>
  <si>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</si>
  <si>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</si>
  <si>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</si>
  <si>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</si>
  <si>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</si>
  <si>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</si>
  <si>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</si>
  <si>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</si>
  <si>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</si>
  <si>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</si>
  <si>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</si>
  <si>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</si>
  <si>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</si>
  <si>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</si>
  <si>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</si>
  <si>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</si>
  <si>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</si>
  <si>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</si>
  <si>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</si>
  <si>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</si>
  <si>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</si>
  <si>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</si>
  <si>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</si>
  <si>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</si>
  <si>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</si>
  <si>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</si>
  <si>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</si>
  <si>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</si>
  <si>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</si>
  <si>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</si>
  <si>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</si>
  <si>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</si>
  <si>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</si>
  <si>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</si>
  <si>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</si>
  <si>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</si>
  <si>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</si>
  <si>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</si>
  <si>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</si>
  <si>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</si>
  <si>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</si>
  <si>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</si>
  <si>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</si>
  <si>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</si>
  <si>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</si>
  <si>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</si>
  <si>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</si>
  <si>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</si>
  <si>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</si>
  <si>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</si>
  <si>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</si>
  <si>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</si>
  <si>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</si>
  <si>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</si>
  <si>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</si>
  <si>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</si>
  <si>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</si>
  <si>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</si>
  <si>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</si>
  <si>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</si>
  <si>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</si>
  <si>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</si>
  <si>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</si>
  <si>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</si>
  <si>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</si>
  <si>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Ontario Clean Water Agency P4P Conservation Fund Pilot Program</t>
  </si>
  <si>
    <t>Save on Energy Instant Discount Program</t>
  </si>
  <si>
    <t>GS 50-1499 KW</t>
  </si>
  <si>
    <t>Intermediate</t>
  </si>
  <si>
    <t>Sentinel</t>
  </si>
  <si>
    <t xml:space="preserve">Street Lighting </t>
  </si>
  <si>
    <t>EB-2017-0046</t>
  </si>
  <si>
    <t>EB-2009-0266</t>
  </si>
  <si>
    <t>EB-2011-0171</t>
  </si>
  <si>
    <t>EB-2012-0131</t>
  </si>
  <si>
    <t>EB-2013-0135</t>
  </si>
  <si>
    <t>EB-2014-0080</t>
  </si>
  <si>
    <t>EB-2016-0224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</si>
</sst>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2"/>
      <color theme="0" tint="-0.34998626667073579"/>
      <name val="Arial"/>
      <family val="2"/>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theme="3" tint="0.59999389629810485"/>
        <bgColor indexed="64"/>
      </patternFill>
    </fill>
    <fill>
      <patternFill patternType="solid">
        <fgColor theme="5" tint="0.79998168889431442"/>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1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41" fillId="96" borderId="0" xfId="0" applyNumberFormat="1" applyFont="1" applyFill="1" applyBorder="1" applyAlignment="1">
      <alignment horizontal="center" vertical="center"/>
    </xf>
    <xf numFmtId="10" fontId="41" fillId="95" borderId="0" xfId="0" applyNumberFormat="1" applyFont="1" applyFill="1" applyBorder="1" applyAlignment="1" applyProtection="1">
      <alignment horizontal="center" vertical="center"/>
      <protection locked="0"/>
    </xf>
    <xf numFmtId="0" fontId="91" fillId="0" borderId="0" xfId="0" applyFont="1" applyFill="1" applyBorder="1" applyAlignment="1" applyProtection="1">
      <alignment vertical="top" wrapText="1"/>
      <protection locked="0"/>
    </xf>
    <xf numFmtId="9" fontId="41" fillId="95" borderId="0" xfId="0" applyNumberFormat="1" applyFont="1" applyFill="1" applyBorder="1" applyAlignment="1">
      <alignment horizontal="center" vertical="center"/>
    </xf>
    <xf numFmtId="0" fontId="91" fillId="94" borderId="89" xfId="0" applyNumberFormat="1" applyFont="1" applyFill="1" applyBorder="1" applyAlignment="1" applyProtection="1">
      <alignment vertical="top" wrapText="1"/>
      <protection locked="0"/>
    </xf>
    <xf numFmtId="3" fontId="91" fillId="94" borderId="89" xfId="0" applyNumberFormat="1" applyFont="1" applyFill="1" applyBorder="1" applyAlignment="1" applyProtection="1">
      <alignment vertical="center"/>
      <protection locked="0"/>
    </xf>
    <xf numFmtId="171" fontId="241" fillId="2" borderId="110" xfId="0" applyNumberFormat="1" applyFont="1" applyFill="1" applyBorder="1" applyAlignment="1">
      <alignment horizont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0" fontId="46" fillId="2" borderId="0" xfId="0" applyFont="1" applyFill="1" applyBorder="1" applyAlignment="1">
      <alignment horizontal="center" vertical="center"/>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0" fontId="48"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0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3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3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3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811471" cy="2342387"/>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161925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5291" y="281441"/>
          <a:ext cx="15425998" cy="157366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13175" y="216648"/>
          <a:ext cx="19875797"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299358" y="134471"/>
          <a:ext cx="19626035"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6:U59"/>
  <sheetViews>
    <sheetView zoomScale="80" zoomScaleNormal="80" workbookViewId="0">
      <pane ySplit="16" topLeftCell="A17" activePane="bottomLeft" state="frozen"/>
      <selection pane="bottomLeft" activeCell="J21" sqref="J21"/>
    </sheetView>
  </sheetViews>
  <sheetFormatPr defaultColWidth="9.140625" defaultRowHeight="15"/>
  <cols>
    <col min="1" max="1" width="9.140625" style="12"/>
    <col min="2" max="2" width="36.85546875" style="704" customWidth="1"/>
    <col min="3" max="3" width="9.140625" style="10"/>
    <col min="4" max="16384" width="9.140625" style="12"/>
  </cols>
  <sheetData>
    <row r="16" spans="2:21" ht="26.25" customHeight="1">
      <c r="B16" s="705" t="s">
        <v>564</v>
      </c>
      <c r="C16" s="751" t="s">
        <v>507</v>
      </c>
      <c r="D16" s="752"/>
      <c r="E16" s="752"/>
      <c r="F16" s="752"/>
      <c r="G16" s="752"/>
      <c r="H16" s="752"/>
      <c r="I16" s="752"/>
      <c r="J16" s="752"/>
      <c r="K16" s="752"/>
      <c r="L16" s="752"/>
      <c r="M16" s="752"/>
      <c r="N16" s="752"/>
      <c r="O16" s="752"/>
      <c r="P16" s="752"/>
      <c r="Q16" s="752"/>
      <c r="R16" s="752"/>
      <c r="S16" s="752"/>
      <c r="T16" s="752"/>
      <c r="U16" s="752"/>
    </row>
    <row r="17" spans="2:21" ht="55.5" customHeight="1">
      <c r="B17" s="706" t="s">
        <v>638</v>
      </c>
      <c r="C17" s="753" t="s">
        <v>639</v>
      </c>
      <c r="D17" s="753"/>
      <c r="E17" s="753"/>
      <c r="F17" s="753"/>
      <c r="G17" s="753"/>
      <c r="H17" s="753"/>
      <c r="I17" s="753"/>
      <c r="J17" s="753"/>
      <c r="K17" s="753"/>
      <c r="L17" s="753"/>
      <c r="M17" s="753"/>
      <c r="N17" s="753"/>
      <c r="O17" s="753"/>
      <c r="P17" s="753"/>
      <c r="Q17" s="753"/>
      <c r="R17" s="753"/>
      <c r="S17" s="753"/>
      <c r="T17" s="753"/>
      <c r="U17" s="754"/>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643</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640</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50" t="s">
        <v>641</v>
      </c>
      <c r="D23" s="750"/>
      <c r="E23" s="750"/>
      <c r="F23" s="750"/>
      <c r="G23" s="750"/>
      <c r="H23" s="750"/>
      <c r="I23" s="750"/>
      <c r="J23" s="750"/>
      <c r="K23" s="750"/>
      <c r="L23" s="750"/>
      <c r="M23" s="750"/>
      <c r="N23" s="750"/>
      <c r="O23" s="750"/>
      <c r="P23" s="750"/>
      <c r="Q23" s="750"/>
      <c r="R23" s="750"/>
      <c r="S23" s="750"/>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644</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50" t="s">
        <v>642</v>
      </c>
      <c r="D27" s="750"/>
      <c r="E27" s="750"/>
      <c r="F27" s="750"/>
      <c r="G27" s="750"/>
      <c r="H27" s="750"/>
      <c r="I27" s="750"/>
      <c r="J27" s="750"/>
      <c r="K27" s="750"/>
      <c r="L27" s="750"/>
      <c r="M27" s="750"/>
      <c r="N27" s="750"/>
      <c r="O27" s="750"/>
      <c r="P27" s="750"/>
      <c r="Q27" s="750"/>
      <c r="R27" s="750"/>
      <c r="S27" s="750"/>
      <c r="T27" s="750"/>
      <c r="U27" s="755"/>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50" t="s">
        <v>645</v>
      </c>
      <c r="D29" s="750"/>
      <c r="E29" s="750"/>
      <c r="F29" s="750"/>
      <c r="G29" s="750"/>
      <c r="H29" s="750"/>
      <c r="I29" s="750"/>
      <c r="J29" s="750"/>
      <c r="K29" s="750"/>
      <c r="L29" s="750"/>
      <c r="M29" s="750"/>
      <c r="N29" s="750"/>
      <c r="O29" s="750"/>
      <c r="P29" s="750"/>
      <c r="Q29" s="750"/>
      <c r="R29" s="750"/>
      <c r="S29" s="750"/>
      <c r="T29" s="750"/>
      <c r="U29" s="755"/>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646</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647</v>
      </c>
      <c r="C33" s="756" t="s">
        <v>648</v>
      </c>
      <c r="D33" s="756"/>
      <c r="E33" s="756"/>
      <c r="F33" s="756"/>
      <c r="G33" s="756"/>
      <c r="H33" s="756"/>
      <c r="I33" s="756"/>
      <c r="J33" s="756"/>
      <c r="K33" s="756"/>
      <c r="L33" s="756"/>
      <c r="M33" s="756"/>
      <c r="N33" s="756"/>
      <c r="O33" s="756"/>
      <c r="P33" s="756"/>
      <c r="Q33" s="756"/>
      <c r="R33" s="756"/>
      <c r="S33" s="756"/>
      <c r="T33" s="756"/>
      <c r="U33" s="757"/>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649</v>
      </c>
      <c r="C35" s="720" t="s">
        <v>650</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651</v>
      </c>
      <c r="C37" s="758" t="s">
        <v>652</v>
      </c>
      <c r="D37" s="758"/>
      <c r="E37" s="758"/>
      <c r="F37" s="758"/>
      <c r="G37" s="758"/>
      <c r="H37" s="758"/>
      <c r="I37" s="758"/>
      <c r="J37" s="758"/>
      <c r="K37" s="758"/>
      <c r="L37" s="758"/>
      <c r="M37" s="758"/>
      <c r="N37" s="758"/>
      <c r="O37" s="758"/>
      <c r="P37" s="758"/>
      <c r="Q37" s="758"/>
      <c r="R37" s="758"/>
      <c r="S37" s="758"/>
      <c r="T37" s="758"/>
      <c r="U37" s="759"/>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653</v>
      </c>
      <c r="C39" s="722" t="s">
        <v>654</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655</v>
      </c>
      <c r="C41" s="760" t="s">
        <v>656</v>
      </c>
      <c r="D41" s="760"/>
      <c r="E41" s="760"/>
      <c r="F41" s="760"/>
      <c r="G41" s="760"/>
      <c r="H41" s="760"/>
      <c r="I41" s="760"/>
      <c r="J41" s="760"/>
      <c r="K41" s="760"/>
      <c r="L41" s="760"/>
      <c r="M41" s="760"/>
      <c r="N41" s="760"/>
      <c r="O41" s="760"/>
      <c r="P41" s="760"/>
      <c r="Q41" s="760"/>
      <c r="R41" s="760"/>
      <c r="S41" s="760"/>
      <c r="T41" s="760"/>
      <c r="U41" s="761"/>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657</v>
      </c>
      <c r="C43" s="720" t="s">
        <v>658</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48" t="s">
        <v>675</v>
      </c>
      <c r="D45" s="748"/>
      <c r="E45" s="748"/>
      <c r="F45" s="748"/>
      <c r="G45" s="748"/>
      <c r="H45" s="748"/>
      <c r="I45" s="748"/>
      <c r="J45" s="748"/>
      <c r="K45" s="748"/>
      <c r="L45" s="748"/>
      <c r="M45" s="748"/>
      <c r="N45" s="748"/>
      <c r="O45" s="748"/>
      <c r="P45" s="748"/>
      <c r="Q45" s="748"/>
      <c r="R45" s="748"/>
      <c r="S45" s="748"/>
      <c r="T45" s="748"/>
      <c r="U45" s="749"/>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48" t="s">
        <v>659</v>
      </c>
      <c r="D47" s="748"/>
      <c r="E47" s="748"/>
      <c r="F47" s="748"/>
      <c r="G47" s="748"/>
      <c r="H47" s="748"/>
      <c r="I47" s="748"/>
      <c r="J47" s="748"/>
      <c r="K47" s="748"/>
      <c r="L47" s="748"/>
      <c r="M47" s="748"/>
      <c r="N47" s="748"/>
      <c r="O47" s="748"/>
      <c r="P47" s="748"/>
      <c r="Q47" s="748"/>
      <c r="R47" s="748"/>
      <c r="S47" s="748"/>
      <c r="T47" s="748"/>
      <c r="U47" s="749"/>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48" t="s">
        <v>660</v>
      </c>
      <c r="D49" s="748"/>
      <c r="E49" s="748"/>
      <c r="F49" s="748"/>
      <c r="G49" s="748"/>
      <c r="H49" s="748"/>
      <c r="I49" s="748"/>
      <c r="J49" s="748"/>
      <c r="K49" s="748"/>
      <c r="L49" s="748"/>
      <c r="M49" s="748"/>
      <c r="N49" s="748"/>
      <c r="O49" s="748"/>
      <c r="P49" s="748"/>
      <c r="Q49" s="748"/>
      <c r="R49" s="748"/>
      <c r="S49" s="748"/>
      <c r="T49" s="748"/>
      <c r="U49" s="749"/>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48" t="s">
        <v>661</v>
      </c>
      <c r="D51" s="748"/>
      <c r="E51" s="748"/>
      <c r="F51" s="748"/>
      <c r="G51" s="748"/>
      <c r="H51" s="748"/>
      <c r="I51" s="748"/>
      <c r="J51" s="748"/>
      <c r="K51" s="748"/>
      <c r="L51" s="748"/>
      <c r="M51" s="748"/>
      <c r="N51" s="748"/>
      <c r="O51" s="748"/>
      <c r="P51" s="748"/>
      <c r="Q51" s="748"/>
      <c r="R51" s="748"/>
      <c r="S51" s="748"/>
      <c r="T51" s="748"/>
      <c r="U51" s="749"/>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50" t="s">
        <v>674</v>
      </c>
      <c r="D53" s="750"/>
      <c r="E53" s="750"/>
      <c r="F53" s="750"/>
      <c r="G53" s="750"/>
      <c r="H53" s="750"/>
      <c r="I53" s="750"/>
      <c r="J53" s="750"/>
      <c r="K53" s="750"/>
      <c r="L53" s="750"/>
      <c r="M53" s="750"/>
      <c r="N53" s="750"/>
      <c r="O53" s="750"/>
      <c r="P53" s="750"/>
      <c r="Q53" s="750"/>
      <c r="R53" s="750"/>
      <c r="S53" s="750"/>
      <c r="T53" s="750"/>
      <c r="U53" s="755"/>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662</v>
      </c>
      <c r="C55" s="758" t="s">
        <v>663</v>
      </c>
      <c r="D55" s="758"/>
      <c r="E55" s="758"/>
      <c r="F55" s="758"/>
      <c r="G55" s="758"/>
      <c r="H55" s="758"/>
      <c r="I55" s="758"/>
      <c r="J55" s="758"/>
      <c r="K55" s="758"/>
      <c r="L55" s="758"/>
      <c r="M55" s="758"/>
      <c r="N55" s="758"/>
      <c r="O55" s="758"/>
      <c r="P55" s="758"/>
      <c r="Q55" s="758"/>
      <c r="R55" s="758"/>
      <c r="S55" s="758"/>
      <c r="T55" s="758"/>
      <c r="U55" s="759"/>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664</v>
      </c>
      <c r="C57" s="758" t="s">
        <v>665</v>
      </c>
      <c r="D57" s="758"/>
      <c r="E57" s="758"/>
      <c r="F57" s="758"/>
      <c r="G57" s="758"/>
      <c r="H57" s="758"/>
      <c r="I57" s="758"/>
      <c r="J57" s="758"/>
      <c r="K57" s="758"/>
      <c r="L57" s="758"/>
      <c r="M57" s="758"/>
      <c r="N57" s="758"/>
      <c r="O57" s="758"/>
      <c r="P57" s="758"/>
      <c r="Q57" s="758"/>
      <c r="R57" s="758"/>
      <c r="S57" s="758"/>
      <c r="T57" s="758"/>
      <c r="U57" s="759"/>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666</v>
      </c>
      <c r="C59" s="727" t="s">
        <v>667</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3:AP1130"/>
  <sheetViews>
    <sheetView topLeftCell="A585" zoomScale="70" zoomScaleNormal="70" workbookViewId="0">
      <pane xSplit="2" topLeftCell="C1" activePane="topRight" state="frozen"/>
      <selection pane="topRight" activeCell="L1139" sqref="L1139"/>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12" width="10.7109375" style="427" bestFit="1" customWidth="1" outlineLevel="1"/>
    <col min="13" max="13" width="13.5703125" style="427" bestFit="1" customWidth="1" outlineLevel="1"/>
    <col min="14" max="14" width="13.5703125" style="427" customWidth="1" outlineLevel="1"/>
    <col min="15" max="15" width="15.7109375" style="427" customWidth="1"/>
    <col min="16" max="24" width="9.140625" style="427" customWidth="1" outlineLevel="1"/>
    <col min="25" max="26" width="18.7109375" style="427" bestFit="1" customWidth="1"/>
    <col min="27" max="27" width="16.42578125" style="427" bestFit="1"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8.7109375" style="427" bestFit="1" customWidth="1"/>
    <col min="40" max="40" width="11.7109375" style="427" customWidth="1"/>
    <col min="41" max="16384" width="9.140625" style="427"/>
  </cols>
  <sheetData>
    <row r="13" spans="2:39" ht="15.75" thickBot="1"/>
    <row r="14" spans="2:39" ht="26.25" customHeight="1" thickBot="1">
      <c r="B14" s="810"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10"/>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10"/>
      <c r="C16" s="793" t="s">
        <v>554</v>
      </c>
      <c r="D16" s="794"/>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10" t="s">
        <v>507</v>
      </c>
      <c r="C18" s="809" t="s">
        <v>668</v>
      </c>
      <c r="D18" s="809"/>
      <c r="E18" s="809"/>
      <c r="F18" s="809"/>
      <c r="G18" s="809"/>
      <c r="H18" s="809"/>
      <c r="I18" s="809"/>
      <c r="J18" s="809"/>
      <c r="K18" s="809"/>
      <c r="L18" s="809"/>
      <c r="M18" s="809"/>
      <c r="N18" s="809"/>
      <c r="O18" s="809"/>
      <c r="P18" s="809"/>
      <c r="Q18" s="809"/>
      <c r="R18" s="809"/>
      <c r="S18" s="809"/>
      <c r="T18" s="809"/>
      <c r="U18" s="809"/>
      <c r="V18" s="809"/>
      <c r="W18" s="809"/>
      <c r="X18" s="809"/>
      <c r="Y18" s="606"/>
      <c r="Z18" s="606"/>
      <c r="AA18" s="606"/>
      <c r="AB18" s="606"/>
      <c r="AC18" s="606"/>
      <c r="AD18" s="606"/>
      <c r="AE18" s="270"/>
      <c r="AF18" s="265"/>
      <c r="AG18" s="265"/>
      <c r="AH18" s="265"/>
      <c r="AI18" s="265"/>
      <c r="AJ18" s="265"/>
      <c r="AK18" s="265"/>
      <c r="AL18" s="265"/>
      <c r="AM18" s="265"/>
    </row>
    <row r="19" spans="2:39" ht="45.75" customHeight="1">
      <c r="B19" s="810"/>
      <c r="C19" s="809" t="s">
        <v>573</v>
      </c>
      <c r="D19" s="809"/>
      <c r="E19" s="809"/>
      <c r="F19" s="809"/>
      <c r="G19" s="809"/>
      <c r="H19" s="809"/>
      <c r="I19" s="809"/>
      <c r="J19" s="809"/>
      <c r="K19" s="809"/>
      <c r="L19" s="809"/>
      <c r="M19" s="809"/>
      <c r="N19" s="809"/>
      <c r="O19" s="809"/>
      <c r="P19" s="809"/>
      <c r="Q19" s="809"/>
      <c r="R19" s="809"/>
      <c r="S19" s="809"/>
      <c r="T19" s="809"/>
      <c r="U19" s="809"/>
      <c r="V19" s="809"/>
      <c r="W19" s="809"/>
      <c r="X19" s="809"/>
      <c r="Y19" s="606"/>
      <c r="Z19" s="606"/>
      <c r="AA19" s="606"/>
      <c r="AB19" s="606"/>
      <c r="AC19" s="606"/>
      <c r="AD19" s="606"/>
      <c r="AE19" s="270"/>
      <c r="AF19" s="265"/>
      <c r="AG19" s="265"/>
      <c r="AH19" s="265"/>
      <c r="AI19" s="265"/>
      <c r="AJ19" s="265"/>
      <c r="AK19" s="265"/>
      <c r="AL19" s="265"/>
      <c r="AM19" s="265"/>
    </row>
    <row r="20" spans="2:39" ht="62.25" customHeight="1">
      <c r="B20" s="273"/>
      <c r="C20" s="809" t="s">
        <v>571</v>
      </c>
      <c r="D20" s="809"/>
      <c r="E20" s="809"/>
      <c r="F20" s="809"/>
      <c r="G20" s="809"/>
      <c r="H20" s="809"/>
      <c r="I20" s="809"/>
      <c r="J20" s="809"/>
      <c r="K20" s="809"/>
      <c r="L20" s="809"/>
      <c r="M20" s="809"/>
      <c r="N20" s="809"/>
      <c r="O20" s="809"/>
      <c r="P20" s="809"/>
      <c r="Q20" s="809"/>
      <c r="R20" s="809"/>
      <c r="S20" s="809"/>
      <c r="T20" s="809"/>
      <c r="U20" s="809"/>
      <c r="V20" s="809"/>
      <c r="W20" s="809"/>
      <c r="X20" s="809"/>
      <c r="Y20" s="606"/>
      <c r="Z20" s="606"/>
      <c r="AA20" s="606"/>
      <c r="AB20" s="606"/>
      <c r="AC20" s="606"/>
      <c r="AD20" s="606"/>
      <c r="AE20" s="428"/>
      <c r="AF20" s="265"/>
      <c r="AG20" s="265"/>
      <c r="AH20" s="265"/>
      <c r="AI20" s="265"/>
      <c r="AJ20" s="265"/>
      <c r="AK20" s="265"/>
      <c r="AL20" s="265"/>
      <c r="AM20" s="265"/>
    </row>
    <row r="21" spans="2:39" ht="37.5" customHeight="1">
      <c r="B21" s="273"/>
      <c r="C21" s="809" t="s">
        <v>637</v>
      </c>
      <c r="D21" s="809"/>
      <c r="E21" s="809"/>
      <c r="F21" s="809"/>
      <c r="G21" s="809"/>
      <c r="H21" s="809"/>
      <c r="I21" s="809"/>
      <c r="J21" s="809"/>
      <c r="K21" s="809"/>
      <c r="L21" s="809"/>
      <c r="M21" s="809"/>
      <c r="N21" s="809"/>
      <c r="O21" s="809"/>
      <c r="P21" s="809"/>
      <c r="Q21" s="809"/>
      <c r="R21" s="809"/>
      <c r="S21" s="809"/>
      <c r="T21" s="809"/>
      <c r="U21" s="809"/>
      <c r="V21" s="809"/>
      <c r="W21" s="809"/>
      <c r="X21" s="809"/>
      <c r="Y21" s="606"/>
      <c r="Z21" s="606"/>
      <c r="AA21" s="606"/>
      <c r="AB21" s="606"/>
      <c r="AC21" s="606"/>
      <c r="AD21" s="606"/>
      <c r="AE21" s="276"/>
      <c r="AF21" s="265"/>
      <c r="AG21" s="265"/>
      <c r="AH21" s="265"/>
      <c r="AI21" s="265"/>
      <c r="AJ21" s="265"/>
      <c r="AK21" s="265"/>
      <c r="AL21" s="265"/>
      <c r="AM21" s="265"/>
    </row>
    <row r="22" spans="2:39" ht="54.75" customHeight="1">
      <c r="B22" s="273"/>
      <c r="C22" s="809" t="s">
        <v>621</v>
      </c>
      <c r="D22" s="809"/>
      <c r="E22" s="809"/>
      <c r="F22" s="809"/>
      <c r="G22" s="809"/>
      <c r="H22" s="809"/>
      <c r="I22" s="809"/>
      <c r="J22" s="809"/>
      <c r="K22" s="809"/>
      <c r="L22" s="809"/>
      <c r="M22" s="809"/>
      <c r="N22" s="809"/>
      <c r="O22" s="809"/>
      <c r="P22" s="809"/>
      <c r="Q22" s="809"/>
      <c r="R22" s="809"/>
      <c r="S22" s="809"/>
      <c r="T22" s="809"/>
      <c r="U22" s="809"/>
      <c r="V22" s="809"/>
      <c r="W22" s="809"/>
      <c r="X22" s="809"/>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10" t="s">
        <v>530</v>
      </c>
      <c r="C24" s="596" t="s">
        <v>532</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10"/>
      <c r="C25" s="596" t="s">
        <v>533</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534</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535</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536</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537</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267</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00" t="s">
        <v>211</v>
      </c>
      <c r="C34" s="802" t="s">
        <v>33</v>
      </c>
      <c r="D34" s="284" t="s">
        <v>423</v>
      </c>
      <c r="E34" s="804" t="s">
        <v>209</v>
      </c>
      <c r="F34" s="805"/>
      <c r="G34" s="805"/>
      <c r="H34" s="805"/>
      <c r="I34" s="805"/>
      <c r="J34" s="805"/>
      <c r="K34" s="805"/>
      <c r="L34" s="805"/>
      <c r="M34" s="806"/>
      <c r="N34" s="807" t="s">
        <v>213</v>
      </c>
      <c r="O34" s="284" t="s">
        <v>424</v>
      </c>
      <c r="P34" s="804" t="s">
        <v>212</v>
      </c>
      <c r="Q34" s="805"/>
      <c r="R34" s="805"/>
      <c r="S34" s="805"/>
      <c r="T34" s="805"/>
      <c r="U34" s="805"/>
      <c r="V34" s="805"/>
      <c r="W34" s="805"/>
      <c r="X34" s="806"/>
      <c r="Y34" s="797" t="s">
        <v>244</v>
      </c>
      <c r="Z34" s="798"/>
      <c r="AA34" s="798"/>
      <c r="AB34" s="798"/>
      <c r="AC34" s="798"/>
      <c r="AD34" s="798"/>
      <c r="AE34" s="798"/>
      <c r="AF34" s="798"/>
      <c r="AG34" s="798"/>
      <c r="AH34" s="798"/>
      <c r="AI34" s="798"/>
      <c r="AJ34" s="798"/>
      <c r="AK34" s="798"/>
      <c r="AL34" s="798"/>
      <c r="AM34" s="799"/>
    </row>
    <row r="35" spans="1:39" ht="65.25" customHeight="1">
      <c r="B35" s="801"/>
      <c r="C35" s="803"/>
      <c r="D35" s="285">
        <v>2015</v>
      </c>
      <c r="E35" s="285">
        <v>2016</v>
      </c>
      <c r="F35" s="285">
        <v>2017</v>
      </c>
      <c r="G35" s="285">
        <v>2018</v>
      </c>
      <c r="H35" s="285">
        <v>2019</v>
      </c>
      <c r="I35" s="285">
        <v>2020</v>
      </c>
      <c r="J35" s="285">
        <v>2021</v>
      </c>
      <c r="K35" s="285">
        <v>2022</v>
      </c>
      <c r="L35" s="285">
        <v>2023</v>
      </c>
      <c r="M35" s="429">
        <v>2024</v>
      </c>
      <c r="N35" s="808"/>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50-1499 KW</v>
      </c>
      <c r="AB35" s="285" t="str">
        <f>'1.  LRAMVA Summary'!G52</f>
        <v>Intermediate</v>
      </c>
      <c r="AC35" s="285" t="str">
        <f>'1.  LRAMVA Summary'!H52</f>
        <v>Sentinel</v>
      </c>
      <c r="AD35" s="285" t="str">
        <f>'1.  LRAMVA Summary'!I52</f>
        <v xml:space="preserve">Street Lighting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505</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498</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214038</v>
      </c>
      <c r="E38" s="295">
        <v>211386</v>
      </c>
      <c r="F38" s="295">
        <v>211386</v>
      </c>
      <c r="G38" s="295">
        <v>211386</v>
      </c>
      <c r="H38" s="295">
        <v>211386</v>
      </c>
      <c r="I38" s="295">
        <v>211386</v>
      </c>
      <c r="J38" s="295">
        <v>211386</v>
      </c>
      <c r="K38" s="295">
        <v>211130</v>
      </c>
      <c r="L38" s="295">
        <v>211130</v>
      </c>
      <c r="M38" s="295">
        <v>211130</v>
      </c>
      <c r="N38" s="291"/>
      <c r="O38" s="295">
        <v>17</v>
      </c>
      <c r="P38" s="295">
        <v>17</v>
      </c>
      <c r="Q38" s="295">
        <v>17</v>
      </c>
      <c r="R38" s="295">
        <v>17</v>
      </c>
      <c r="S38" s="295">
        <v>17</v>
      </c>
      <c r="T38" s="295">
        <v>17</v>
      </c>
      <c r="U38" s="295">
        <v>17</v>
      </c>
      <c r="V38" s="295">
        <v>17</v>
      </c>
      <c r="W38" s="295">
        <v>17</v>
      </c>
      <c r="X38" s="295">
        <v>17</v>
      </c>
      <c r="Y38" s="410">
        <v>1</v>
      </c>
      <c r="Z38" s="410"/>
      <c r="AA38" s="410"/>
      <c r="AB38" s="410"/>
      <c r="AC38" s="410"/>
      <c r="AD38" s="410"/>
      <c r="AE38" s="410"/>
      <c r="AF38" s="410"/>
      <c r="AG38" s="410"/>
      <c r="AH38" s="410"/>
      <c r="AI38" s="410"/>
      <c r="AJ38" s="410"/>
      <c r="AK38" s="410"/>
      <c r="AL38" s="410"/>
      <c r="AM38" s="296">
        <f>SUM(Y38:AL38)</f>
        <v>1</v>
      </c>
    </row>
    <row r="39" spans="1:39" outlineLevel="1">
      <c r="B39" s="294" t="s">
        <v>268</v>
      </c>
      <c r="C39" s="291" t="s">
        <v>163</v>
      </c>
      <c r="D39" s="295">
        <v>130985</v>
      </c>
      <c r="E39" s="295">
        <v>128889</v>
      </c>
      <c r="F39" s="295">
        <v>128889</v>
      </c>
      <c r="G39" s="295">
        <v>128889</v>
      </c>
      <c r="H39" s="295">
        <v>128889</v>
      </c>
      <c r="I39" s="295">
        <v>128889</v>
      </c>
      <c r="J39" s="295">
        <v>128889</v>
      </c>
      <c r="K39" s="295">
        <v>128886</v>
      </c>
      <c r="L39" s="295">
        <v>128886</v>
      </c>
      <c r="M39" s="295">
        <v>128886</v>
      </c>
      <c r="N39" s="468"/>
      <c r="O39" s="295">
        <v>8</v>
      </c>
      <c r="P39" s="295">
        <v>8</v>
      </c>
      <c r="Q39" s="295">
        <v>8</v>
      </c>
      <c r="R39" s="295">
        <v>8</v>
      </c>
      <c r="S39" s="295">
        <v>8</v>
      </c>
      <c r="T39" s="295">
        <v>8</v>
      </c>
      <c r="U39" s="295">
        <v>8</v>
      </c>
      <c r="V39" s="295">
        <v>8</v>
      </c>
      <c r="W39" s="295">
        <v>8</v>
      </c>
      <c r="X39" s="295">
        <v>8</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61851</v>
      </c>
      <c r="E41" s="295">
        <v>60752</v>
      </c>
      <c r="F41" s="295">
        <v>60752</v>
      </c>
      <c r="G41" s="295">
        <v>60752</v>
      </c>
      <c r="H41" s="295">
        <v>60752</v>
      </c>
      <c r="I41" s="295">
        <v>60752</v>
      </c>
      <c r="J41" s="295">
        <v>60752</v>
      </c>
      <c r="K41" s="295">
        <v>60720</v>
      </c>
      <c r="L41" s="295">
        <v>60720</v>
      </c>
      <c r="M41" s="295">
        <v>60720</v>
      </c>
      <c r="N41" s="291"/>
      <c r="O41" s="295">
        <v>4</v>
      </c>
      <c r="P41" s="295">
        <v>4</v>
      </c>
      <c r="Q41" s="295">
        <v>4</v>
      </c>
      <c r="R41" s="295">
        <v>4</v>
      </c>
      <c r="S41" s="295">
        <v>4</v>
      </c>
      <c r="T41" s="295">
        <v>4</v>
      </c>
      <c r="U41" s="295">
        <v>4</v>
      </c>
      <c r="V41" s="295">
        <v>4</v>
      </c>
      <c r="W41" s="295">
        <v>4</v>
      </c>
      <c r="X41" s="295">
        <v>4</v>
      </c>
      <c r="Y41" s="410">
        <v>1</v>
      </c>
      <c r="Z41" s="410"/>
      <c r="AA41" s="410"/>
      <c r="AB41" s="410"/>
      <c r="AC41" s="410"/>
      <c r="AD41" s="410"/>
      <c r="AE41" s="410"/>
      <c r="AF41" s="410"/>
      <c r="AG41" s="410"/>
      <c r="AH41" s="410"/>
      <c r="AI41" s="410"/>
      <c r="AJ41" s="410"/>
      <c r="AK41" s="410"/>
      <c r="AL41" s="410"/>
      <c r="AM41" s="296">
        <f>SUM(Y41:AL41)</f>
        <v>1</v>
      </c>
    </row>
    <row r="42" spans="1:39" outlineLevel="1">
      <c r="B42" s="294" t="s">
        <v>268</v>
      </c>
      <c r="C42" s="291" t="s">
        <v>163</v>
      </c>
      <c r="D42" s="295">
        <v>640</v>
      </c>
      <c r="E42" s="295">
        <v>632</v>
      </c>
      <c r="F42" s="295">
        <v>632</v>
      </c>
      <c r="G42" s="295">
        <v>632</v>
      </c>
      <c r="H42" s="295">
        <v>632</v>
      </c>
      <c r="I42" s="295">
        <v>632</v>
      </c>
      <c r="J42" s="295">
        <v>632</v>
      </c>
      <c r="K42" s="295">
        <v>631</v>
      </c>
      <c r="L42" s="295">
        <v>631</v>
      </c>
      <c r="M42" s="295">
        <v>631</v>
      </c>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291"/>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814</v>
      </c>
      <c r="E44" s="295">
        <v>814</v>
      </c>
      <c r="F44" s="295">
        <v>814</v>
      </c>
      <c r="G44" s="295">
        <v>814</v>
      </c>
      <c r="H44" s="295">
        <v>814</v>
      </c>
      <c r="I44" s="295">
        <v>0</v>
      </c>
      <c r="J44" s="295">
        <v>0</v>
      </c>
      <c r="K44" s="295">
        <v>0</v>
      </c>
      <c r="L44" s="295">
        <v>0</v>
      </c>
      <c r="M44" s="295">
        <v>0</v>
      </c>
      <c r="N44" s="291"/>
      <c r="O44" s="295"/>
      <c r="P44" s="295"/>
      <c r="Q44" s="295"/>
      <c r="R44" s="295"/>
      <c r="S44" s="295"/>
      <c r="T44" s="295"/>
      <c r="U44" s="295"/>
      <c r="V44" s="295"/>
      <c r="W44" s="295"/>
      <c r="X44" s="295"/>
      <c r="Y44" s="410"/>
      <c r="Z44" s="410"/>
      <c r="AA44" s="410"/>
      <c r="AB44" s="410"/>
      <c r="AC44" s="410"/>
      <c r="AD44" s="410"/>
      <c r="AE44" s="410"/>
      <c r="AF44" s="410"/>
      <c r="AG44" s="410"/>
      <c r="AH44" s="410"/>
      <c r="AI44" s="410"/>
      <c r="AJ44" s="410"/>
      <c r="AK44" s="410"/>
      <c r="AL44" s="410"/>
      <c r="AM44" s="296">
        <f>SUM(Y44:AL44)</f>
        <v>0</v>
      </c>
    </row>
    <row r="45" spans="1:39" outlineLevel="1">
      <c r="B45" s="294" t="s">
        <v>268</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0</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683</v>
      </c>
      <c r="C47" s="291" t="s">
        <v>25</v>
      </c>
      <c r="D47" s="295">
        <v>24701</v>
      </c>
      <c r="E47" s="295">
        <v>24701</v>
      </c>
      <c r="F47" s="295">
        <v>24701</v>
      </c>
      <c r="G47" s="295">
        <v>24701</v>
      </c>
      <c r="H47" s="295">
        <v>24701</v>
      </c>
      <c r="I47" s="295">
        <v>24701</v>
      </c>
      <c r="J47" s="295">
        <v>24701</v>
      </c>
      <c r="K47" s="295">
        <v>24701</v>
      </c>
      <c r="L47" s="295">
        <v>24701</v>
      </c>
      <c r="M47" s="295">
        <v>24701</v>
      </c>
      <c r="N47" s="291"/>
      <c r="O47" s="295">
        <v>12</v>
      </c>
      <c r="P47" s="295">
        <v>12</v>
      </c>
      <c r="Q47" s="295">
        <v>12</v>
      </c>
      <c r="R47" s="295">
        <v>12</v>
      </c>
      <c r="S47" s="295">
        <v>12</v>
      </c>
      <c r="T47" s="295">
        <v>12</v>
      </c>
      <c r="U47" s="295">
        <v>12</v>
      </c>
      <c r="V47" s="295">
        <v>12</v>
      </c>
      <c r="W47" s="295">
        <v>12</v>
      </c>
      <c r="X47" s="295">
        <v>12</v>
      </c>
      <c r="Y47" s="410">
        <v>1</v>
      </c>
      <c r="Z47" s="410"/>
      <c r="AA47" s="410"/>
      <c r="AB47" s="410"/>
      <c r="AC47" s="410"/>
      <c r="AD47" s="410"/>
      <c r="AE47" s="410"/>
      <c r="AF47" s="410"/>
      <c r="AG47" s="410"/>
      <c r="AH47" s="410"/>
      <c r="AI47" s="410"/>
      <c r="AJ47" s="410"/>
      <c r="AK47" s="410"/>
      <c r="AL47" s="410"/>
      <c r="AM47" s="296">
        <f>SUM(Y47:AL47)</f>
        <v>1</v>
      </c>
    </row>
    <row r="48" spans="1:39" outlineLevel="1">
      <c r="B48" s="294" t="s">
        <v>268</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268</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499</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v>72653</v>
      </c>
      <c r="E54" s="295">
        <v>72653</v>
      </c>
      <c r="F54" s="295">
        <v>72653</v>
      </c>
      <c r="G54" s="295">
        <v>72653</v>
      </c>
      <c r="H54" s="295">
        <v>0</v>
      </c>
      <c r="I54" s="295">
        <v>0</v>
      </c>
      <c r="J54" s="295">
        <v>0</v>
      </c>
      <c r="K54" s="295">
        <v>0</v>
      </c>
      <c r="L54" s="295">
        <v>0</v>
      </c>
      <c r="M54" s="295">
        <v>0</v>
      </c>
      <c r="N54" s="295">
        <v>12</v>
      </c>
      <c r="O54" s="295">
        <v>15</v>
      </c>
      <c r="P54" s="295">
        <v>15</v>
      </c>
      <c r="Q54" s="295">
        <v>15</v>
      </c>
      <c r="R54" s="295">
        <v>15</v>
      </c>
      <c r="S54" s="295">
        <v>0</v>
      </c>
      <c r="T54" s="295">
        <v>0</v>
      </c>
      <c r="U54" s="295">
        <v>0</v>
      </c>
      <c r="V54" s="295">
        <v>0</v>
      </c>
      <c r="W54" s="295">
        <v>0</v>
      </c>
      <c r="X54" s="295">
        <v>0</v>
      </c>
      <c r="Y54" s="415"/>
      <c r="Z54" s="410">
        <v>0</v>
      </c>
      <c r="AA54" s="410">
        <v>1</v>
      </c>
      <c r="AB54" s="410">
        <v>0</v>
      </c>
      <c r="AC54" s="410"/>
      <c r="AD54" s="410"/>
      <c r="AE54" s="410"/>
      <c r="AF54" s="415"/>
      <c r="AG54" s="415"/>
      <c r="AH54" s="415"/>
      <c r="AI54" s="415"/>
      <c r="AJ54" s="415"/>
      <c r="AK54" s="415"/>
      <c r="AL54" s="415"/>
      <c r="AM54" s="296">
        <f>SUM(Y54:AL54)</f>
        <v>1</v>
      </c>
    </row>
    <row r="55" spans="1:39" outlineLevel="1">
      <c r="B55" s="294" t="s">
        <v>268</v>
      </c>
      <c r="C55" s="291" t="s">
        <v>163</v>
      </c>
      <c r="D55" s="295">
        <v>4889</v>
      </c>
      <c r="E55" s="295">
        <v>4889</v>
      </c>
      <c r="F55" s="295">
        <v>4889</v>
      </c>
      <c r="G55" s="295">
        <v>4889</v>
      </c>
      <c r="H55" s="295">
        <v>77542</v>
      </c>
      <c r="I55" s="295">
        <v>77542</v>
      </c>
      <c r="J55" s="295">
        <v>77542</v>
      </c>
      <c r="K55" s="295">
        <v>77542</v>
      </c>
      <c r="L55" s="295">
        <v>77542</v>
      </c>
      <c r="M55" s="295">
        <v>77542</v>
      </c>
      <c r="N55" s="295">
        <f>N54</f>
        <v>12</v>
      </c>
      <c r="O55" s="295">
        <v>1</v>
      </c>
      <c r="P55" s="295">
        <v>1</v>
      </c>
      <c r="Q55" s="295">
        <v>1</v>
      </c>
      <c r="R55" s="295">
        <v>1</v>
      </c>
      <c r="S55" s="295">
        <v>17</v>
      </c>
      <c r="T55" s="295">
        <v>17</v>
      </c>
      <c r="U55" s="295">
        <v>17</v>
      </c>
      <c r="V55" s="295">
        <v>17</v>
      </c>
      <c r="W55" s="295">
        <v>17</v>
      </c>
      <c r="X55" s="295">
        <v>17</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1107230</v>
      </c>
      <c r="E57" s="295">
        <v>1107230</v>
      </c>
      <c r="F57" s="295">
        <v>1107230</v>
      </c>
      <c r="G57" s="295">
        <v>1107230</v>
      </c>
      <c r="H57" s="295">
        <v>1107230</v>
      </c>
      <c r="I57" s="295">
        <v>1107230</v>
      </c>
      <c r="J57" s="295">
        <v>1073976</v>
      </c>
      <c r="K57" s="295">
        <v>1073976</v>
      </c>
      <c r="L57" s="295">
        <v>1073976</v>
      </c>
      <c r="M57" s="295">
        <v>965586</v>
      </c>
      <c r="N57" s="295">
        <v>12</v>
      </c>
      <c r="O57" s="295">
        <v>48</v>
      </c>
      <c r="P57" s="295">
        <v>48</v>
      </c>
      <c r="Q57" s="295">
        <v>48</v>
      </c>
      <c r="R57" s="295">
        <v>48</v>
      </c>
      <c r="S57" s="295">
        <v>48</v>
      </c>
      <c r="T57" s="295">
        <v>48</v>
      </c>
      <c r="U57" s="295">
        <v>44</v>
      </c>
      <c r="V57" s="295">
        <v>44</v>
      </c>
      <c r="W57" s="295">
        <v>44</v>
      </c>
      <c r="X57" s="295">
        <v>31</v>
      </c>
      <c r="Y57" s="533"/>
      <c r="Z57" s="410">
        <v>2.5999999999999999E-3</v>
      </c>
      <c r="AA57" s="410">
        <v>0.1691</v>
      </c>
      <c r="AB57" s="410">
        <v>0.13220000000000001</v>
      </c>
      <c r="AC57" s="533"/>
      <c r="AD57" s="410">
        <v>0.69610000000000005</v>
      </c>
      <c r="AE57" s="410"/>
      <c r="AF57" s="415"/>
      <c r="AG57" s="415"/>
      <c r="AH57" s="415"/>
      <c r="AI57" s="415"/>
      <c r="AJ57" s="415"/>
      <c r="AK57" s="415"/>
      <c r="AL57" s="415"/>
      <c r="AM57" s="296">
        <f>SUM(Y57:AL57)</f>
        <v>1</v>
      </c>
    </row>
    <row r="58" spans="1:39" outlineLevel="1">
      <c r="B58" s="294" t="s">
        <v>268</v>
      </c>
      <c r="C58" s="291" t="s">
        <v>163</v>
      </c>
      <c r="D58" s="295">
        <v>803387</v>
      </c>
      <c r="E58" s="295">
        <v>803387</v>
      </c>
      <c r="F58" s="295">
        <v>803387</v>
      </c>
      <c r="G58" s="295">
        <v>803387</v>
      </c>
      <c r="H58" s="295">
        <v>803387</v>
      </c>
      <c r="I58" s="295">
        <v>803387</v>
      </c>
      <c r="J58" s="295">
        <v>836641</v>
      </c>
      <c r="K58" s="295">
        <v>836641</v>
      </c>
      <c r="L58" s="295">
        <v>836641</v>
      </c>
      <c r="M58" s="295">
        <v>783421</v>
      </c>
      <c r="N58" s="295">
        <f>N57</f>
        <v>12</v>
      </c>
      <c r="O58" s="295">
        <v>5</v>
      </c>
      <c r="P58" s="295">
        <v>5</v>
      </c>
      <c r="Q58" s="295">
        <v>5</v>
      </c>
      <c r="R58" s="295">
        <v>5</v>
      </c>
      <c r="S58" s="295">
        <v>5</v>
      </c>
      <c r="T58" s="295">
        <v>5</v>
      </c>
      <c r="U58" s="295">
        <v>10</v>
      </c>
      <c r="V58" s="295">
        <v>10</v>
      </c>
      <c r="W58" s="295">
        <v>10</v>
      </c>
      <c r="X58" s="295">
        <v>6</v>
      </c>
      <c r="Y58" s="411">
        <f>Y57</f>
        <v>0</v>
      </c>
      <c r="Z58" s="411">
        <f>Z57</f>
        <v>2.5999999999999999E-3</v>
      </c>
      <c r="AA58" s="411">
        <f t="shared" ref="AA58" si="66">AA57</f>
        <v>0.1691</v>
      </c>
      <c r="AB58" s="411">
        <f t="shared" ref="AB58" si="67">AB57</f>
        <v>0.13220000000000001</v>
      </c>
      <c r="AC58" s="411">
        <f t="shared" ref="AC58" si="68">AC57</f>
        <v>0</v>
      </c>
      <c r="AD58" s="411">
        <f t="shared" ref="AD58" si="69">AD57</f>
        <v>0.69610000000000005</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v>212677</v>
      </c>
      <c r="E60" s="295">
        <v>206943</v>
      </c>
      <c r="F60" s="295">
        <v>64840</v>
      </c>
      <c r="G60" s="295">
        <v>64258</v>
      </c>
      <c r="H60" s="295">
        <v>64258</v>
      </c>
      <c r="I60" s="295">
        <v>64258</v>
      </c>
      <c r="J60" s="295">
        <v>64258</v>
      </c>
      <c r="K60" s="295">
        <v>64258</v>
      </c>
      <c r="L60" s="295">
        <v>64258</v>
      </c>
      <c r="M60" s="295">
        <v>64258</v>
      </c>
      <c r="N60" s="295">
        <v>12</v>
      </c>
      <c r="O60" s="295">
        <v>53</v>
      </c>
      <c r="P60" s="295">
        <v>52</v>
      </c>
      <c r="Q60" s="295">
        <v>16</v>
      </c>
      <c r="R60" s="295">
        <v>16</v>
      </c>
      <c r="S60" s="295">
        <v>16</v>
      </c>
      <c r="T60" s="295">
        <v>16</v>
      </c>
      <c r="U60" s="295">
        <v>16</v>
      </c>
      <c r="V60" s="295">
        <v>16</v>
      </c>
      <c r="W60" s="295">
        <v>16</v>
      </c>
      <c r="X60" s="295">
        <v>16</v>
      </c>
      <c r="Y60" s="415"/>
      <c r="Z60" s="410">
        <v>1</v>
      </c>
      <c r="AA60" s="410">
        <v>0</v>
      </c>
      <c r="AB60" s="410">
        <v>0</v>
      </c>
      <c r="AC60" s="410"/>
      <c r="AD60" s="410"/>
      <c r="AE60" s="410"/>
      <c r="AF60" s="415"/>
      <c r="AG60" s="415"/>
      <c r="AH60" s="415"/>
      <c r="AI60" s="415"/>
      <c r="AJ60" s="415"/>
      <c r="AK60" s="415"/>
      <c r="AL60" s="415"/>
      <c r="AM60" s="296">
        <f>SUM(Y60:AL60)</f>
        <v>1</v>
      </c>
    </row>
    <row r="61" spans="1:39" outlineLevel="1">
      <c r="B61" s="294" t="s">
        <v>268</v>
      </c>
      <c r="C61" s="291" t="s">
        <v>163</v>
      </c>
      <c r="D61" s="295">
        <v>-97143</v>
      </c>
      <c r="E61" s="295">
        <v>-91409</v>
      </c>
      <c r="F61" s="295">
        <v>50694</v>
      </c>
      <c r="G61" s="295">
        <v>52655</v>
      </c>
      <c r="H61" s="295">
        <v>52655</v>
      </c>
      <c r="I61" s="295">
        <v>52655</v>
      </c>
      <c r="J61" s="295">
        <v>52655</v>
      </c>
      <c r="K61" s="295">
        <v>52655</v>
      </c>
      <c r="L61" s="295">
        <v>52655</v>
      </c>
      <c r="M61" s="295">
        <v>52655</v>
      </c>
      <c r="N61" s="295">
        <f>N60</f>
        <v>12</v>
      </c>
      <c r="O61" s="295">
        <v>-25</v>
      </c>
      <c r="P61" s="295">
        <v>-23</v>
      </c>
      <c r="Q61" s="295">
        <v>13</v>
      </c>
      <c r="R61" s="295">
        <v>14</v>
      </c>
      <c r="S61" s="295">
        <v>14</v>
      </c>
      <c r="T61" s="295">
        <v>14</v>
      </c>
      <c r="U61" s="295">
        <v>14</v>
      </c>
      <c r="V61" s="295">
        <v>14</v>
      </c>
      <c r="W61" s="295">
        <v>14</v>
      </c>
      <c r="X61" s="295">
        <v>14</v>
      </c>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v>42058</v>
      </c>
      <c r="E63" s="295">
        <v>42058</v>
      </c>
      <c r="F63" s="295">
        <v>42058</v>
      </c>
      <c r="G63" s="295">
        <v>42058</v>
      </c>
      <c r="H63" s="295">
        <v>42058</v>
      </c>
      <c r="I63" s="295">
        <v>42058</v>
      </c>
      <c r="J63" s="295">
        <v>42058</v>
      </c>
      <c r="K63" s="295">
        <v>42058</v>
      </c>
      <c r="L63" s="295">
        <v>42058</v>
      </c>
      <c r="M63" s="295">
        <v>42058</v>
      </c>
      <c r="N63" s="295">
        <v>12</v>
      </c>
      <c r="O63" s="295">
        <v>4</v>
      </c>
      <c r="P63" s="295">
        <v>4</v>
      </c>
      <c r="Q63" s="295">
        <v>4</v>
      </c>
      <c r="R63" s="295">
        <v>4</v>
      </c>
      <c r="S63" s="295">
        <v>4</v>
      </c>
      <c r="T63" s="295">
        <v>4</v>
      </c>
      <c r="U63" s="295">
        <v>4</v>
      </c>
      <c r="V63" s="295">
        <v>4</v>
      </c>
      <c r="W63" s="295">
        <v>4</v>
      </c>
      <c r="X63" s="295">
        <v>4</v>
      </c>
      <c r="Y63" s="415"/>
      <c r="Z63" s="410">
        <v>0</v>
      </c>
      <c r="AA63" s="410">
        <v>0</v>
      </c>
      <c r="AB63" s="410">
        <v>1</v>
      </c>
      <c r="AC63" s="410"/>
      <c r="AD63" s="410"/>
      <c r="AE63" s="410"/>
      <c r="AF63" s="415"/>
      <c r="AG63" s="415"/>
      <c r="AH63" s="415"/>
      <c r="AI63" s="415"/>
      <c r="AJ63" s="415"/>
      <c r="AK63" s="415"/>
      <c r="AL63" s="415"/>
      <c r="AM63" s="296">
        <f>SUM(Y63:AL63)</f>
        <v>1</v>
      </c>
    </row>
    <row r="64" spans="1:39" outlineLevel="1">
      <c r="B64" s="294" t="s">
        <v>268</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1</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268</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268</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268</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outlineLevel="1">
      <c r="B77" s="520" t="s">
        <v>268</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3"/>
      <c r="Z80" s="410"/>
      <c r="AA80" s="410"/>
      <c r="AB80" s="410"/>
      <c r="AC80" s="410"/>
      <c r="AD80" s="410"/>
      <c r="AE80" s="410"/>
      <c r="AF80" s="410"/>
      <c r="AG80" s="410"/>
      <c r="AH80" s="410"/>
      <c r="AI80" s="410"/>
      <c r="AJ80" s="410"/>
      <c r="AK80" s="410"/>
      <c r="AL80" s="410"/>
      <c r="AM80" s="296">
        <f>SUM(Y80:AL80)</f>
        <v>0</v>
      </c>
    </row>
    <row r="81" spans="1:40" outlineLevel="1">
      <c r="B81" s="294" t="s">
        <v>268</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0</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491</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496</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268</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492</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268</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497</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268</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268</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268</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268</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504</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500</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268</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268</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268</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268</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268</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outlineLevel="1">
      <c r="B122" s="294" t="s">
        <v>268</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268</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268</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268</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268</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268</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268</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502</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268</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268</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268</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503</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268</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268</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268</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268</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268</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268</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268</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268</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268</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268</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268</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268</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268</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268</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272</v>
      </c>
      <c r="C195" s="329"/>
      <c r="D195" s="329">
        <v>2578780</v>
      </c>
      <c r="E195" s="329"/>
      <c r="F195" s="329"/>
      <c r="G195" s="329"/>
      <c r="H195" s="329"/>
      <c r="I195" s="329"/>
      <c r="J195" s="329"/>
      <c r="K195" s="329"/>
      <c r="L195" s="329"/>
      <c r="M195" s="329"/>
      <c r="N195" s="329"/>
      <c r="O195" s="329">
        <f>SUM(O38:O193)</f>
        <v>142</v>
      </c>
      <c r="P195" s="329"/>
      <c r="Q195" s="329"/>
      <c r="R195" s="329"/>
      <c r="S195" s="329"/>
      <c r="T195" s="329"/>
      <c r="U195" s="329"/>
      <c r="V195" s="329"/>
      <c r="W195" s="329"/>
      <c r="X195" s="329"/>
      <c r="Y195" s="329">
        <f>IF(Y36="kWh",SUMPRODUCT(D38:D193,Y38:Y193))</f>
        <v>432215</v>
      </c>
      <c r="Z195" s="329">
        <f>IF(Z36="kWh",SUMPRODUCT(D38:D193,Z38:Z193))</f>
        <v>120501.6042</v>
      </c>
      <c r="AA195" s="329">
        <f>IF(AA36="kw",SUMPRODUCT(N38:N193,O38:O193,AA38:AA193),SUMPRODUCT(D38:D193,AA38:AA193))</f>
        <v>299.54760000000005</v>
      </c>
      <c r="AB195" s="329">
        <f>IF(AB36="kw",SUMPRODUCT(N38:N193,O38:O193,AB38:AB193),SUMPRODUCT(D38:D193,AB38:AB193))</f>
        <v>132.07920000000001</v>
      </c>
      <c r="AC195" s="329">
        <f>IF(AC36="kw",SUMPRODUCT(N38:N193,O38:O193,AC38:AC193),SUMPRODUCT(D38:D193,AC38:AC193))</f>
        <v>0</v>
      </c>
      <c r="AD195" s="329">
        <f>IF(AD36="kw",SUMPRODUCT(N38:N193,O38:O193,AD38:AD193),SUMPRODUCT(D38:D193,AD38:AD193))</f>
        <v>442.71960000000007</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273</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162365</v>
      </c>
      <c r="Z196" s="392">
        <f>HLOOKUP(Z35,'2. LRAMVA Threshold'!$B$42:$Q$53,7,FALSE)</f>
        <v>74389</v>
      </c>
      <c r="AA196" s="392">
        <f>HLOOKUP(AA35,'2. LRAMVA Threshold'!$B$42:$Q$53,7,FALSE)</f>
        <v>432.56</v>
      </c>
      <c r="AB196" s="392">
        <f>HLOOKUP(AB35,'2. LRAMVA Threshold'!$B$42:$Q$53,7,FALSE)</f>
        <v>406.65</v>
      </c>
      <c r="AC196" s="392">
        <f>HLOOKUP(AC35,'2. LRAMVA Threshold'!$B$42:$Q$53,7,FALSE)</f>
        <v>0.46</v>
      </c>
      <c r="AD196" s="392">
        <f>HLOOKUP(AD35,'2. LRAMVA Threshold'!$B$42:$Q$53,7,FALSE)</f>
        <v>1405.07</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1.37E-2</v>
      </c>
      <c r="Z198" s="341">
        <f>HLOOKUP(Z$35,'3.  Distribution Rates'!$C$122:$P$133,7,FALSE)</f>
        <v>6.4000000000000003E-3</v>
      </c>
      <c r="AA198" s="341">
        <f>HLOOKUP(AA$35,'3.  Distribution Rates'!$C$122:$P$133,7,FALSE)</f>
        <v>1.9238999999999999</v>
      </c>
      <c r="AB198" s="341">
        <f>HLOOKUP(AB$35,'3.  Distribution Rates'!$C$122:$P$133,7,FALSE)</f>
        <v>1.1046</v>
      </c>
      <c r="AC198" s="341">
        <f>HLOOKUP(AC$35,'3.  Distribution Rates'!$C$122:$P$133,7,FALSE)</f>
        <v>6.3791000000000002</v>
      </c>
      <c r="AD198" s="341">
        <f>HLOOKUP(AD$35,'3.  Distribution Rates'!$C$122:$P$133,7,FALSE)</f>
        <v>2.4485999999999999</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503.0079418399763</v>
      </c>
      <c r="Z199" s="378">
        <f>'4.  2011-2014 LRAM'!Z138*Z198</f>
        <v>577.90819640328664</v>
      </c>
      <c r="AA199" s="378">
        <f>'4.  2011-2014 LRAM'!AA138*AA198</f>
        <v>0.10296537089934857</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1081.0191036141623</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333.40142065789371</v>
      </c>
      <c r="Z200" s="378">
        <f>'4.  2011-2014 LRAM'!Z267*Z198</f>
        <v>1106.4817618332727</v>
      </c>
      <c r="AA200" s="378">
        <f>'4.  2011-2014 LRAM'!AA267*AA198</f>
        <v>0.1740990646582764</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1440.0572815558246</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1236.5157079261892</v>
      </c>
      <c r="Z201" s="378">
        <f>'4.  2011-2014 LRAM'!Z396*Z198</f>
        <v>1646.5589689209523</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2883.0746768471417</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1376.0598910127446</v>
      </c>
      <c r="Z202" s="378">
        <f>'4.  2011-2014 LRAM'!Z526*Z198</f>
        <v>1537.4729451456001</v>
      </c>
      <c r="AA202" s="378">
        <f>'4.  2011-2014 LRAM'!AA526*AA198</f>
        <v>734.08210751821946</v>
      </c>
      <c r="AB202" s="378">
        <f>'4.  2011-2014 LRAM'!AB526*AB198</f>
        <v>254.33564686997036</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3901.9505905465344</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5921.3455000000004</v>
      </c>
      <c r="Z203" s="378">
        <f>Z195*Z198</f>
        <v>771.21026688000006</v>
      </c>
      <c r="AA203" s="378">
        <f>AA195*AA198</f>
        <v>576.29962764000004</v>
      </c>
      <c r="AB203" s="378">
        <f t="shared" ref="AB203:AL203" si="553">AB195*AB198</f>
        <v>145.89468432000001</v>
      </c>
      <c r="AC203" s="378">
        <f t="shared" si="553"/>
        <v>0</v>
      </c>
      <c r="AD203" s="378">
        <f t="shared" si="553"/>
        <v>1084.04321256</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8498.7932914000012</v>
      </c>
    </row>
    <row r="204" spans="2:39" ht="15.75">
      <c r="B204" s="349" t="s">
        <v>269</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9370.3304614368044</v>
      </c>
      <c r="Z204" s="346">
        <f>SUM(Z199:Z203)</f>
        <v>5639.6321391831116</v>
      </c>
      <c r="AA204" s="346">
        <f t="shared" ref="AA204:AE204" si="554">SUM(AA199:AA203)</f>
        <v>1310.6587995937771</v>
      </c>
      <c r="AB204" s="346">
        <f t="shared" si="554"/>
        <v>400.23033118997034</v>
      </c>
      <c r="AC204" s="346">
        <f t="shared" si="554"/>
        <v>0</v>
      </c>
      <c r="AD204" s="346">
        <f t="shared" si="554"/>
        <v>1084.04321256</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17804.894943963664</v>
      </c>
    </row>
    <row r="205" spans="2:39" ht="15.75">
      <c r="B205" s="349" t="s">
        <v>270</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2224.4005000000002</v>
      </c>
      <c r="Z205" s="347">
        <f t="shared" ref="Z205:AE205" si="556">Z196*Z198</f>
        <v>476.08960000000002</v>
      </c>
      <c r="AA205" s="347">
        <f t="shared" si="556"/>
        <v>832.20218399999999</v>
      </c>
      <c r="AB205" s="347">
        <f t="shared" si="556"/>
        <v>449.18558999999999</v>
      </c>
      <c r="AC205" s="347">
        <f t="shared" si="556"/>
        <v>2.9343860000000004</v>
      </c>
      <c r="AD205" s="347">
        <f t="shared" si="556"/>
        <v>3440.4544019999998</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7425.266662</v>
      </c>
    </row>
    <row r="206" spans="2:39" ht="15.75">
      <c r="B206" s="349" t="s">
        <v>271</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10379.628281963664</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426360</v>
      </c>
      <c r="Z208" s="291">
        <f>SUMPRODUCT(E38:E193,Z38:Z193)</f>
        <v>120501.6042</v>
      </c>
      <c r="AA208" s="291">
        <f>IF(AA36="kw",SUMPRODUCT(N38:N193,P38:P193,AA38:AA193),SUMPRODUCT(E38:E193,AA38:AA193))</f>
        <v>299.54760000000005</v>
      </c>
      <c r="AB208" s="291">
        <f>IF(AB36="kw",SUMPRODUCT(N38:N193,P38:P193,AB38:AB193),SUMPRODUCT(E38:E193,AB38:AB193))</f>
        <v>132.07920000000001</v>
      </c>
      <c r="AC208" s="291">
        <f>IF(AC36="kw",SUMPRODUCT(N38:N193,P38:P193,AC38:AC193),SUMPRODUCT(E38:E193,AC38:AC193))</f>
        <v>0</v>
      </c>
      <c r="AD208" s="291">
        <f>IF(AD36="kw",SUMPRODUCT(N38:N193,P38:P193,AD38:AD193),SUMPRODUCT(E38:E193,AD38:AD193))</f>
        <v>442.71960000000007</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426360</v>
      </c>
      <c r="Z209" s="291">
        <f>SUMPRODUCT(F38:F193,Z38:Z193)</f>
        <v>120501.6042</v>
      </c>
      <c r="AA209" s="291">
        <f>IF(AA36="kw",SUMPRODUCT(N38:N193,Q38:Q193,AA38:AA193),SUMPRODUCT(F38:F193,AA38:AA193))</f>
        <v>299.54760000000005</v>
      </c>
      <c r="AB209" s="291">
        <f>IF(AB36="kw",SUMPRODUCT(N38:N193,Q38:Q193,AB38:AB193),SUMPRODUCT(F38:F193,AB38:AB193))</f>
        <v>132.07920000000001</v>
      </c>
      <c r="AC209" s="291">
        <f>IF(AC36="kw",SUMPRODUCT(N38:N193,Q38:Q193,AC38:AC193),SUMPRODUCT(F38:F193,AC38:AC193))</f>
        <v>0</v>
      </c>
      <c r="AD209" s="291">
        <f>IF(AD36="kw",SUMPRODUCT(N38:N193,Q38:Q193,AD38:AD193),SUMPRODUCT(F38:F193,AD38:AD193))</f>
        <v>442.71960000000007</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426360</v>
      </c>
      <c r="Z210" s="291">
        <f>SUMPRODUCT(G38:G193,Z38:Z193)</f>
        <v>121880.6042</v>
      </c>
      <c r="AA210" s="291">
        <f>IF(AA36="kw",SUMPRODUCT(N38:N193,R38:R193,AA38:AA193),SUMPRODUCT(G38:G193,AA38:AA193))</f>
        <v>299.54760000000005</v>
      </c>
      <c r="AB210" s="291">
        <f>IF(AB36="kw",SUMPRODUCT(N38:N193,R38:R193,AB38:AB193),SUMPRODUCT(G38:G193,AB38:AB193))</f>
        <v>132.07920000000001</v>
      </c>
      <c r="AC210" s="291">
        <f>IF(AC36="kw",SUMPRODUCT(N38:N193,R38:R193,AC38:AC193),SUMPRODUCT(G38:G193,AC38:AC193))</f>
        <v>0</v>
      </c>
      <c r="AD210" s="291">
        <f>IF(AD36="kw",SUMPRODUCT(N38:N193,R38:R193,AD38:AD193),SUMPRODUCT(G38:G193,AD38:AD193))</f>
        <v>442.71960000000007</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426360</v>
      </c>
      <c r="Z211" s="291">
        <f>SUMPRODUCT(H38:H193,Z38:Z193)</f>
        <v>121880.6042</v>
      </c>
      <c r="AA211" s="291">
        <f>IF(AA36="kw",SUMPRODUCT(N38:N193,S38:S193,AA38:AA193),SUMPRODUCT(H38:H193,AA38:AA193))</f>
        <v>311.54760000000005</v>
      </c>
      <c r="AB211" s="291">
        <f>IF(AB36="kw",SUMPRODUCT(N38:N193,S38:S193,AB38:AB193),SUMPRODUCT(H38:H193,AB38:AB193))</f>
        <v>132.07920000000001</v>
      </c>
      <c r="AC211" s="291">
        <f>IF(AC36="kw",SUMPRODUCT(N38:N193,S38:S193,AC38:AC193),SUMPRODUCT(H38:H193,AC38:AC193))</f>
        <v>0</v>
      </c>
      <c r="AD211" s="291">
        <f>IF(AD36="kw",SUMPRODUCT(N38:N193,S38:S193,AD38:AD193),SUMPRODUCT(H38:H193,AD38:AD193))</f>
        <v>442.71960000000007</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426360</v>
      </c>
      <c r="Z212" s="326">
        <f>SUMPRODUCT(I38:I193,Z38:Z193)</f>
        <v>121880.6042</v>
      </c>
      <c r="AA212" s="326">
        <f>IF(AA36="kw",SUMPRODUCT(N38:N193,T38:T193,AA38:AA193),SUMPRODUCT(I38:I193,AA38:AA193))</f>
        <v>311.54760000000005</v>
      </c>
      <c r="AB212" s="326">
        <f>IF(AB36="kw",SUMPRODUCT(N38:N193,T38:T193,AB38:AB193),SUMPRODUCT(I38:I193,AB38:AB193))</f>
        <v>132.07920000000001</v>
      </c>
      <c r="AC212" s="326">
        <f>IF(AC36="kw",SUMPRODUCT(N38:N193,T38:T193,AC38:AC193),SUMPRODUCT(I38:I193,AC38:AC193))</f>
        <v>0</v>
      </c>
      <c r="AD212" s="326">
        <f>IF(AD36="kw",SUMPRODUCT(N38:N193,T38:T193,AD38:AD193),SUMPRODUCT(I38:I193,AD38:AD193))</f>
        <v>442.71960000000007</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590</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274</v>
      </c>
      <c r="C216" s="281"/>
      <c r="D216" s="590" t="s">
        <v>529</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00" t="s">
        <v>211</v>
      </c>
      <c r="C217" s="802" t="s">
        <v>33</v>
      </c>
      <c r="D217" s="284" t="s">
        <v>423</v>
      </c>
      <c r="E217" s="804" t="s">
        <v>209</v>
      </c>
      <c r="F217" s="805"/>
      <c r="G217" s="805"/>
      <c r="H217" s="805"/>
      <c r="I217" s="805"/>
      <c r="J217" s="805"/>
      <c r="K217" s="805"/>
      <c r="L217" s="805"/>
      <c r="M217" s="806"/>
      <c r="N217" s="807" t="s">
        <v>213</v>
      </c>
      <c r="O217" s="284" t="s">
        <v>424</v>
      </c>
      <c r="P217" s="804" t="s">
        <v>212</v>
      </c>
      <c r="Q217" s="805"/>
      <c r="R217" s="805"/>
      <c r="S217" s="805"/>
      <c r="T217" s="805"/>
      <c r="U217" s="805"/>
      <c r="V217" s="805"/>
      <c r="W217" s="805"/>
      <c r="X217" s="806"/>
      <c r="Y217" s="797" t="s">
        <v>244</v>
      </c>
      <c r="Z217" s="798"/>
      <c r="AA217" s="798"/>
      <c r="AB217" s="798"/>
      <c r="AC217" s="798"/>
      <c r="AD217" s="798"/>
      <c r="AE217" s="798"/>
      <c r="AF217" s="798"/>
      <c r="AG217" s="798"/>
      <c r="AH217" s="798"/>
      <c r="AI217" s="798"/>
      <c r="AJ217" s="798"/>
      <c r="AK217" s="798"/>
      <c r="AL217" s="798"/>
      <c r="AM217" s="799"/>
    </row>
    <row r="218" spans="1:39" ht="60.75" customHeight="1">
      <c r="B218" s="801"/>
      <c r="C218" s="803"/>
      <c r="D218" s="285">
        <v>2016</v>
      </c>
      <c r="E218" s="285">
        <v>2017</v>
      </c>
      <c r="F218" s="285">
        <v>2018</v>
      </c>
      <c r="G218" s="285">
        <v>2019</v>
      </c>
      <c r="H218" s="285">
        <v>2020</v>
      </c>
      <c r="I218" s="285">
        <v>2021</v>
      </c>
      <c r="J218" s="285">
        <v>2022</v>
      </c>
      <c r="K218" s="285">
        <v>2023</v>
      </c>
      <c r="L218" s="285">
        <v>2024</v>
      </c>
      <c r="M218" s="285">
        <v>2025</v>
      </c>
      <c r="N218" s="808"/>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50-1499 KW</v>
      </c>
      <c r="AB218" s="285" t="str">
        <f>'1.  LRAMVA Summary'!G52</f>
        <v>Intermediate</v>
      </c>
      <c r="AC218" s="285" t="str">
        <f>'1.  LRAMVA Summary'!H52</f>
        <v>Sentinel</v>
      </c>
      <c r="AD218" s="285" t="str">
        <f>'1.  LRAMVA Summary'!I52</f>
        <v xml:space="preserve">Street Lighting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505</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498</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290</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290</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290</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683</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290</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290</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499</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290</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290</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290</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290</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290</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290</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290</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290</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290</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491</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496</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290</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492</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290</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497</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290</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290</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290</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290</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504</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500</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v>349690</v>
      </c>
      <c r="E288" s="295">
        <v>349690</v>
      </c>
      <c r="F288" s="295">
        <v>349690</v>
      </c>
      <c r="G288" s="295">
        <v>349690</v>
      </c>
      <c r="H288" s="295">
        <v>349690</v>
      </c>
      <c r="I288" s="295">
        <v>349690</v>
      </c>
      <c r="J288" s="295">
        <v>349690</v>
      </c>
      <c r="K288" s="295">
        <v>349659</v>
      </c>
      <c r="L288" s="295">
        <v>349659</v>
      </c>
      <c r="M288" s="295">
        <v>347709</v>
      </c>
      <c r="N288" s="291"/>
      <c r="O288" s="295">
        <v>25</v>
      </c>
      <c r="P288" s="295">
        <v>25</v>
      </c>
      <c r="Q288" s="295">
        <v>25</v>
      </c>
      <c r="R288" s="295">
        <v>25</v>
      </c>
      <c r="S288" s="295">
        <v>25</v>
      </c>
      <c r="T288" s="295">
        <v>25</v>
      </c>
      <c r="U288" s="295">
        <v>25</v>
      </c>
      <c r="V288" s="295">
        <v>25</v>
      </c>
      <c r="W288" s="295">
        <v>25</v>
      </c>
      <c r="X288" s="295">
        <v>25</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290</v>
      </c>
      <c r="C289" s="291" t="s">
        <v>163</v>
      </c>
      <c r="D289" s="295">
        <v>30823</v>
      </c>
      <c r="E289" s="295">
        <v>30823</v>
      </c>
      <c r="F289" s="295">
        <v>30823</v>
      </c>
      <c r="G289" s="295">
        <v>30823</v>
      </c>
      <c r="H289" s="295">
        <v>30823</v>
      </c>
      <c r="I289" s="295">
        <v>30823</v>
      </c>
      <c r="J289" s="295">
        <v>30823</v>
      </c>
      <c r="K289" s="295">
        <v>30821</v>
      </c>
      <c r="L289" s="295">
        <v>30821</v>
      </c>
      <c r="M289" s="295">
        <v>30861</v>
      </c>
      <c r="N289" s="291"/>
      <c r="O289" s="295">
        <v>2</v>
      </c>
      <c r="P289" s="295">
        <v>2</v>
      </c>
      <c r="Q289" s="295">
        <v>2</v>
      </c>
      <c r="R289" s="295">
        <v>2</v>
      </c>
      <c r="S289" s="295">
        <v>2</v>
      </c>
      <c r="T289" s="295">
        <v>2</v>
      </c>
      <c r="U289" s="295">
        <v>2</v>
      </c>
      <c r="V289" s="295">
        <v>2</v>
      </c>
      <c r="W289" s="295">
        <v>2</v>
      </c>
      <c r="X289" s="295">
        <v>2</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32531</v>
      </c>
      <c r="E291" s="295">
        <v>32531</v>
      </c>
      <c r="F291" s="295">
        <v>32531</v>
      </c>
      <c r="G291" s="295">
        <v>32531</v>
      </c>
      <c r="H291" s="295">
        <v>32531</v>
      </c>
      <c r="I291" s="295">
        <v>32531</v>
      </c>
      <c r="J291" s="295">
        <v>32531</v>
      </c>
      <c r="K291" s="295">
        <v>32531</v>
      </c>
      <c r="L291" s="295">
        <v>32531</v>
      </c>
      <c r="M291" s="295">
        <v>32531</v>
      </c>
      <c r="N291" s="291"/>
      <c r="O291" s="295">
        <v>9</v>
      </c>
      <c r="P291" s="295">
        <v>9</v>
      </c>
      <c r="Q291" s="295">
        <v>9</v>
      </c>
      <c r="R291" s="295">
        <v>9</v>
      </c>
      <c r="S291" s="295">
        <v>9</v>
      </c>
      <c r="T291" s="295">
        <v>9</v>
      </c>
      <c r="U291" s="295">
        <v>9</v>
      </c>
      <c r="V291" s="295">
        <v>9</v>
      </c>
      <c r="W291" s="295">
        <v>9</v>
      </c>
      <c r="X291" s="295">
        <v>9</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290</v>
      </c>
      <c r="C292" s="291" t="s">
        <v>163</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290</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290</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501</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290</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v>2039474</v>
      </c>
      <c r="E304" s="295">
        <v>2017307</v>
      </c>
      <c r="F304" s="295">
        <v>2017307</v>
      </c>
      <c r="G304" s="295">
        <v>2017307</v>
      </c>
      <c r="H304" s="295">
        <v>2017307</v>
      </c>
      <c r="I304" s="295">
        <v>2017307</v>
      </c>
      <c r="J304" s="295">
        <v>2017307</v>
      </c>
      <c r="K304" s="295">
        <v>2017307</v>
      </c>
      <c r="L304" s="295">
        <v>2017307</v>
      </c>
      <c r="M304" s="295">
        <v>2017307</v>
      </c>
      <c r="N304" s="295">
        <v>12</v>
      </c>
      <c r="O304" s="295">
        <v>239</v>
      </c>
      <c r="P304" s="295">
        <v>236</v>
      </c>
      <c r="Q304" s="295">
        <v>236</v>
      </c>
      <c r="R304" s="295">
        <v>236</v>
      </c>
      <c r="S304" s="295">
        <v>236</v>
      </c>
      <c r="T304" s="295">
        <v>236</v>
      </c>
      <c r="U304" s="295">
        <v>236</v>
      </c>
      <c r="V304" s="295">
        <v>236</v>
      </c>
      <c r="W304" s="295">
        <v>236</v>
      </c>
      <c r="X304" s="295">
        <v>236</v>
      </c>
      <c r="Y304" s="426"/>
      <c r="Z304" s="410">
        <v>9.3399999999999997E-2</v>
      </c>
      <c r="AA304" s="410">
        <v>0.1188</v>
      </c>
      <c r="AB304" s="410">
        <v>0.78779999999999994</v>
      </c>
      <c r="AC304" s="410"/>
      <c r="AD304" s="410"/>
      <c r="AE304" s="410"/>
      <c r="AF304" s="410"/>
      <c r="AG304" s="415"/>
      <c r="AH304" s="415"/>
      <c r="AI304" s="415"/>
      <c r="AJ304" s="415"/>
      <c r="AK304" s="415"/>
      <c r="AL304" s="415"/>
      <c r="AM304" s="296">
        <f>SUM(Y304:AL304)</f>
        <v>1</v>
      </c>
    </row>
    <row r="305" spans="1:39" outlineLevel="1">
      <c r="B305" s="294" t="s">
        <v>290</v>
      </c>
      <c r="C305" s="291" t="s">
        <v>163</v>
      </c>
      <c r="D305" s="295">
        <v>-165944</v>
      </c>
      <c r="E305" s="295">
        <v>-143776</v>
      </c>
      <c r="F305" s="295">
        <v>-143776</v>
      </c>
      <c r="G305" s="295">
        <v>-143776</v>
      </c>
      <c r="H305" s="295">
        <v>-143776</v>
      </c>
      <c r="I305" s="295">
        <v>-143776</v>
      </c>
      <c r="J305" s="295">
        <v>-143776</v>
      </c>
      <c r="K305" s="295">
        <v>-143776</v>
      </c>
      <c r="L305" s="295">
        <v>-143776</v>
      </c>
      <c r="M305" s="295">
        <v>-143776</v>
      </c>
      <c r="N305" s="295">
        <f>N304</f>
        <v>12</v>
      </c>
      <c r="O305" s="295">
        <v>-17</v>
      </c>
      <c r="P305" s="295">
        <v>-15</v>
      </c>
      <c r="Q305" s="295">
        <v>-15</v>
      </c>
      <c r="R305" s="295">
        <v>-15</v>
      </c>
      <c r="S305" s="295">
        <v>-15</v>
      </c>
      <c r="T305" s="295">
        <v>-15</v>
      </c>
      <c r="U305" s="295">
        <v>-15</v>
      </c>
      <c r="V305" s="295">
        <v>-15</v>
      </c>
      <c r="W305" s="295">
        <v>-15</v>
      </c>
      <c r="X305" s="295">
        <v>-15</v>
      </c>
      <c r="Y305" s="411">
        <f>Y304</f>
        <v>0</v>
      </c>
      <c r="Z305" s="411">
        <f t="shared" ref="Z305" si="811">Z304</f>
        <v>9.3399999999999997E-2</v>
      </c>
      <c r="AA305" s="411">
        <f t="shared" ref="AA305" si="812">AA304</f>
        <v>0.1188</v>
      </c>
      <c r="AB305" s="411">
        <f t="shared" ref="AB305" si="813">AB304</f>
        <v>0.78779999999999994</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v>73105</v>
      </c>
      <c r="E307" s="295">
        <v>73105</v>
      </c>
      <c r="F307" s="295">
        <v>68641</v>
      </c>
      <c r="G307" s="295">
        <v>29374</v>
      </c>
      <c r="H307" s="295">
        <v>18444</v>
      </c>
      <c r="I307" s="295">
        <v>9467</v>
      </c>
      <c r="J307" s="295">
        <v>5029</v>
      </c>
      <c r="K307" s="295">
        <v>1867</v>
      </c>
      <c r="L307" s="295">
        <v>1310</v>
      </c>
      <c r="M307" s="295">
        <v>0</v>
      </c>
      <c r="N307" s="295">
        <v>12</v>
      </c>
      <c r="O307" s="295">
        <v>8</v>
      </c>
      <c r="P307" s="295">
        <v>8</v>
      </c>
      <c r="Q307" s="295">
        <v>7</v>
      </c>
      <c r="R307" s="295">
        <v>4</v>
      </c>
      <c r="S307" s="295">
        <v>3</v>
      </c>
      <c r="T307" s="295">
        <v>2</v>
      </c>
      <c r="U307" s="295">
        <v>1</v>
      </c>
      <c r="V307" s="295">
        <v>0</v>
      </c>
      <c r="W307" s="295">
        <v>0</v>
      </c>
      <c r="X307" s="295">
        <v>0</v>
      </c>
      <c r="Y307" s="426"/>
      <c r="Z307" s="410">
        <v>1</v>
      </c>
      <c r="AA307" s="410">
        <v>0</v>
      </c>
      <c r="AB307" s="410"/>
      <c r="AC307" s="410"/>
      <c r="AD307" s="410"/>
      <c r="AE307" s="410"/>
      <c r="AF307" s="410"/>
      <c r="AG307" s="415"/>
      <c r="AH307" s="415"/>
      <c r="AI307" s="415"/>
      <c r="AJ307" s="415"/>
      <c r="AK307" s="415"/>
      <c r="AL307" s="415"/>
      <c r="AM307" s="296">
        <f>SUM(Y307:AL307)</f>
        <v>1</v>
      </c>
    </row>
    <row r="308" spans="1:39" outlineLevel="1">
      <c r="B308" s="294" t="s">
        <v>290</v>
      </c>
      <c r="C308" s="291" t="s">
        <v>163</v>
      </c>
      <c r="D308" s="295">
        <v>18800</v>
      </c>
      <c r="E308" s="295">
        <v>18800</v>
      </c>
      <c r="F308" s="295">
        <v>18056</v>
      </c>
      <c r="G308" s="295">
        <v>7856</v>
      </c>
      <c r="H308" s="295">
        <v>6741</v>
      </c>
      <c r="I308" s="295">
        <v>3152</v>
      </c>
      <c r="J308" s="295">
        <v>1495</v>
      </c>
      <c r="K308" s="295">
        <v>776</v>
      </c>
      <c r="L308" s="295">
        <v>545</v>
      </c>
      <c r="M308" s="295">
        <v>0</v>
      </c>
      <c r="N308" s="295">
        <f>N307</f>
        <v>12</v>
      </c>
      <c r="O308" s="295">
        <v>2</v>
      </c>
      <c r="P308" s="295">
        <v>2</v>
      </c>
      <c r="Q308" s="295">
        <v>2</v>
      </c>
      <c r="R308" s="295">
        <v>1</v>
      </c>
      <c r="S308" s="295">
        <v>1</v>
      </c>
      <c r="T308" s="295">
        <v>1</v>
      </c>
      <c r="U308" s="295">
        <v>0</v>
      </c>
      <c r="V308" s="295">
        <v>0</v>
      </c>
      <c r="W308" s="295">
        <v>0</v>
      </c>
      <c r="X308" s="295">
        <v>0</v>
      </c>
      <c r="Y308" s="411">
        <f>Y307</f>
        <v>0</v>
      </c>
      <c r="Z308" s="411">
        <f t="shared" ref="Z308" si="824">Z307</f>
        <v>1</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290</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290</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290</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290</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290</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502</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290</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290</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290</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503</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290</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290</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290</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290</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290</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290</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290</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290</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290</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290</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290</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290</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290</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290</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275</v>
      </c>
      <c r="C378" s="329"/>
      <c r="D378" s="329">
        <v>2378479</v>
      </c>
      <c r="E378" s="329"/>
      <c r="F378" s="329"/>
      <c r="G378" s="329"/>
      <c r="H378" s="329"/>
      <c r="I378" s="329"/>
      <c r="J378" s="329"/>
      <c r="K378" s="329"/>
      <c r="L378" s="329"/>
      <c r="M378" s="329"/>
      <c r="N378" s="329"/>
      <c r="O378" s="329">
        <f>SUM(O221:O376)</f>
        <v>268</v>
      </c>
      <c r="P378" s="329"/>
      <c r="Q378" s="329"/>
      <c r="R378" s="329"/>
      <c r="S378" s="329"/>
      <c r="T378" s="329"/>
      <c r="U378" s="329"/>
      <c r="V378" s="329"/>
      <c r="W378" s="329"/>
      <c r="X378" s="329"/>
      <c r="Y378" s="329">
        <f>IF(Y219="kWh",SUMPRODUCT(D221:D376,Y221:Y376))</f>
        <v>413044</v>
      </c>
      <c r="Z378" s="329">
        <f>IF(Z219="kWh",SUMPRODUCT(D221:D376,Z221:Z376))</f>
        <v>266892.70199999999</v>
      </c>
      <c r="AA378" s="329">
        <f>IF(AA219="kw",SUMPRODUCT(N221:N376,O221:O376,AA221:AA376),SUMPRODUCT(D221:D376,AA221:AA376))</f>
        <v>316.48320000000001</v>
      </c>
      <c r="AB378" s="329">
        <f>IF(AB219="kw",SUMPRODUCT(N221:N376,O221:O376,AB221:AB376),SUMPRODUCT(D221:D376,AB221:AB376))</f>
        <v>2098.6991999999996</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276</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162365</v>
      </c>
      <c r="Z379" s="392">
        <f>HLOOKUP(Z218,'2. LRAMVA Threshold'!$B$42:$Q$53,8,FALSE)</f>
        <v>74389</v>
      </c>
      <c r="AA379" s="392">
        <f>HLOOKUP(AA218,'2. LRAMVA Threshold'!$B$42:$Q$53,8,FALSE)</f>
        <v>432.56</v>
      </c>
      <c r="AB379" s="392">
        <f>HLOOKUP(AB218,'2. LRAMVA Threshold'!$B$42:$Q$53,8,FALSE)</f>
        <v>406.65</v>
      </c>
      <c r="AC379" s="392">
        <f>HLOOKUP(AC218,'2. LRAMVA Threshold'!$B$42:$Q$53,8,FALSE)</f>
        <v>0.46</v>
      </c>
      <c r="AD379" s="392">
        <f>HLOOKUP(AD218,'2. LRAMVA Threshold'!$B$42:$Q$53,8,FALSE)</f>
        <v>1405.07</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277</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1.26E-2</v>
      </c>
      <c r="Z381" s="341">
        <f>HLOOKUP(Z$35,'3.  Distribution Rates'!$C$122:$P$133,8,FALSE)</f>
        <v>6.1999999999999998E-3</v>
      </c>
      <c r="AA381" s="341">
        <f>HLOOKUP(AA$35,'3.  Distribution Rates'!$C$122:$P$133,8,FALSE)</f>
        <v>1.7252000000000001</v>
      </c>
      <c r="AB381" s="341">
        <f>HLOOKUP(AB$35,'3.  Distribution Rates'!$C$122:$P$133,8,FALSE)</f>
        <v>1.1460999999999999</v>
      </c>
      <c r="AC381" s="341">
        <f>HLOOKUP(AC$35,'3.  Distribution Rates'!$C$122:$P$133,8,FALSE)</f>
        <v>8.0086999999999993</v>
      </c>
      <c r="AD381" s="341">
        <f>HLOOKUP(AD$35,'3.  Distribution Rates'!$C$122:$P$133,8,FALSE)</f>
        <v>2.5261</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278</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348.24140157423602</v>
      </c>
      <c r="Z382" s="378">
        <f>'4.  2011-2014 LRAM'!Z139*Z381</f>
        <v>559.84856526568387</v>
      </c>
      <c r="AA382" s="378">
        <f>'4.  2011-2014 LRAM'!AA139*AA381</f>
        <v>9.2331128372345847E-2</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 t="shared" ref="AM382:AM387" si="1123">SUM(Y382:AL382)</f>
        <v>908.18229796829235</v>
      </c>
    </row>
    <row r="383" spans="1:42">
      <c r="B383" s="324" t="s">
        <v>279</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265.8394845339306</v>
      </c>
      <c r="Z383" s="378">
        <f>'4.  2011-2014 LRAM'!Z268*Z381</f>
        <v>1071.9042067759829</v>
      </c>
      <c r="AA383" s="378">
        <f>'4.  2011-2014 LRAM'!AA268*AA381</f>
        <v>0.15611814873354043</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 t="shared" si="1123"/>
        <v>1337.899809458647</v>
      </c>
    </row>
    <row r="384" spans="1:42">
      <c r="B384" s="324" t="s">
        <v>280</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1014.9774671573983</v>
      </c>
      <c r="Z384" s="378">
        <f>'4.  2011-2014 LRAM'!Z397*Z381</f>
        <v>1594.2551851974679</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 t="shared" si="1123"/>
        <v>2609.2326523548663</v>
      </c>
    </row>
    <row r="385" spans="2:39">
      <c r="B385" s="324" t="s">
        <v>281</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1186.3349294724806</v>
      </c>
      <c r="Z385" s="378">
        <f>'4.  2011-2014 LRAM'!Z527*Z381</f>
        <v>1471.9332219097998</v>
      </c>
      <c r="AA385" s="378">
        <f>'4.  2011-2014 LRAM'!AA527*AA381</f>
        <v>658.26625702501815</v>
      </c>
      <c r="AB385" s="378">
        <f>'4.  2011-2014 LRAM'!AB527*AB381</f>
        <v>263.89107810761635</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si="1123"/>
        <v>3580.4254865149151</v>
      </c>
    </row>
    <row r="386" spans="2:39">
      <c r="B386" s="324" t="s">
        <v>282</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5372.1360000000004</v>
      </c>
      <c r="Z386" s="378">
        <f t="shared" si="1124"/>
        <v>747.10994603999995</v>
      </c>
      <c r="AA386" s="378">
        <f t="shared" si="1124"/>
        <v>516.77951952000012</v>
      </c>
      <c r="AB386" s="378">
        <f t="shared" si="1124"/>
        <v>151.37597112</v>
      </c>
      <c r="AC386" s="378">
        <f t="shared" si="1124"/>
        <v>0</v>
      </c>
      <c r="AD386" s="378">
        <f t="shared" si="1124"/>
        <v>1118.3539815600002</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7905.7554182399999</v>
      </c>
    </row>
    <row r="387" spans="2:39">
      <c r="B387" s="324" t="s">
        <v>291</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5204.3544000000002</v>
      </c>
      <c r="Z387" s="378">
        <f t="shared" ref="Z387:AL387" si="1125">Z378*Z381</f>
        <v>1654.7347523999999</v>
      </c>
      <c r="AA387" s="378">
        <f t="shared" si="1125"/>
        <v>545.99681664000002</v>
      </c>
      <c r="AB387" s="378">
        <f t="shared" si="1125"/>
        <v>2405.3191531199991</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9810.4051221599984</v>
      </c>
    </row>
    <row r="388" spans="2:39" ht="15.75">
      <c r="B388" s="349" t="s">
        <v>283</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13391.883682738047</v>
      </c>
      <c r="Z388" s="346">
        <f t="shared" ref="Z388:AE388" si="1126">SUM(Z382:Z387)</f>
        <v>7099.7858775889345</v>
      </c>
      <c r="AA388" s="346">
        <f t="shared" si="1126"/>
        <v>1721.2910424621241</v>
      </c>
      <c r="AB388" s="346">
        <f t="shared" si="1126"/>
        <v>2820.5862023476157</v>
      </c>
      <c r="AC388" s="346">
        <f t="shared" si="1126"/>
        <v>0</v>
      </c>
      <c r="AD388" s="346">
        <f t="shared" si="1126"/>
        <v>1118.3539815600002</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26151.900786696722</v>
      </c>
    </row>
    <row r="389" spans="2:39" ht="15.75">
      <c r="B389" s="349" t="s">
        <v>284</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2045.799</v>
      </c>
      <c r="Z389" s="347">
        <f t="shared" ref="Z389:AE389" si="1128">Z379*Z381</f>
        <v>461.21179999999998</v>
      </c>
      <c r="AA389" s="347">
        <f t="shared" si="1128"/>
        <v>746.25251200000002</v>
      </c>
      <c r="AB389" s="347">
        <f t="shared" si="1128"/>
        <v>466.06156499999992</v>
      </c>
      <c r="AC389" s="347">
        <f t="shared" si="1128"/>
        <v>3.684002</v>
      </c>
      <c r="AD389" s="347">
        <f t="shared" si="1128"/>
        <v>3549.347327</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7272.3562060000004</v>
      </c>
    </row>
    <row r="390" spans="2:39" ht="15.75">
      <c r="B390" s="349" t="s">
        <v>285</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18879.544580696722</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286</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413044</v>
      </c>
      <c r="Z392" s="291">
        <f>SUMPRODUCT(E221:E376,Z221:Z376)</f>
        <v>266892.7954</v>
      </c>
      <c r="AA392" s="291">
        <f t="shared" ref="AA392:AL392" si="1130">IF(AA219="kw",SUMPRODUCT($N$221:$N$376,$P$221:$P$376,AA221:AA376),SUMPRODUCT($E$221:$E$376,AA221:AA376))</f>
        <v>315.05759999999998</v>
      </c>
      <c r="AB392" s="291">
        <f t="shared" si="1130"/>
        <v>2089.2455999999997</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287</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413044</v>
      </c>
      <c r="Z393" s="291">
        <f>SUMPRODUCT(F221:F376,Z221:Z376)</f>
        <v>261684.7954</v>
      </c>
      <c r="AA393" s="291">
        <f t="shared" ref="AA393:AL393" si="1131">IF(AA219="kw",SUMPRODUCT($N$221:$N$376,$Q$221:$Q$376,AA221:AA376),SUMPRODUCT($F$221:$F$376,AA221:AA376))</f>
        <v>315.05759999999998</v>
      </c>
      <c r="AB393" s="291">
        <f t="shared" si="1131"/>
        <v>2089.2455999999997</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288</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413044</v>
      </c>
      <c r="Z394" s="291">
        <f>SUMPRODUCT(G221:G376,Z221:Z376)</f>
        <v>212217.7954</v>
      </c>
      <c r="AA394" s="291">
        <f t="shared" ref="AA394:AL394" si="1132">IF(AA219="kw",SUMPRODUCT($N$221:$N$376,$R$221:$R$376,AA221:AA376),SUMPRODUCT($G$221:$G$376,AA221:AA376))</f>
        <v>315.05759999999998</v>
      </c>
      <c r="AB394" s="291">
        <f t="shared" si="1132"/>
        <v>2089.2455999999997</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289</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413044</v>
      </c>
      <c r="Z395" s="326">
        <f>SUMPRODUCT(H221:H376,Z221:Z376)</f>
        <v>200172.7954</v>
      </c>
      <c r="AA395" s="326">
        <f t="shared" ref="AA395:AL395" si="1133">IF(AA219="kw",SUMPRODUCT($N$221:$N$376,$S$221:$S$376,AA221:AA376),SUMPRODUCT($H$221:$H$376,AA221:AA376))</f>
        <v>315.05759999999998</v>
      </c>
      <c r="AB395" s="326">
        <f t="shared" si="1133"/>
        <v>2089.2455999999997</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590</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292</v>
      </c>
      <c r="C399" s="281"/>
      <c r="D399" s="590" t="s">
        <v>529</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00" t="s">
        <v>211</v>
      </c>
      <c r="C400" s="802" t="s">
        <v>33</v>
      </c>
      <c r="D400" s="284" t="s">
        <v>423</v>
      </c>
      <c r="E400" s="804" t="s">
        <v>209</v>
      </c>
      <c r="F400" s="805"/>
      <c r="G400" s="805"/>
      <c r="H400" s="805"/>
      <c r="I400" s="805"/>
      <c r="J400" s="805"/>
      <c r="K400" s="805"/>
      <c r="L400" s="805"/>
      <c r="M400" s="806"/>
      <c r="N400" s="807" t="s">
        <v>213</v>
      </c>
      <c r="O400" s="284" t="s">
        <v>424</v>
      </c>
      <c r="P400" s="804" t="s">
        <v>212</v>
      </c>
      <c r="Q400" s="805"/>
      <c r="R400" s="805"/>
      <c r="S400" s="805"/>
      <c r="T400" s="805"/>
      <c r="U400" s="805"/>
      <c r="V400" s="805"/>
      <c r="W400" s="805"/>
      <c r="X400" s="806"/>
      <c r="Y400" s="797" t="s">
        <v>244</v>
      </c>
      <c r="Z400" s="798"/>
      <c r="AA400" s="798"/>
      <c r="AB400" s="798"/>
      <c r="AC400" s="798"/>
      <c r="AD400" s="798"/>
      <c r="AE400" s="798"/>
      <c r="AF400" s="798"/>
      <c r="AG400" s="798"/>
      <c r="AH400" s="798"/>
      <c r="AI400" s="798"/>
      <c r="AJ400" s="798"/>
      <c r="AK400" s="798"/>
      <c r="AL400" s="798"/>
      <c r="AM400" s="799"/>
    </row>
    <row r="401" spans="1:39" ht="61.5" customHeight="1">
      <c r="B401" s="801"/>
      <c r="C401" s="803"/>
      <c r="D401" s="285">
        <v>2017</v>
      </c>
      <c r="E401" s="285">
        <v>2018</v>
      </c>
      <c r="F401" s="285">
        <v>2019</v>
      </c>
      <c r="G401" s="285">
        <v>2020</v>
      </c>
      <c r="H401" s="285">
        <v>2021</v>
      </c>
      <c r="I401" s="285">
        <v>2022</v>
      </c>
      <c r="J401" s="285">
        <v>2023</v>
      </c>
      <c r="K401" s="285">
        <v>2024</v>
      </c>
      <c r="L401" s="285">
        <v>2025</v>
      </c>
      <c r="M401" s="285">
        <v>2026</v>
      </c>
      <c r="N401" s="808"/>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50-1499 KW</v>
      </c>
      <c r="AB401" s="285" t="str">
        <f>'1.  LRAMVA Summary'!G52</f>
        <v>Intermediate</v>
      </c>
      <c r="AC401" s="285" t="str">
        <f>'1.  LRAMVA Summary'!H52</f>
        <v>Sentinel</v>
      </c>
      <c r="AD401" s="285" t="str">
        <f>'1.  LRAMVA Summary'!I52</f>
        <v xml:space="preserve">Street Lighting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505</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498</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309</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309</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309</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683</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309</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309</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499</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309</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309</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309</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309</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309</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309</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309</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491</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496</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309</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492</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309</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497</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309</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309</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309</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309</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504</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500</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v>275911</v>
      </c>
      <c r="E471" s="295">
        <v>221553</v>
      </c>
      <c r="F471" s="295">
        <v>221553</v>
      </c>
      <c r="G471" s="295">
        <v>221553</v>
      </c>
      <c r="H471" s="295">
        <v>221553</v>
      </c>
      <c r="I471" s="295">
        <v>221553</v>
      </c>
      <c r="J471" s="295">
        <v>221553</v>
      </c>
      <c r="K471" s="295">
        <v>221552</v>
      </c>
      <c r="L471" s="295">
        <v>221552</v>
      </c>
      <c r="M471" s="295">
        <v>220191</v>
      </c>
      <c r="N471" s="291"/>
      <c r="O471" s="295">
        <v>20</v>
      </c>
      <c r="P471" s="295">
        <v>16</v>
      </c>
      <c r="Q471" s="295">
        <v>16</v>
      </c>
      <c r="R471" s="295">
        <v>16</v>
      </c>
      <c r="S471" s="295">
        <v>16</v>
      </c>
      <c r="T471" s="295">
        <v>16</v>
      </c>
      <c r="U471" s="295">
        <v>16</v>
      </c>
      <c r="V471" s="295">
        <v>16</v>
      </c>
      <c r="W471" s="295">
        <v>16</v>
      </c>
      <c r="X471" s="295">
        <v>16</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309</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27467</v>
      </c>
      <c r="E474" s="295">
        <v>27467</v>
      </c>
      <c r="F474" s="295">
        <v>27467</v>
      </c>
      <c r="G474" s="295">
        <v>27467</v>
      </c>
      <c r="H474" s="295">
        <v>27467</v>
      </c>
      <c r="I474" s="295">
        <v>27467</v>
      </c>
      <c r="J474" s="295">
        <v>27467</v>
      </c>
      <c r="K474" s="295">
        <v>27467</v>
      </c>
      <c r="L474" s="295">
        <v>27467</v>
      </c>
      <c r="M474" s="295">
        <v>27467</v>
      </c>
      <c r="N474" s="291"/>
      <c r="O474" s="295">
        <v>7</v>
      </c>
      <c r="P474" s="295">
        <v>7</v>
      </c>
      <c r="Q474" s="295">
        <v>7</v>
      </c>
      <c r="R474" s="295">
        <v>7</v>
      </c>
      <c r="S474" s="295">
        <v>7</v>
      </c>
      <c r="T474" s="295">
        <v>7</v>
      </c>
      <c r="U474" s="295">
        <v>7</v>
      </c>
      <c r="V474" s="295">
        <v>7</v>
      </c>
      <c r="W474" s="295">
        <v>7</v>
      </c>
      <c r="X474" s="295">
        <v>7</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309</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2"/>
      <c r="B478" s="431" t="s">
        <v>309</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outlineLevel="1">
      <c r="A480" s="532">
        <v>24</v>
      </c>
      <c r="B480" s="743" t="s">
        <v>688</v>
      </c>
      <c r="C480" s="291" t="s">
        <v>25</v>
      </c>
      <c r="D480" s="295">
        <v>226017</v>
      </c>
      <c r="E480" s="295">
        <v>163679</v>
      </c>
      <c r="F480" s="295">
        <v>163679</v>
      </c>
      <c r="G480" s="295">
        <v>163679</v>
      </c>
      <c r="H480" s="295">
        <v>163679</v>
      </c>
      <c r="I480" s="295">
        <v>163679</v>
      </c>
      <c r="J480" s="295">
        <v>163679</v>
      </c>
      <c r="K480" s="295">
        <v>163675</v>
      </c>
      <c r="L480" s="295">
        <v>163675</v>
      </c>
      <c r="M480" s="295">
        <v>163675</v>
      </c>
      <c r="N480" s="291"/>
      <c r="O480" s="295">
        <v>16</v>
      </c>
      <c r="P480" s="295">
        <v>11</v>
      </c>
      <c r="Q480" s="295">
        <v>11</v>
      </c>
      <c r="R480" s="295">
        <v>11</v>
      </c>
      <c r="S480" s="295">
        <v>11</v>
      </c>
      <c r="T480" s="295">
        <v>11</v>
      </c>
      <c r="U480" s="295">
        <v>11</v>
      </c>
      <c r="V480" s="295">
        <v>11</v>
      </c>
      <c r="W480" s="295">
        <v>11</v>
      </c>
      <c r="X480" s="295">
        <v>11</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309</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501</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2"/>
      <c r="B485" s="431" t="s">
        <v>309</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295">
        <v>193562</v>
      </c>
      <c r="E487" s="295">
        <v>193562</v>
      </c>
      <c r="F487" s="295">
        <v>193562</v>
      </c>
      <c r="G487" s="295">
        <v>193562</v>
      </c>
      <c r="H487" s="295">
        <v>193562</v>
      </c>
      <c r="I487" s="295">
        <v>193562</v>
      </c>
      <c r="J487" s="295">
        <v>193562</v>
      </c>
      <c r="K487" s="295">
        <v>193562</v>
      </c>
      <c r="L487" s="295">
        <v>193562</v>
      </c>
      <c r="M487" s="295">
        <v>193562</v>
      </c>
      <c r="N487" s="295">
        <v>12</v>
      </c>
      <c r="O487" s="295">
        <v>15</v>
      </c>
      <c r="P487" s="295">
        <v>15</v>
      </c>
      <c r="Q487" s="295">
        <v>15</v>
      </c>
      <c r="R487" s="295">
        <v>15</v>
      </c>
      <c r="S487" s="295">
        <v>15</v>
      </c>
      <c r="T487" s="295">
        <v>15</v>
      </c>
      <c r="U487" s="295">
        <v>15</v>
      </c>
      <c r="V487" s="295">
        <v>15</v>
      </c>
      <c r="W487" s="295">
        <v>15</v>
      </c>
      <c r="X487" s="295">
        <v>15</v>
      </c>
      <c r="Y487" s="426"/>
      <c r="Z487" s="742">
        <v>0.06</v>
      </c>
      <c r="AA487" s="742">
        <v>0.04</v>
      </c>
      <c r="AB487" s="742">
        <v>0.9</v>
      </c>
      <c r="AC487" s="410"/>
      <c r="AD487" s="410"/>
      <c r="AE487" s="410"/>
      <c r="AF487" s="415"/>
      <c r="AG487" s="415"/>
      <c r="AH487" s="415"/>
      <c r="AI487" s="415"/>
      <c r="AJ487" s="415"/>
      <c r="AK487" s="415"/>
      <c r="AL487" s="415"/>
      <c r="AM487" s="296">
        <f>SUM(Y487:AL487)</f>
        <v>1</v>
      </c>
    </row>
    <row r="488" spans="1:39" outlineLevel="1">
      <c r="A488" s="532"/>
      <c r="B488" s="431" t="s">
        <v>309</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0.06</v>
      </c>
      <c r="AA488" s="411">
        <f t="shared" ref="AA488" si="1388">AA487</f>
        <v>0.04</v>
      </c>
      <c r="AB488" s="411">
        <f t="shared" ref="AB488" si="1389">AB487</f>
        <v>0.9</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outlineLevel="1">
      <c r="A491" s="532"/>
      <c r="B491" s="431" t="s">
        <v>309</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v>
      </c>
      <c r="AA491" s="411">
        <f t="shared" ref="AA491" si="1401">AA490</f>
        <v>0</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309</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309</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309</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309</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309</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502</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309</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309</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309</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503</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30" outlineLevel="1">
      <c r="A519" s="532">
        <v>36</v>
      </c>
      <c r="B519" s="743" t="s">
        <v>687</v>
      </c>
      <c r="C519" s="291" t="s">
        <v>25</v>
      </c>
      <c r="D519" s="295">
        <v>45965</v>
      </c>
      <c r="E519" s="295">
        <v>45965</v>
      </c>
      <c r="F519" s="295">
        <v>45965</v>
      </c>
      <c r="G519" s="295">
        <v>45965</v>
      </c>
      <c r="H519" s="295">
        <v>45965</v>
      </c>
      <c r="I519" s="295">
        <v>45965</v>
      </c>
      <c r="J519" s="295">
        <v>45965</v>
      </c>
      <c r="K519" s="295">
        <v>45965</v>
      </c>
      <c r="L519" s="295">
        <v>45965</v>
      </c>
      <c r="M519" s="295">
        <v>45965</v>
      </c>
      <c r="N519" s="295">
        <v>12</v>
      </c>
      <c r="O519" s="295">
        <v>4</v>
      </c>
      <c r="P519" s="295">
        <v>4</v>
      </c>
      <c r="Q519" s="295">
        <v>4</v>
      </c>
      <c r="R519" s="295">
        <v>4</v>
      </c>
      <c r="S519" s="295">
        <v>4</v>
      </c>
      <c r="T519" s="295">
        <v>4</v>
      </c>
      <c r="U519" s="295">
        <v>4</v>
      </c>
      <c r="V519" s="295">
        <v>4</v>
      </c>
      <c r="W519" s="295">
        <v>4</v>
      </c>
      <c r="X519" s="295">
        <v>4</v>
      </c>
      <c r="Y519" s="426">
        <v>1</v>
      </c>
      <c r="Z519" s="410"/>
      <c r="AA519" s="410"/>
      <c r="AB519" s="410"/>
      <c r="AC519" s="410"/>
      <c r="AD519" s="410"/>
      <c r="AE519" s="410"/>
      <c r="AF519" s="415"/>
      <c r="AG519" s="415"/>
      <c r="AH519" s="415"/>
      <c r="AI519" s="415"/>
      <c r="AJ519" s="415"/>
      <c r="AK519" s="415"/>
      <c r="AL519" s="415"/>
      <c r="AM519" s="296">
        <f>SUM(Y519:AL519)</f>
        <v>1</v>
      </c>
    </row>
    <row r="520" spans="1:39" outlineLevel="1">
      <c r="A520" s="532"/>
      <c r="B520" s="431" t="s">
        <v>309</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1</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309</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309</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309</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309</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309</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309</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309</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309</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309</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309</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309</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309</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309</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293</v>
      </c>
      <c r="C561" s="329"/>
      <c r="D561" s="329">
        <v>768922</v>
      </c>
      <c r="E561" s="329"/>
      <c r="F561" s="329"/>
      <c r="G561" s="329"/>
      <c r="H561" s="329"/>
      <c r="I561" s="329"/>
      <c r="J561" s="329"/>
      <c r="K561" s="329"/>
      <c r="L561" s="329"/>
      <c r="M561" s="329"/>
      <c r="N561" s="329"/>
      <c r="O561" s="329">
        <f>SUM(O404:O559)</f>
        <v>62</v>
      </c>
      <c r="P561" s="329"/>
      <c r="Q561" s="329"/>
      <c r="R561" s="329"/>
      <c r="S561" s="329"/>
      <c r="T561" s="329"/>
      <c r="U561" s="329"/>
      <c r="V561" s="329"/>
      <c r="W561" s="329"/>
      <c r="X561" s="329"/>
      <c r="Y561" s="329">
        <f>IF(Y402="kWh",SUMPRODUCT(D404:D559,Y404:Y559))</f>
        <v>575360</v>
      </c>
      <c r="Z561" s="329">
        <f>IF(Z402="kWh",SUMPRODUCT(D404:D559,Z404:Z559))</f>
        <v>11613.72</v>
      </c>
      <c r="AA561" s="329">
        <f>IF(AA402="kw",SUMPRODUCT(N404:N559,O404:O559,AA404:AA559),SUMPRODUCT(D404:D559,AA404:AA559))</f>
        <v>7.2</v>
      </c>
      <c r="AB561" s="329">
        <f>IF(AB402="kw",SUMPRODUCT(N404:N559,O404:O559,AB404:AB559),SUMPRODUCT(D404:D559,AB404:AB559))</f>
        <v>162</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294</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162365</v>
      </c>
      <c r="Z562" s="392">
        <f>HLOOKUP(Z218,'2. LRAMVA Threshold'!$B$42:$Q$53,9,FALSE)</f>
        <v>74389</v>
      </c>
      <c r="AA562" s="392">
        <f>HLOOKUP(AA218,'2. LRAMVA Threshold'!$B$42:$Q$53,9,FALSE)</f>
        <v>432.56</v>
      </c>
      <c r="AB562" s="392">
        <f>HLOOKUP(AB218,'2. LRAMVA Threshold'!$B$42:$Q$53,9,FALSE)</f>
        <v>406.65</v>
      </c>
      <c r="AC562" s="392">
        <f>HLOOKUP(AC218,'2. LRAMVA Threshold'!$B$42:$Q$53,9,FALSE)</f>
        <v>0.46</v>
      </c>
      <c r="AD562" s="392">
        <f>HLOOKUP(AD218,'2. LRAMVA Threshold'!$B$42:$Q$53,9,FALSE)</f>
        <v>1405.07</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295</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9.9000000000000008E-3</v>
      </c>
      <c r="Z564" s="341">
        <f>HLOOKUP(Z$35,'3.  Distribution Rates'!$C$122:$P$133,9,FALSE)</f>
        <v>6.3E-3</v>
      </c>
      <c r="AA564" s="341">
        <f>HLOOKUP(AA$35,'3.  Distribution Rates'!$C$122:$P$133,9,FALSE)</f>
        <v>1.7453000000000001</v>
      </c>
      <c r="AB564" s="341">
        <f>HLOOKUP(AB$35,'3.  Distribution Rates'!$C$122:$P$133,9,FALSE)</f>
        <v>1.1595</v>
      </c>
      <c r="AC564" s="341">
        <f>HLOOKUP(AC$35,'3.  Distribution Rates'!$C$122:$P$133,9,FALSE)</f>
        <v>8.1021999999999998</v>
      </c>
      <c r="AD564" s="341">
        <f>HLOOKUP(AD$35,'3.  Distribution Rates'!$C$122:$P$133,9,FALSE)</f>
        <v>2.5556000000000001</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296</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212.15867853931522</v>
      </c>
      <c r="Z565" s="378">
        <f>'4.  2011-2014 LRAM'!Z140*Z564</f>
        <v>61.792961591280601</v>
      </c>
      <c r="AA565" s="378">
        <f>'4.  2011-2014 LRAM'!AA140*AA564</f>
        <v>9.3406862014986783E-2</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274.04504699261082</v>
      </c>
    </row>
    <row r="566" spans="2:39">
      <c r="B566" s="324" t="s">
        <v>297</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151.73140087839295</v>
      </c>
      <c r="Z566" s="378">
        <f>'4.  2011-2014 LRAM'!Z269*Z564</f>
        <v>76.636085080272309</v>
      </c>
      <c r="AA566" s="378">
        <f>'4.  2011-2014 LRAM'!AA269*AA564</f>
        <v>0.15793705366603764</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228.52542301233132</v>
      </c>
    </row>
    <row r="567" spans="2:39">
      <c r="B567" s="324" t="s">
        <v>298</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793.80626200175345</v>
      </c>
      <c r="Z567" s="378">
        <f>'4.  2011-2014 LRAM'!Z398*Z564</f>
        <v>311.86865547729354</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1105.6749174790471</v>
      </c>
    </row>
    <row r="568" spans="2:39">
      <c r="B568" s="324" t="s">
        <v>299</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932.12030172837763</v>
      </c>
      <c r="Z568" s="378">
        <f>'4.  2011-2014 LRAM'!Z528*Z564</f>
        <v>581.31139525829997</v>
      </c>
      <c r="AA568" s="378">
        <f>'4.  2011-2014 LRAM'!AA528*AA564</f>
        <v>565.53789334225996</v>
      </c>
      <c r="AB568" s="378">
        <f>'4.  2011-2014 LRAM'!AB528*AB564</f>
        <v>226.72657360124097</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2305.6961639301785</v>
      </c>
    </row>
    <row r="569" spans="2:39">
      <c r="B569" s="324" t="s">
        <v>300</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4220.9639999999999</v>
      </c>
      <c r="Z569" s="378">
        <f t="shared" si="1700"/>
        <v>759.16010646000007</v>
      </c>
      <c r="AA569" s="378">
        <f t="shared" si="1700"/>
        <v>522.80042628000012</v>
      </c>
      <c r="AB569" s="378">
        <f>AB209*AB564</f>
        <v>153.14583240000002</v>
      </c>
      <c r="AC569" s="378">
        <f t="shared" si="1700"/>
        <v>0</v>
      </c>
      <c r="AD569" s="378">
        <f t="shared" si="1700"/>
        <v>1131.4142097600002</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6787.4845748999996</v>
      </c>
    </row>
    <row r="570" spans="2:39">
      <c r="B570" s="324" t="s">
        <v>301</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4089.1356000000005</v>
      </c>
      <c r="Z570" s="378">
        <f>Z392*Z564</f>
        <v>1681.4246110199999</v>
      </c>
      <c r="AA570" s="378">
        <f t="shared" ref="AA570:AL570" si="1701">AA392*AA564</f>
        <v>549.87002928000004</v>
      </c>
      <c r="AB570" s="378">
        <f>AB392*AB564</f>
        <v>2422.4802731999998</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8742.9105135000009</v>
      </c>
    </row>
    <row r="571" spans="2:39">
      <c r="B571" s="324" t="s">
        <v>302</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5696.0640000000003</v>
      </c>
      <c r="Z571" s="378">
        <f t="shared" ref="Z571:AL571" si="1702">Z561*Z564</f>
        <v>73.16643599999999</v>
      </c>
      <c r="AA571" s="378">
        <f t="shared" si="1702"/>
        <v>12.56616</v>
      </c>
      <c r="AB571" s="378">
        <f t="shared" si="1702"/>
        <v>187.839</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5969.635596000001</v>
      </c>
    </row>
    <row r="572" spans="2:39" ht="15.75">
      <c r="B572" s="349" t="s">
        <v>303</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16095.98024314784</v>
      </c>
      <c r="Z572" s="346">
        <f>SUM(Z565:Z571)</f>
        <v>3545.3602508871468</v>
      </c>
      <c r="AA572" s="346">
        <f t="shared" ref="AA572:AE572" si="1703">SUM(AA565:AA571)</f>
        <v>1651.0258528179413</v>
      </c>
      <c r="AB572" s="346">
        <f t="shared" si="1703"/>
        <v>2990.1916792012407</v>
      </c>
      <c r="AC572" s="346">
        <f t="shared" si="1703"/>
        <v>0</v>
      </c>
      <c r="AD572" s="346">
        <f>SUM(AD565:AD571)</f>
        <v>1131.4142097600002</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25413.972235814166</v>
      </c>
    </row>
    <row r="573" spans="2:39" ht="15.75">
      <c r="B573" s="349" t="s">
        <v>304</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1607.4135000000001</v>
      </c>
      <c r="Z573" s="347">
        <f t="shared" ref="Z573:AE573" si="1705">Z562*Z564</f>
        <v>468.65070000000003</v>
      </c>
      <c r="AA573" s="347">
        <f t="shared" si="1705"/>
        <v>754.94696800000008</v>
      </c>
      <c r="AB573" s="347">
        <f t="shared" si="1705"/>
        <v>471.51067499999994</v>
      </c>
      <c r="AC573" s="347">
        <f t="shared" si="1705"/>
        <v>3.7270120000000002</v>
      </c>
      <c r="AD573" s="347">
        <f>AD562*AD564</f>
        <v>3590.7968919999998</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6897.0457470000001</v>
      </c>
    </row>
    <row r="574" spans="2:39" ht="15.75">
      <c r="B574" s="349" t="s">
        <v>305</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18516.926488814166</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306</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458664</v>
      </c>
      <c r="Z576" s="291">
        <f>SUMPRODUCT(E404:E559,Z404:Z559)</f>
        <v>11613.72</v>
      </c>
      <c r="AA576" s="291">
        <f>IF(AA402="kw",SUMPRODUCT($N$404:$N$559,$P$404:$P$559,AA404:AA559),SUMPRODUCT($E$404:$E$559,AA404:AA559))</f>
        <v>7.2</v>
      </c>
      <c r="AB576" s="291">
        <f>IF(AB402="kw",SUMPRODUCT($N$404:$N$559,$P$404:$P$559,AB404:AB559),SUMPRODUCT($E$404:$E$559,AB404:AB559))</f>
        <v>162</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c r="B577" s="439" t="s">
        <v>307</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458664</v>
      </c>
      <c r="Z577" s="291">
        <f>SUMPRODUCT(F404:F559,Z404:Z559)</f>
        <v>11613.72</v>
      </c>
      <c r="AA577" s="291">
        <f t="shared" ref="AA577:AL577" si="1708">IF(AA402="kw",SUMPRODUCT($N$404:$N$559,$Q$404:$Q$559,AA404:AA559),SUMPRODUCT($F$404:$F$559,AA404:AA559))</f>
        <v>7.2</v>
      </c>
      <c r="AB577" s="291">
        <f t="shared" si="1708"/>
        <v>162</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c r="B578" s="440" t="s">
        <v>308</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458664</v>
      </c>
      <c r="Z578" s="326">
        <f>SUMPRODUCT(G404:G559,Z404:Z559)</f>
        <v>11613.72</v>
      </c>
      <c r="AA578" s="326">
        <f t="shared" ref="AA578:AL578" si="1709">IF(AA402="kw",SUMPRODUCT($N$404:$N$559,$R$404:$R$559,AA404:AA559),SUMPRODUCT($G$404:$G$559,AA404:AA559))</f>
        <v>7.2</v>
      </c>
      <c r="AB578" s="326">
        <f t="shared" si="1709"/>
        <v>162</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590</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310</v>
      </c>
      <c r="C582" s="281"/>
      <c r="D582" s="590" t="s">
        <v>529</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00" t="s">
        <v>211</v>
      </c>
      <c r="C583" s="802" t="s">
        <v>33</v>
      </c>
      <c r="D583" s="284" t="s">
        <v>423</v>
      </c>
      <c r="E583" s="804" t="s">
        <v>209</v>
      </c>
      <c r="F583" s="805"/>
      <c r="G583" s="805"/>
      <c r="H583" s="805"/>
      <c r="I583" s="805"/>
      <c r="J583" s="805"/>
      <c r="K583" s="805"/>
      <c r="L583" s="805"/>
      <c r="M583" s="806"/>
      <c r="N583" s="807" t="s">
        <v>213</v>
      </c>
      <c r="O583" s="284" t="s">
        <v>424</v>
      </c>
      <c r="P583" s="804" t="s">
        <v>212</v>
      </c>
      <c r="Q583" s="805"/>
      <c r="R583" s="805"/>
      <c r="S583" s="805"/>
      <c r="T583" s="805"/>
      <c r="U583" s="805"/>
      <c r="V583" s="805"/>
      <c r="W583" s="805"/>
      <c r="X583" s="806"/>
      <c r="Y583" s="797" t="s">
        <v>244</v>
      </c>
      <c r="Z583" s="798"/>
      <c r="AA583" s="798"/>
      <c r="AB583" s="798"/>
      <c r="AC583" s="798"/>
      <c r="AD583" s="798"/>
      <c r="AE583" s="798"/>
      <c r="AF583" s="798"/>
      <c r="AG583" s="798"/>
      <c r="AH583" s="798"/>
      <c r="AI583" s="798"/>
      <c r="AJ583" s="798"/>
      <c r="AK583" s="798"/>
      <c r="AL583" s="798"/>
      <c r="AM583" s="799"/>
    </row>
    <row r="584" spans="1:39" ht="68.25" customHeight="1">
      <c r="B584" s="801"/>
      <c r="C584" s="803"/>
      <c r="D584" s="285">
        <v>2018</v>
      </c>
      <c r="E584" s="285">
        <v>2019</v>
      </c>
      <c r="F584" s="285">
        <v>2020</v>
      </c>
      <c r="G584" s="285">
        <v>2021</v>
      </c>
      <c r="H584" s="285">
        <v>2022</v>
      </c>
      <c r="I584" s="285">
        <v>2023</v>
      </c>
      <c r="J584" s="285">
        <v>2024</v>
      </c>
      <c r="K584" s="285">
        <v>2025</v>
      </c>
      <c r="L584" s="285">
        <v>2026</v>
      </c>
      <c r="M584" s="285">
        <v>2027</v>
      </c>
      <c r="N584" s="808"/>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50-1499 KW</v>
      </c>
      <c r="AB584" s="285" t="str">
        <f>'1.  LRAMVA Summary'!G52</f>
        <v>Intermediate</v>
      </c>
      <c r="AC584" s="285" t="str">
        <f>'1.  LRAMVA Summary'!H52</f>
        <v>Sentinel</v>
      </c>
      <c r="AD584" s="285" t="str">
        <f>'1.  LRAMVA Summary'!I52</f>
        <v xml:space="preserve">Street Lighting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505</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hidden="1" outlineLevel="1">
      <c r="A586" s="532"/>
      <c r="B586" s="504" t="s">
        <v>498</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idden="1" outlineLevel="1">
      <c r="A588" s="532"/>
      <c r="B588" s="294" t="s">
        <v>311</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7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2"/>
      <c r="B591" s="294" t="s">
        <v>311</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7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2"/>
      <c r="B594" s="294" t="s">
        <v>311</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2">
        <v>4</v>
      </c>
      <c r="B596" s="520" t="s">
        <v>683</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311</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311</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2"/>
      <c r="B602" s="319" t="s">
        <v>499</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2"/>
      <c r="B604" s="294" t="s">
        <v>311</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2"/>
      <c r="B607" s="294" t="s">
        <v>311</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2"/>
      <c r="B610" s="294" t="s">
        <v>311</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311</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311</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2"/>
      <c r="B620" s="294" t="s">
        <v>311</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311</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2"/>
      <c r="B626" s="294" t="s">
        <v>311</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2"/>
      <c r="B630" s="294" t="s">
        <v>311</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hidden="1" outlineLevel="1">
      <c r="A632" s="532"/>
      <c r="B632" s="288" t="s">
        <v>491</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idden="1" outlineLevel="1">
      <c r="A633" s="532">
        <v>15</v>
      </c>
      <c r="B633" s="294" t="s">
        <v>496</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2"/>
      <c r="B634" s="294" t="s">
        <v>311</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2">
        <v>16</v>
      </c>
      <c r="B636" s="324" t="s">
        <v>492</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2"/>
      <c r="B637" s="294" t="s">
        <v>311</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2"/>
      <c r="B639" s="519" t="s">
        <v>497</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2"/>
      <c r="B641" s="294" t="s">
        <v>311</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2"/>
      <c r="B644" s="294" t="s">
        <v>311</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2"/>
      <c r="B647" s="294" t="s">
        <v>311</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2"/>
      <c r="B650" s="294" t="s">
        <v>311</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7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32"/>
      <c r="B652" s="518" t="s">
        <v>504</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32"/>
      <c r="B653" s="504" t="s">
        <v>500</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idden="1" outlineLevel="1">
      <c r="A655" s="532"/>
      <c r="B655" s="294" t="s">
        <v>311</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idden="1" outlineLevel="1">
      <c r="A658" s="532"/>
      <c r="B658" s="294" t="s">
        <v>311</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idden="1" outlineLevel="1">
      <c r="A661" s="532"/>
      <c r="B661" s="294" t="s">
        <v>311</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idden="1" outlineLevel="1">
      <c r="A664" s="532"/>
      <c r="B664" s="294" t="s">
        <v>311</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32"/>
      <c r="B666" s="288" t="s">
        <v>501</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32"/>
      <c r="B668" s="294" t="s">
        <v>311</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idden="1" outlineLevel="1">
      <c r="A671" s="532"/>
      <c r="B671" s="294" t="s">
        <v>311</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v>
      </c>
      <c r="AA671" s="411">
        <f t="shared" ref="AA671" si="1964">AA670</f>
        <v>0</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idden="1" outlineLevel="1">
      <c r="A674" s="532"/>
      <c r="B674" s="294" t="s">
        <v>311</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v>
      </c>
      <c r="AA674" s="411">
        <f t="shared" ref="AA674" si="1977">AA673</f>
        <v>0</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2"/>
      <c r="B677" s="294" t="s">
        <v>311</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2"/>
      <c r="B680" s="294" t="s">
        <v>311</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2"/>
      <c r="B683" s="294" t="s">
        <v>311</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2"/>
      <c r="B686" s="294" t="s">
        <v>311</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2"/>
      <c r="B689" s="294" t="s">
        <v>311</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hidden="1" outlineLevel="1">
      <c r="A691" s="532"/>
      <c r="B691" s="288" t="s">
        <v>502</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idden="1"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idden="1" outlineLevel="1">
      <c r="A693" s="532"/>
      <c r="B693" s="294" t="s">
        <v>311</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0</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2"/>
      <c r="B696" s="294" t="s">
        <v>311</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idden="1" outlineLevel="1">
      <c r="A699" s="532"/>
      <c r="B699" s="294" t="s">
        <v>311</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hidden="1" outlineLevel="1">
      <c r="A701" s="532"/>
      <c r="B701" s="288" t="s">
        <v>503</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2"/>
      <c r="B703" s="294" t="s">
        <v>311</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2"/>
      <c r="B706" s="294" t="s">
        <v>311</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2"/>
      <c r="B709" s="294" t="s">
        <v>311</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2"/>
      <c r="B712" s="294" t="s">
        <v>311</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2"/>
      <c r="B715" s="294" t="s">
        <v>311</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2"/>
      <c r="B718" s="294" t="s">
        <v>311</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2"/>
      <c r="B721" s="294" t="s">
        <v>311</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2"/>
      <c r="B724" s="294" t="s">
        <v>311</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2"/>
      <c r="B727" s="294" t="s">
        <v>311</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2"/>
      <c r="B730" s="294" t="s">
        <v>311</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2"/>
      <c r="B733" s="294" t="s">
        <v>311</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2"/>
      <c r="B736" s="294" t="s">
        <v>311</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2"/>
      <c r="B739" s="294" t="s">
        <v>311</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2"/>
      <c r="B742" s="294" t="s">
        <v>311</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ollapsed="1">
      <c r="B744" s="327" t="s">
        <v>312</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313</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314</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5.7000000000000002E-3</v>
      </c>
      <c r="Z747" s="341">
        <f>HLOOKUP(Z$35,'3.  Distribution Rates'!$C$122:$P$133,10,FALSE)</f>
        <v>6.4000000000000003E-3</v>
      </c>
      <c r="AA747" s="341">
        <f>HLOOKUP(AA$35,'3.  Distribution Rates'!$C$122:$P$133,10,FALSE)</f>
        <v>1.7677</v>
      </c>
      <c r="AB747" s="341">
        <f>HLOOKUP(AB$35,'3.  Distribution Rates'!$C$122:$P$133,10,FALSE)</f>
        <v>1.1742999999999999</v>
      </c>
      <c r="AC747" s="341">
        <f>HLOOKUP(AC$35,'3.  Distribution Rates'!$C$122:$P$133,10,FALSE)</f>
        <v>8.2059999999999995</v>
      </c>
      <c r="AD747" s="341">
        <f>HLOOKUP(AD$35,'3.  Distribution Rates'!$C$122:$P$133,10,FALSE)</f>
        <v>2.5882999999999998</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315</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121.60139732522715</v>
      </c>
      <c r="Z748" s="378">
        <f>'4.  2011-2014 LRAM'!Z141*Z747</f>
        <v>62.773802251459664</v>
      </c>
      <c r="AA748" s="378">
        <f>'4.  2011-2014 LRAM'!AA141*AA747</f>
        <v>9.4605689557034398E-2</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5">SUM(Y748:AL748)</f>
        <v>184.46980526624384</v>
      </c>
      <c r="AN748" s="443"/>
    </row>
    <row r="749" spans="1:40">
      <c r="B749" s="324" t="s">
        <v>316</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60.915879542039399</v>
      </c>
      <c r="Z749" s="378">
        <f>'4.  2011-2014 LRAM'!Z270*Z747</f>
        <v>77.85253087519726</v>
      </c>
      <c r="AA749" s="378">
        <f>'4.  2011-2014 LRAM'!AA270*AA747</f>
        <v>0.15996409199877082</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5"/>
        <v>138.92837450923543</v>
      </c>
      <c r="AN749" s="443"/>
    </row>
    <row r="750" spans="1:40">
      <c r="B750" s="324" t="s">
        <v>317</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454.67376322933802</v>
      </c>
      <c r="Z750" s="378">
        <f>'4.  2011-2014 LRAM'!Z399*Z747</f>
        <v>302.90090440432829</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5"/>
        <v>757.57466763366631</v>
      </c>
      <c r="AN750" s="443"/>
    </row>
    <row r="751" spans="1:40">
      <c r="B751" s="324" t="s">
        <v>318</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523.83397693675215</v>
      </c>
      <c r="Z751" s="378">
        <f>'4.  2011-2014 LRAM'!Z529*Z747</f>
        <v>590.53856026239998</v>
      </c>
      <c r="AA751" s="378">
        <f>'4.  2011-2014 LRAM'!AA529*AA747</f>
        <v>572.79627230912331</v>
      </c>
      <c r="AB751" s="378">
        <f>'4.  2011-2014 LRAM'!AB529*AB747</f>
        <v>229.62053935311536</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5"/>
        <v>1916.7893488613909</v>
      </c>
      <c r="AN751" s="443"/>
    </row>
    <row r="752" spans="1:40">
      <c r="B752" s="324" t="s">
        <v>319</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2430.252</v>
      </c>
      <c r="Z752" s="378">
        <f t="shared" si="2276"/>
        <v>780.03586688000007</v>
      </c>
      <c r="AA752" s="378">
        <f t="shared" si="2276"/>
        <v>529.51029252000012</v>
      </c>
      <c r="AB752" s="378">
        <f t="shared" si="2276"/>
        <v>155.10060455999999</v>
      </c>
      <c r="AC752" s="378">
        <f t="shared" si="2276"/>
        <v>0</v>
      </c>
      <c r="AD752" s="378">
        <f t="shared" si="2276"/>
        <v>1145.89114068</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9">
        <f t="shared" si="2275"/>
        <v>5040.7899046400007</v>
      </c>
      <c r="AN752" s="443"/>
    </row>
    <row r="753" spans="1:40">
      <c r="B753" s="324" t="s">
        <v>320</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2354.3508000000002</v>
      </c>
      <c r="Z753" s="378">
        <f t="shared" si="2277"/>
        <v>1674.78269056</v>
      </c>
      <c r="AA753" s="378">
        <f t="shared" si="2277"/>
        <v>556.92731951999997</v>
      </c>
      <c r="AB753" s="378">
        <f t="shared" si="2277"/>
        <v>2453.4011080799996</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9">
        <f t="shared" si="2275"/>
        <v>7039.4619181599992</v>
      </c>
      <c r="AN753" s="443"/>
    </row>
    <row r="754" spans="1:40">
      <c r="B754" s="324" t="s">
        <v>321</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2614.3848000000003</v>
      </c>
      <c r="Z754" s="378">
        <f t="shared" si="2278"/>
        <v>74.327808000000005</v>
      </c>
      <c r="AA754" s="378">
        <f t="shared" si="2278"/>
        <v>12.727440000000001</v>
      </c>
      <c r="AB754" s="378">
        <f t="shared" si="2278"/>
        <v>190.23659999999998</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9">
        <f t="shared" si="2275"/>
        <v>2891.6766480000006</v>
      </c>
      <c r="AN754" s="443"/>
    </row>
    <row r="755" spans="1:40">
      <c r="B755" s="324" t="s">
        <v>322</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79">Z744*Z747</f>
        <v>0</v>
      </c>
      <c r="AA755" s="378">
        <f t="shared" si="2279"/>
        <v>0</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9">
        <f t="shared" si="2275"/>
        <v>0</v>
      </c>
      <c r="AN755" s="443"/>
    </row>
    <row r="756" spans="1:40" ht="15.75">
      <c r="B756" s="349" t="s">
        <v>323</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8560.0126170333569</v>
      </c>
      <c r="Z756" s="346">
        <f t="shared" ref="Z756:AE756" si="2280">SUM(Z748:Z755)</f>
        <v>3563.2121632333851</v>
      </c>
      <c r="AA756" s="346">
        <f t="shared" si="2280"/>
        <v>1672.2158941306793</v>
      </c>
      <c r="AB756" s="346">
        <f t="shared" si="2280"/>
        <v>3028.3588519931154</v>
      </c>
      <c r="AC756" s="346">
        <f t="shared" si="2280"/>
        <v>0</v>
      </c>
      <c r="AD756" s="346">
        <f t="shared" si="2280"/>
        <v>1145.89114068</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17969.690667070536</v>
      </c>
      <c r="AN756" s="443"/>
    </row>
    <row r="757" spans="1:40" ht="15.75">
      <c r="B757" s="349" t="s">
        <v>324</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2">Z745*Z747</f>
        <v>0</v>
      </c>
      <c r="AA757" s="347">
        <f t="shared" si="2282"/>
        <v>0</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0</v>
      </c>
      <c r="AN757" s="443"/>
    </row>
    <row r="758" spans="1:40" ht="15.75">
      <c r="B758" s="349" t="s">
        <v>325</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17969.690667070536</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326</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4">IF(AA585="kw",SUMPRODUCT($N$587:$N$742,$P$587:$P$742,AA587:AA742),SUMPRODUCT($E$587:$E$742,AA587:AA742))</f>
        <v>0</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c r="B761" s="440" t="s">
        <v>327</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5">IF(AA585="kw",SUMPRODUCT($N$587:$N$742,$Q$587:$Q$742,AA587:AA742),SUMPRODUCT($F$587:$F$742,AA587:AA742))</f>
        <v>0</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590</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328</v>
      </c>
      <c r="C765" s="281"/>
      <c r="D765" s="590" t="s">
        <v>529</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00" t="s">
        <v>211</v>
      </c>
      <c r="C766" s="802" t="s">
        <v>33</v>
      </c>
      <c r="D766" s="284" t="s">
        <v>423</v>
      </c>
      <c r="E766" s="804" t="s">
        <v>209</v>
      </c>
      <c r="F766" s="805"/>
      <c r="G766" s="805"/>
      <c r="H766" s="805"/>
      <c r="I766" s="805"/>
      <c r="J766" s="805"/>
      <c r="K766" s="805"/>
      <c r="L766" s="805"/>
      <c r="M766" s="806"/>
      <c r="N766" s="807" t="s">
        <v>213</v>
      </c>
      <c r="O766" s="284" t="s">
        <v>424</v>
      </c>
      <c r="P766" s="804" t="s">
        <v>212</v>
      </c>
      <c r="Q766" s="805"/>
      <c r="R766" s="805"/>
      <c r="S766" s="805"/>
      <c r="T766" s="805"/>
      <c r="U766" s="805"/>
      <c r="V766" s="805"/>
      <c r="W766" s="805"/>
      <c r="X766" s="806"/>
      <c r="Y766" s="797" t="s">
        <v>244</v>
      </c>
      <c r="Z766" s="798"/>
      <c r="AA766" s="798"/>
      <c r="AB766" s="798"/>
      <c r="AC766" s="798"/>
      <c r="AD766" s="798"/>
      <c r="AE766" s="798"/>
      <c r="AF766" s="798"/>
      <c r="AG766" s="798"/>
      <c r="AH766" s="798"/>
      <c r="AI766" s="798"/>
      <c r="AJ766" s="798"/>
      <c r="AK766" s="798"/>
      <c r="AL766" s="798"/>
      <c r="AM766" s="799"/>
    </row>
    <row r="767" spans="1:40" ht="65.25" customHeight="1">
      <c r="B767" s="801"/>
      <c r="C767" s="803"/>
      <c r="D767" s="285">
        <v>2019</v>
      </c>
      <c r="E767" s="285">
        <v>2020</v>
      </c>
      <c r="F767" s="285">
        <v>2021</v>
      </c>
      <c r="G767" s="285">
        <v>2022</v>
      </c>
      <c r="H767" s="285">
        <v>2023</v>
      </c>
      <c r="I767" s="285">
        <v>2024</v>
      </c>
      <c r="J767" s="285">
        <v>2025</v>
      </c>
      <c r="K767" s="285">
        <v>2026</v>
      </c>
      <c r="L767" s="285">
        <v>2027</v>
      </c>
      <c r="M767" s="285">
        <v>2028</v>
      </c>
      <c r="N767" s="808"/>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50-1499 KW</v>
      </c>
      <c r="AB767" s="285" t="str">
        <f>'1.  LRAMVA Summary'!G52</f>
        <v>Intermediate</v>
      </c>
      <c r="AC767" s="285" t="str">
        <f>'1.  LRAMVA Summary'!H52</f>
        <v>Sentinel</v>
      </c>
      <c r="AD767" s="285" t="str">
        <f>'1.  LRAMVA Summary'!I52</f>
        <v xml:space="preserve">Street Lighting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505</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t="str">
        <f>'1.  LRAMVA Summary'!I53</f>
        <v>kW</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2"/>
      <c r="B769" s="504" t="s">
        <v>498</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343</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343</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343</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520" t="s">
        <v>683</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343</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343</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499</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343</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343</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343</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343</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343</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343</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343</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343</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343</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491</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496</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343</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492</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343</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497</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343</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343</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343</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343</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504</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500</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343</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2"/>
      <c r="B841" s="294" t="s">
        <v>343</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343</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343</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501</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343</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2"/>
      <c r="B854" s="294" t="s">
        <v>343</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v>
      </c>
      <c r="AA854" s="411">
        <f t="shared" ref="AA854" si="2540">AA853</f>
        <v>0</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2"/>
      <c r="B857" s="294" t="s">
        <v>343</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343</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343</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343</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343</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343</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502</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343</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343</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343</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503</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343</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343</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343</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343</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343</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343</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343</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343</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343</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343</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343</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343</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343</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343</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329</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330</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331</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332</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0">SUM(Y931:AL931)</f>
        <v>0</v>
      </c>
    </row>
    <row r="932" spans="2:39">
      <c r="B932" s="324" t="s">
        <v>333</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0"/>
        <v>0</v>
      </c>
    </row>
    <row r="933" spans="2:39">
      <c r="B933" s="324" t="s">
        <v>334</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0"/>
        <v>0</v>
      </c>
    </row>
    <row r="934" spans="2:39">
      <c r="B934" s="324" t="s">
        <v>335</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0"/>
        <v>0</v>
      </c>
    </row>
    <row r="935" spans="2:39">
      <c r="B935" s="324" t="s">
        <v>336</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0</v>
      </c>
      <c r="Z935" s="378">
        <f t="shared" si="2851"/>
        <v>0</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9">
        <f t="shared" si="2850"/>
        <v>0</v>
      </c>
    </row>
    <row r="936" spans="2:39">
      <c r="B936" s="324" t="s">
        <v>337</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0</v>
      </c>
      <c r="Z936" s="378">
        <f t="shared" si="2852"/>
        <v>0</v>
      </c>
      <c r="AA936" s="378">
        <f t="shared" si="2852"/>
        <v>0</v>
      </c>
      <c r="AB936" s="378">
        <f t="shared" si="2852"/>
        <v>0</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9">
        <f t="shared" si="2850"/>
        <v>0</v>
      </c>
    </row>
    <row r="937" spans="2:39">
      <c r="B937" s="324" t="s">
        <v>338</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0</v>
      </c>
      <c r="Z937" s="378">
        <f t="shared" si="2853"/>
        <v>0</v>
      </c>
      <c r="AA937" s="378">
        <f t="shared" si="2853"/>
        <v>0</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9">
        <f t="shared" si="2850"/>
        <v>0</v>
      </c>
    </row>
    <row r="938" spans="2:39">
      <c r="B938" s="324" t="s">
        <v>339</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0</v>
      </c>
      <c r="Z938" s="378">
        <f t="shared" si="2854"/>
        <v>0</v>
      </c>
      <c r="AA938" s="378">
        <f t="shared" si="2854"/>
        <v>0</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9">
        <f t="shared" si="2850"/>
        <v>0</v>
      </c>
    </row>
    <row r="939" spans="2:39">
      <c r="B939" s="324" t="s">
        <v>340</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5">Z927*Z930</f>
        <v>0</v>
      </c>
      <c r="AA939" s="378">
        <f t="shared" si="2855"/>
        <v>0</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9">
        <f t="shared" si="2850"/>
        <v>0</v>
      </c>
    </row>
    <row r="940" spans="2:39" ht="15.75">
      <c r="B940" s="349" t="s">
        <v>344</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6">SUM(Z931:Z939)</f>
        <v>0</v>
      </c>
      <c r="AA940" s="346">
        <f t="shared" si="2856"/>
        <v>0</v>
      </c>
      <c r="AB940" s="346">
        <f t="shared" si="2856"/>
        <v>0</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0</v>
      </c>
    </row>
    <row r="941" spans="2:39" ht="15.75">
      <c r="B941" s="349" t="s">
        <v>345</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8">Z928*Z930</f>
        <v>0</v>
      </c>
      <c r="AA941" s="347">
        <f t="shared" si="2858"/>
        <v>0</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0</v>
      </c>
    </row>
    <row r="942" spans="2:39" ht="15.75">
      <c r="B942" s="349" t="s">
        <v>346</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341</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0">IF(AA768="kw",SUMPRODUCT($N$770:$N$925,$P$770:$P$925,AA770:AA925),SUMPRODUCT($E$770:$E$925,AA770:AA925))</f>
        <v>0</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590</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342</v>
      </c>
      <c r="C948" s="281"/>
      <c r="D948" s="590" t="s">
        <v>529</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00" t="s">
        <v>211</v>
      </c>
      <c r="C949" s="802" t="s">
        <v>33</v>
      </c>
      <c r="D949" s="284" t="s">
        <v>423</v>
      </c>
      <c r="E949" s="804" t="s">
        <v>209</v>
      </c>
      <c r="F949" s="805"/>
      <c r="G949" s="805"/>
      <c r="H949" s="805"/>
      <c r="I949" s="805"/>
      <c r="J949" s="805"/>
      <c r="K949" s="805"/>
      <c r="L949" s="805"/>
      <c r="M949" s="806"/>
      <c r="N949" s="807" t="s">
        <v>213</v>
      </c>
      <c r="O949" s="284" t="s">
        <v>424</v>
      </c>
      <c r="P949" s="804" t="s">
        <v>212</v>
      </c>
      <c r="Q949" s="805"/>
      <c r="R949" s="805"/>
      <c r="S949" s="805"/>
      <c r="T949" s="805"/>
      <c r="U949" s="805"/>
      <c r="V949" s="805"/>
      <c r="W949" s="805"/>
      <c r="X949" s="806"/>
      <c r="Y949" s="797" t="s">
        <v>244</v>
      </c>
      <c r="Z949" s="798"/>
      <c r="AA949" s="798"/>
      <c r="AB949" s="798"/>
      <c r="AC949" s="798"/>
      <c r="AD949" s="798"/>
      <c r="AE949" s="798"/>
      <c r="AF949" s="798"/>
      <c r="AG949" s="798"/>
      <c r="AH949" s="798"/>
      <c r="AI949" s="798"/>
      <c r="AJ949" s="798"/>
      <c r="AK949" s="798"/>
      <c r="AL949" s="798"/>
      <c r="AM949" s="799"/>
    </row>
    <row r="950" spans="1:39" ht="65.25" customHeight="1">
      <c r="B950" s="801"/>
      <c r="C950" s="803"/>
      <c r="D950" s="285">
        <v>2020</v>
      </c>
      <c r="E950" s="285">
        <v>2021</v>
      </c>
      <c r="F950" s="285">
        <v>2022</v>
      </c>
      <c r="G950" s="285">
        <v>2023</v>
      </c>
      <c r="H950" s="285">
        <v>2024</v>
      </c>
      <c r="I950" s="285">
        <v>2025</v>
      </c>
      <c r="J950" s="285">
        <v>2026</v>
      </c>
      <c r="K950" s="285">
        <v>2027</v>
      </c>
      <c r="L950" s="285">
        <v>2028</v>
      </c>
      <c r="M950" s="285">
        <v>2029</v>
      </c>
      <c r="N950" s="808"/>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50-1499 KW</v>
      </c>
      <c r="AB950" s="285" t="str">
        <f>'1.  LRAMVA Summary'!G52</f>
        <v>Intermediate</v>
      </c>
      <c r="AC950" s="285" t="str">
        <f>'1.  LRAMVA Summary'!H52</f>
        <v>Sentinel</v>
      </c>
      <c r="AD950" s="285" t="str">
        <f>'1.  LRAMVA Summary'!I52</f>
        <v xml:space="preserve">Street Lighting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505</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t="str">
        <f>'1.  LRAMVA Summary'!I53</f>
        <v>kW</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498</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347</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347</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347</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683</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347</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347</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499</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347</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347</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347</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347</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347</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347</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347</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347</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347</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491</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496</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343</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492</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343</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497</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343</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343</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343</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343</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504</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500</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347</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347</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347</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347</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501</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347</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347</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347</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347</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347</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347</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347</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347</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502</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347</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347</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347</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503</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347</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347</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347</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347</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347</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347</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347</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347</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347</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347</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347</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347</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347</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347</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348</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349</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350</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354</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4">SUM(Y1114:AL1114)</f>
        <v>0</v>
      </c>
    </row>
    <row r="1115" spans="1:39">
      <c r="B1115" s="324" t="s">
        <v>355</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4"/>
        <v>0</v>
      </c>
    </row>
    <row r="1116" spans="1:39">
      <c r="B1116" s="324" t="s">
        <v>356</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4"/>
        <v>0</v>
      </c>
    </row>
    <row r="1117" spans="1:39">
      <c r="B1117" s="324" t="s">
        <v>357</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4"/>
        <v>0</v>
      </c>
    </row>
    <row r="1118" spans="1:39">
      <c r="B1118" s="324" t="s">
        <v>358</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9">
        <f t="shared" si="3424"/>
        <v>0</v>
      </c>
    </row>
    <row r="1119" spans="1:39">
      <c r="B1119" s="324" t="s">
        <v>359</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9">
        <f t="shared" si="3424"/>
        <v>0</v>
      </c>
    </row>
    <row r="1120" spans="1:39">
      <c r="B1120" s="324" t="s">
        <v>360</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9">
        <f t="shared" si="3424"/>
        <v>0</v>
      </c>
    </row>
    <row r="1121" spans="2:39">
      <c r="B1121" s="324" t="s">
        <v>361</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9">
        <f t="shared" si="3424"/>
        <v>0</v>
      </c>
    </row>
    <row r="1122" spans="2:39">
      <c r="B1122" s="324" t="s">
        <v>362</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9">
        <f t="shared" si="3424"/>
        <v>0</v>
      </c>
    </row>
    <row r="1123" spans="2:39">
      <c r="B1123" s="324" t="s">
        <v>363</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9">
        <f t="shared" si="3424"/>
        <v>0</v>
      </c>
    </row>
    <row r="1124" spans="2:39" ht="15.75">
      <c r="B1124" s="349" t="s">
        <v>353</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75">
      <c r="B1125" s="349" t="s">
        <v>352</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75">
      <c r="B1126" s="349" t="s">
        <v>351</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590</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529</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900-000000000000}"/>
    <hyperlink ref="C25" location="Table_5_b.__2016_Lost_Revenues_Work_Form" display="Table 5-b.  2016 Lost Revenues " xr:uid="{00000000-0004-0000-0900-000001000000}"/>
    <hyperlink ref="C26" location="Table_5_c.__2017_Lost_Revenues_Work_Form" display="Table 5-c.  2017 Lost Revenues " xr:uid="{00000000-0004-0000-0900-000002000000}"/>
    <hyperlink ref="C27" location="Table_5_d.__2018_Lost_Revenues_Work_Form" display="Table 5-d.  2018 Lost Revenues " xr:uid="{00000000-0004-0000-0900-000003000000}"/>
    <hyperlink ref="D582" location="'5.  2015-2020 LRAM'!A1" display="Return to top" xr:uid="{00000000-0004-0000-0900-000004000000}"/>
    <hyperlink ref="C28" location="Table_5_e.__2019_Lost_Revenues_Work_Form" display="Table 5-e.  2019 Lost Revenues" xr:uid="{00000000-0004-0000-0900-000005000000}"/>
    <hyperlink ref="C29" location="Table_5_f.__2020_Lost_Revenues_Work_Form" display="Table 5-f.  2020 Lost Revenues" xr:uid="{00000000-0004-0000-0900-000006000000}"/>
    <hyperlink ref="D216" location="'5.  2015-2020 LRAM'!A1" display="Return to top" xr:uid="{00000000-0004-0000-0900-000007000000}"/>
    <hyperlink ref="D399" location="'5.  2015-2020 LRAM'!A1" display="Return to top" xr:uid="{00000000-0004-0000-0900-000008000000}"/>
    <hyperlink ref="D765" location="'5.  2015-2020 LRAM'!A1" display="Return to top" xr:uid="{00000000-0004-0000-0900-000009000000}"/>
    <hyperlink ref="D948" location="'5.  2015-2020 LRAM'!A1" display="Return to top" xr:uid="{00000000-0004-0000-0900-00000A000000}"/>
    <hyperlink ref="B1130" location="'5.  2015-2020 LRAM'!A1" display="Return to top" xr:uid="{00000000-0004-0000-09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B165"/>
  <sheetViews>
    <sheetView topLeftCell="A28" zoomScale="90" zoomScaleNormal="90" workbookViewId="0">
      <selection activeCell="A10" sqref="A10"/>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554</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507</v>
      </c>
      <c r="C8" s="812" t="s">
        <v>669</v>
      </c>
      <c r="D8" s="812"/>
      <c r="E8" s="812"/>
      <c r="F8" s="812"/>
      <c r="G8" s="812"/>
      <c r="H8" s="812"/>
      <c r="I8" s="812"/>
      <c r="J8" s="812"/>
      <c r="K8" s="812"/>
      <c r="L8" s="812"/>
      <c r="M8" s="812"/>
      <c r="N8" s="812"/>
      <c r="O8" s="812"/>
      <c r="P8" s="812"/>
      <c r="Q8" s="812"/>
      <c r="R8" s="812"/>
      <c r="S8" s="812"/>
      <c r="T8" s="105"/>
      <c r="U8" s="105"/>
      <c r="V8" s="105"/>
      <c r="W8" s="105"/>
    </row>
    <row r="9" spans="1:28" s="9" customFormat="1" ht="46.9" customHeight="1">
      <c r="B9" s="55"/>
      <c r="C9" s="775" t="s">
        <v>681</v>
      </c>
      <c r="D9" s="775"/>
      <c r="E9" s="775"/>
      <c r="F9" s="775"/>
      <c r="G9" s="775"/>
      <c r="H9" s="775"/>
      <c r="I9" s="775"/>
      <c r="J9" s="775"/>
      <c r="K9" s="775"/>
      <c r="L9" s="775"/>
      <c r="M9" s="775"/>
      <c r="N9" s="775"/>
      <c r="O9" s="775"/>
      <c r="P9" s="775"/>
      <c r="Q9" s="775"/>
      <c r="R9" s="775"/>
      <c r="S9" s="775"/>
      <c r="T9" s="105"/>
      <c r="U9" s="105"/>
      <c r="V9" s="105"/>
      <c r="W9" s="105"/>
    </row>
    <row r="10" spans="1:28" s="9" customFormat="1" ht="37.9" customHeight="1">
      <c r="B10" s="88"/>
      <c r="C10" s="796" t="s">
        <v>682</v>
      </c>
      <c r="D10" s="775"/>
      <c r="E10" s="775"/>
      <c r="F10" s="775"/>
      <c r="G10" s="775"/>
      <c r="H10" s="775"/>
      <c r="I10" s="775"/>
      <c r="J10" s="775"/>
      <c r="K10" s="775"/>
      <c r="L10" s="775"/>
      <c r="M10" s="775"/>
      <c r="N10" s="775"/>
      <c r="O10" s="775"/>
      <c r="P10" s="775"/>
      <c r="Q10" s="775"/>
      <c r="R10" s="775"/>
      <c r="S10" s="775"/>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11" t="s">
        <v>235</v>
      </c>
      <c r="C12" s="811"/>
      <c r="D12" s="181"/>
      <c r="E12" s="182" t="s">
        <v>236</v>
      </c>
      <c r="F12" s="51"/>
      <c r="G12" s="51"/>
      <c r="H12" s="44"/>
      <c r="I12" s="51"/>
      <c r="K12" s="592" t="s">
        <v>538</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473</v>
      </c>
      <c r="D14" s="203"/>
      <c r="E14" s="204" t="s">
        <v>62</v>
      </c>
      <c r="F14" s="204" t="s">
        <v>495</v>
      </c>
      <c r="G14" s="204" t="s">
        <v>63</v>
      </c>
      <c r="H14" s="204" t="s">
        <v>64</v>
      </c>
      <c r="I14" s="204" t="str">
        <f>'1.  LRAMVA Summary'!D52</f>
        <v>Residential</v>
      </c>
      <c r="J14" s="204" t="str">
        <f>'1.  LRAMVA Summary'!E52</f>
        <v>GS&lt;50 kW</v>
      </c>
      <c r="K14" s="204" t="str">
        <f>'1.  LRAMVA Summary'!F52</f>
        <v>GS 50-1499 KW</v>
      </c>
      <c r="L14" s="204" t="str">
        <f>'1.  LRAMVA Summary'!G52</f>
        <v>Intermediate</v>
      </c>
      <c r="M14" s="204" t="str">
        <f>'1.  LRAMVA Summary'!H52</f>
        <v>Sentinel</v>
      </c>
      <c r="N14" s="204" t="str">
        <f>'1.  LRAMVA Summary'!I52</f>
        <v xml:space="preserve">Street Lighting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462</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426</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463</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427</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233"/>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233"/>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233"/>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464</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428</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0.17470024642864121</v>
      </c>
      <c r="J61" s="230">
        <f>(SUM('1.  LRAMVA Summary'!E$54:E$62)+SUM('1.  LRAMVA Summary'!E$63:E$64)*(MONTH($E61)-1)/12)*$H61</f>
        <v>0.48502455838239295</v>
      </c>
      <c r="K61" s="230">
        <f>(SUM('1.  LRAMVA Summary'!F$54:F$62)+SUM('1.  LRAMVA Summary'!F$63:F$64)*(MONTH($E61)-1)/12)*$H61</f>
        <v>-1.2051287109172724E-2</v>
      </c>
      <c r="L61" s="230">
        <f>(SUM('1.  LRAMVA Summary'!G$54:G$62)+SUM('1.  LRAMVA Summary'!G$63:G$64)*(MONTH($E61)-1)/12)*$H61</f>
        <v>-1.8394519940210144E-2</v>
      </c>
      <c r="M61" s="230">
        <f>(SUM('1.  LRAMVA Summary'!H$54:H$62)+SUM('1.  LRAMVA Summary'!H$63:H$64)*(MONTH($E61)-1)/12)*$H61</f>
        <v>-1.4650060833333334E-4</v>
      </c>
      <c r="N61" s="230">
        <f>(SUM('1.  LRAMVA Summary'!I$54:I$62)+SUM('1.  LRAMVA Summary'!I$63:I$64)*(MONTH($E61)-1)/12)*$H61</f>
        <v>-0.32899509143958333</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0.30013740571373465</v>
      </c>
    </row>
    <row r="62" spans="1:23" s="9" customFormat="1">
      <c r="B62" s="66"/>
      <c r="E62" s="214">
        <v>41699</v>
      </c>
      <c r="F62" s="214" t="s">
        <v>180</v>
      </c>
      <c r="G62" s="215" t="s">
        <v>65</v>
      </c>
      <c r="H62" s="229">
        <f>C$27/12</f>
        <v>1.225E-3</v>
      </c>
      <c r="I62" s="230">
        <f>(SUM('1.  LRAMVA Summary'!D$54:D$62)+SUM('1.  LRAMVA Summary'!D$63:D$64)*(MONTH($E62)-1)/12)*$H62</f>
        <v>0.34940049285728242</v>
      </c>
      <c r="J62" s="230">
        <f>(SUM('1.  LRAMVA Summary'!E$54:E$62)+SUM('1.  LRAMVA Summary'!E$63:E$64)*(MONTH($E62)-1)/12)*$H62</f>
        <v>0.97004911676478589</v>
      </c>
      <c r="K62" s="230">
        <f>(SUM('1.  LRAMVA Summary'!F$54:F$62)+SUM('1.  LRAMVA Summary'!F$63:F$64)*(MONTH($E62)-1)/12)*$H62</f>
        <v>-2.4102574218345447E-2</v>
      </c>
      <c r="L62" s="230">
        <f>(SUM('1.  LRAMVA Summary'!G$54:G$62)+SUM('1.  LRAMVA Summary'!G$63:G$64)*(MONTH($E62)-1)/12)*$H62</f>
        <v>-3.6789039880420288E-2</v>
      </c>
      <c r="M62" s="230">
        <f>(SUM('1.  LRAMVA Summary'!H$54:H$62)+SUM('1.  LRAMVA Summary'!H$63:H$64)*(MONTH($E62)-1)/12)*$H62</f>
        <v>-2.9300121666666669E-4</v>
      </c>
      <c r="N62" s="230">
        <f>(SUM('1.  LRAMVA Summary'!I$54:I$62)+SUM('1.  LRAMVA Summary'!I$63:I$64)*(MONTH($E62)-1)/12)*$H62</f>
        <v>-0.65799018287916666</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0.6002748114274693</v>
      </c>
    </row>
    <row r="63" spans="1:23" s="9" customFormat="1">
      <c r="B63" s="66"/>
      <c r="E63" s="214">
        <v>41730</v>
      </c>
      <c r="F63" s="214" t="s">
        <v>180</v>
      </c>
      <c r="G63" s="215" t="s">
        <v>66</v>
      </c>
      <c r="H63" s="232">
        <f>C$28/12</f>
        <v>1.225E-3</v>
      </c>
      <c r="I63" s="230">
        <f>(SUM('1.  LRAMVA Summary'!D$54:D$62)+SUM('1.  LRAMVA Summary'!D$63:D$64)*(MONTH($E63)-1)/12)*$H63</f>
        <v>0.52410073928592371</v>
      </c>
      <c r="J63" s="230">
        <f>(SUM('1.  LRAMVA Summary'!E$54:E$62)+SUM('1.  LRAMVA Summary'!E$63:E$64)*(MONTH($E63)-1)/12)*$H63</f>
        <v>1.4550736751471789</v>
      </c>
      <c r="K63" s="230">
        <f>(SUM('1.  LRAMVA Summary'!F$54:F$62)+SUM('1.  LRAMVA Summary'!F$63:F$64)*(MONTH($E63)-1)/12)*$H63</f>
        <v>-3.6153861327518175E-2</v>
      </c>
      <c r="L63" s="230">
        <f>(SUM('1.  LRAMVA Summary'!G$54:G$62)+SUM('1.  LRAMVA Summary'!G$63:G$64)*(MONTH($E63)-1)/12)*$H63</f>
        <v>-5.5183559820630425E-2</v>
      </c>
      <c r="M63" s="230">
        <f>(SUM('1.  LRAMVA Summary'!H$54:H$62)+SUM('1.  LRAMVA Summary'!H$63:H$64)*(MONTH($E63)-1)/12)*$H63</f>
        <v>-4.3950182500000008E-4</v>
      </c>
      <c r="N63" s="230">
        <f>(SUM('1.  LRAMVA Summary'!I$54:I$62)+SUM('1.  LRAMVA Summary'!I$63:I$64)*(MONTH($E63)-1)/12)*$H63</f>
        <v>-0.98698527431874983</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0.90041221714120401</v>
      </c>
    </row>
    <row r="64" spans="1:23" s="9" customFormat="1">
      <c r="B64" s="66"/>
      <c r="E64" s="214">
        <v>41760</v>
      </c>
      <c r="F64" s="214" t="s">
        <v>180</v>
      </c>
      <c r="G64" s="215" t="s">
        <v>66</v>
      </c>
      <c r="H64" s="229">
        <f>C$28/12</f>
        <v>1.225E-3</v>
      </c>
      <c r="I64" s="230">
        <f>(SUM('1.  LRAMVA Summary'!D$54:D$62)+SUM('1.  LRAMVA Summary'!D$63:D$64)*(MONTH($E64)-1)/12)*$H64</f>
        <v>0.69880098571456484</v>
      </c>
      <c r="J64" s="230">
        <f>(SUM('1.  LRAMVA Summary'!E$54:E$62)+SUM('1.  LRAMVA Summary'!E$63:E$64)*(MONTH($E64)-1)/12)*$H64</f>
        <v>1.9400982335295718</v>
      </c>
      <c r="K64" s="230">
        <f>(SUM('1.  LRAMVA Summary'!F$54:F$62)+SUM('1.  LRAMVA Summary'!F$63:F$64)*(MONTH($E64)-1)/12)*$H64</f>
        <v>-4.8205148436690895E-2</v>
      </c>
      <c r="L64" s="230">
        <f>(SUM('1.  LRAMVA Summary'!G$54:G$62)+SUM('1.  LRAMVA Summary'!G$63:G$64)*(MONTH($E64)-1)/12)*$H64</f>
        <v>-7.3578079760840576E-2</v>
      </c>
      <c r="M64" s="230">
        <f>(SUM('1.  LRAMVA Summary'!H$54:H$62)+SUM('1.  LRAMVA Summary'!H$63:H$64)*(MONTH($E64)-1)/12)*$H64</f>
        <v>-5.8600243333333337E-4</v>
      </c>
      <c r="N64" s="230">
        <f>(SUM('1.  LRAMVA Summary'!I$54:I$62)+SUM('1.  LRAMVA Summary'!I$63:I$64)*(MONTH($E64)-1)/12)*$H64</f>
        <v>-1.3159803657583333</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1.2005496228549386</v>
      </c>
    </row>
    <row r="65" spans="2:23" s="9" customFormat="1">
      <c r="B65" s="66"/>
      <c r="E65" s="214">
        <v>41791</v>
      </c>
      <c r="F65" s="214" t="s">
        <v>180</v>
      </c>
      <c r="G65" s="215" t="s">
        <v>66</v>
      </c>
      <c r="H65" s="229">
        <f>C$28/12</f>
        <v>1.225E-3</v>
      </c>
      <c r="I65" s="230">
        <f>(SUM('1.  LRAMVA Summary'!D$54:D$62)+SUM('1.  LRAMVA Summary'!D$63:D$64)*(MONTH($E65)-1)/12)*$H65</f>
        <v>0.87350123214320619</v>
      </c>
      <c r="J65" s="230">
        <f>(SUM('1.  LRAMVA Summary'!E$54:E$62)+SUM('1.  LRAMVA Summary'!E$63:E$64)*(MONTH($E65)-1)/12)*$H65</f>
        <v>2.4251227919119649</v>
      </c>
      <c r="K65" s="230">
        <f>(SUM('1.  LRAMVA Summary'!F$54:F$62)+SUM('1.  LRAMVA Summary'!F$63:F$64)*(MONTH($E65)-1)/12)*$H65</f>
        <v>-6.0256435545863629E-2</v>
      </c>
      <c r="L65" s="230">
        <f>(SUM('1.  LRAMVA Summary'!G$54:G$62)+SUM('1.  LRAMVA Summary'!G$63:G$64)*(MONTH($E65)-1)/12)*$H65</f>
        <v>-9.1972599701050706E-2</v>
      </c>
      <c r="M65" s="230">
        <f>(SUM('1.  LRAMVA Summary'!H$54:H$62)+SUM('1.  LRAMVA Summary'!H$63:H$64)*(MONTH($E65)-1)/12)*$H65</f>
        <v>-7.3250304166666655E-4</v>
      </c>
      <c r="N65" s="230">
        <f>(SUM('1.  LRAMVA Summary'!I$54:I$62)+SUM('1.  LRAMVA Summary'!I$63:I$64)*(MONTH($E65)-1)/12)*$H65</f>
        <v>-1.6449754571979165</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1.5006870285686733</v>
      </c>
    </row>
    <row r="66" spans="2:23" s="9" customFormat="1">
      <c r="B66" s="66"/>
      <c r="E66" s="214">
        <v>41821</v>
      </c>
      <c r="F66" s="214" t="s">
        <v>180</v>
      </c>
      <c r="G66" s="215" t="s">
        <v>68</v>
      </c>
      <c r="H66" s="232">
        <f>C$29/12</f>
        <v>1.225E-3</v>
      </c>
      <c r="I66" s="230">
        <f>(SUM('1.  LRAMVA Summary'!D$54:D$62)+SUM('1.  LRAMVA Summary'!D$63:D$64)*(MONTH($E66)-1)/12)*$H66</f>
        <v>1.0482014785718474</v>
      </c>
      <c r="J66" s="230">
        <f>(SUM('1.  LRAMVA Summary'!E$54:E$62)+SUM('1.  LRAMVA Summary'!E$63:E$64)*(MONTH($E66)-1)/12)*$H66</f>
        <v>2.9101473502943578</v>
      </c>
      <c r="K66" s="230">
        <f>(SUM('1.  LRAMVA Summary'!F$54:F$62)+SUM('1.  LRAMVA Summary'!F$63:F$64)*(MONTH($E66)-1)/12)*$H66</f>
        <v>-7.2307722655036349E-2</v>
      </c>
      <c r="L66" s="230">
        <f>(SUM('1.  LRAMVA Summary'!G$54:G$62)+SUM('1.  LRAMVA Summary'!G$63:G$64)*(MONTH($E66)-1)/12)*$H66</f>
        <v>-0.11036711964126085</v>
      </c>
      <c r="M66" s="230">
        <f>(SUM('1.  LRAMVA Summary'!H$54:H$62)+SUM('1.  LRAMVA Summary'!H$63:H$64)*(MONTH($E66)-1)/12)*$H66</f>
        <v>-8.7900365000000017E-4</v>
      </c>
      <c r="N66" s="230">
        <f>(SUM('1.  LRAMVA Summary'!I$54:I$62)+SUM('1.  LRAMVA Summary'!I$63:I$64)*(MONTH($E66)-1)/12)*$H66</f>
        <v>-1.9739705486374997</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1.800824434282408</v>
      </c>
    </row>
    <row r="67" spans="2:23" s="9" customFormat="1">
      <c r="B67" s="66"/>
      <c r="E67" s="214">
        <v>41852</v>
      </c>
      <c r="F67" s="214" t="s">
        <v>180</v>
      </c>
      <c r="G67" s="215" t="s">
        <v>68</v>
      </c>
      <c r="H67" s="229">
        <f>C$29/12</f>
        <v>1.225E-3</v>
      </c>
      <c r="I67" s="230">
        <f>(SUM('1.  LRAMVA Summary'!D$54:D$62)+SUM('1.  LRAMVA Summary'!D$63:D$64)*(MONTH($E67)-1)/12)*$H67</f>
        <v>1.2229017250004885</v>
      </c>
      <c r="J67" s="230">
        <f>(SUM('1.  LRAMVA Summary'!E$54:E$62)+SUM('1.  LRAMVA Summary'!E$63:E$64)*(MONTH($E67)-1)/12)*$H67</f>
        <v>3.3951719086767507</v>
      </c>
      <c r="K67" s="230">
        <f>(SUM('1.  LRAMVA Summary'!F$54:F$62)+SUM('1.  LRAMVA Summary'!F$63:F$64)*(MONTH($E67)-1)/12)*$H67</f>
        <v>-8.4359009764209084E-2</v>
      </c>
      <c r="L67" s="230">
        <f>(SUM('1.  LRAMVA Summary'!G$54:G$62)+SUM('1.  LRAMVA Summary'!G$63:G$64)*(MONTH($E67)-1)/12)*$H67</f>
        <v>-0.12876163958147099</v>
      </c>
      <c r="M67" s="230">
        <f>(SUM('1.  LRAMVA Summary'!H$54:H$62)+SUM('1.  LRAMVA Summary'!H$63:H$64)*(MONTH($E67)-1)/12)*$H67</f>
        <v>-1.0255042583333335E-3</v>
      </c>
      <c r="N67" s="230">
        <f>(SUM('1.  LRAMVA Summary'!I$54:I$62)+SUM('1.  LRAMVA Summary'!I$63:I$64)*(MONTH($E67)-1)/12)*$H67</f>
        <v>-2.3029656400770828</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2.1009618399961432</v>
      </c>
    </row>
    <row r="68" spans="2:23" s="9" customFormat="1">
      <c r="B68" s="66"/>
      <c r="E68" s="214">
        <v>41883</v>
      </c>
      <c r="F68" s="214" t="s">
        <v>180</v>
      </c>
      <c r="G68" s="215" t="s">
        <v>68</v>
      </c>
      <c r="H68" s="229">
        <f>C$29/12</f>
        <v>1.225E-3</v>
      </c>
      <c r="I68" s="230">
        <f>(SUM('1.  LRAMVA Summary'!D$54:D$62)+SUM('1.  LRAMVA Summary'!D$63:D$64)*(MONTH($E68)-1)/12)*$H68</f>
        <v>1.3976019714291297</v>
      </c>
      <c r="J68" s="230">
        <f>(SUM('1.  LRAMVA Summary'!E$54:E$62)+SUM('1.  LRAMVA Summary'!E$63:E$64)*(MONTH($E68)-1)/12)*$H68</f>
        <v>3.8801964670591436</v>
      </c>
      <c r="K68" s="230">
        <f>(SUM('1.  LRAMVA Summary'!F$54:F$62)+SUM('1.  LRAMVA Summary'!F$63:F$64)*(MONTH($E68)-1)/12)*$H68</f>
        <v>-9.641029687338179E-2</v>
      </c>
      <c r="L68" s="230">
        <f>(SUM('1.  LRAMVA Summary'!G$54:G$62)+SUM('1.  LRAMVA Summary'!G$63:G$64)*(MONTH($E68)-1)/12)*$H68</f>
        <v>-0.14715615952168115</v>
      </c>
      <c r="M68" s="230">
        <f>(SUM('1.  LRAMVA Summary'!H$54:H$62)+SUM('1.  LRAMVA Summary'!H$63:H$64)*(MONTH($E68)-1)/12)*$H68</f>
        <v>-1.1720048666666667E-3</v>
      </c>
      <c r="N68" s="230">
        <f>(SUM('1.  LRAMVA Summary'!I$54:I$62)+SUM('1.  LRAMVA Summary'!I$63:I$64)*(MONTH($E68)-1)/12)*$H68</f>
        <v>-2.6319607315166667</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2.4010992457098772</v>
      </c>
    </row>
    <row r="69" spans="2:23" s="9" customFormat="1">
      <c r="B69" s="66"/>
      <c r="E69" s="214">
        <v>41913</v>
      </c>
      <c r="F69" s="214" t="s">
        <v>180</v>
      </c>
      <c r="G69" s="215" t="s">
        <v>69</v>
      </c>
      <c r="H69" s="232">
        <f>C$30/12</f>
        <v>1.225E-3</v>
      </c>
      <c r="I69" s="230">
        <f>(SUM('1.  LRAMVA Summary'!D$54:D$62)+SUM('1.  LRAMVA Summary'!D$63:D$64)*(MONTH($E69)-1)/12)*$H69</f>
        <v>1.572302217857771</v>
      </c>
      <c r="J69" s="230">
        <f>(SUM('1.  LRAMVA Summary'!E$54:E$62)+SUM('1.  LRAMVA Summary'!E$63:E$64)*(MONTH($E69)-1)/12)*$H69</f>
        <v>4.3652210254415369</v>
      </c>
      <c r="K69" s="230">
        <f>(SUM('1.  LRAMVA Summary'!F$54:F$62)+SUM('1.  LRAMVA Summary'!F$63:F$64)*(MONTH($E69)-1)/12)*$H69</f>
        <v>-0.10846158398255451</v>
      </c>
      <c r="L69" s="230">
        <f>(SUM('1.  LRAMVA Summary'!G$54:G$62)+SUM('1.  LRAMVA Summary'!G$63:G$64)*(MONTH($E69)-1)/12)*$H69</f>
        <v>-0.16555067946189128</v>
      </c>
      <c r="M69" s="230">
        <f>(SUM('1.  LRAMVA Summary'!H$54:H$62)+SUM('1.  LRAMVA Summary'!H$63:H$64)*(MONTH($E69)-1)/12)*$H69</f>
        <v>-1.3185054749999998E-3</v>
      </c>
      <c r="N69" s="230">
        <f>(SUM('1.  LRAMVA Summary'!I$54:I$62)+SUM('1.  LRAMVA Summary'!I$63:I$64)*(MONTH($E69)-1)/12)*$H69</f>
        <v>-2.9609558229562496</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2.701236651423613</v>
      </c>
    </row>
    <row r="70" spans="2:23" s="9" customFormat="1">
      <c r="B70" s="66"/>
      <c r="E70" s="214">
        <v>41944</v>
      </c>
      <c r="F70" s="214" t="s">
        <v>180</v>
      </c>
      <c r="G70" s="215" t="s">
        <v>69</v>
      </c>
      <c r="H70" s="229">
        <f>C$30/12</f>
        <v>1.225E-3</v>
      </c>
      <c r="I70" s="230">
        <f>(SUM('1.  LRAMVA Summary'!D$54:D$62)+SUM('1.  LRAMVA Summary'!D$63:D$64)*(MONTH($E70)-1)/12)*$H70</f>
        <v>1.7470024642864124</v>
      </c>
      <c r="J70" s="230">
        <f>(SUM('1.  LRAMVA Summary'!E$54:E$62)+SUM('1.  LRAMVA Summary'!E$63:E$64)*(MONTH($E70)-1)/12)*$H70</f>
        <v>4.8502455838239298</v>
      </c>
      <c r="K70" s="230">
        <f>(SUM('1.  LRAMVA Summary'!F$54:F$62)+SUM('1.  LRAMVA Summary'!F$63:F$64)*(MONTH($E70)-1)/12)*$H70</f>
        <v>-0.12051287109172726</v>
      </c>
      <c r="L70" s="230">
        <f>(SUM('1.  LRAMVA Summary'!G$54:G$62)+SUM('1.  LRAMVA Summary'!G$63:G$64)*(MONTH($E70)-1)/12)*$H70</f>
        <v>-0.18394519940210141</v>
      </c>
      <c r="M70" s="230">
        <f>(SUM('1.  LRAMVA Summary'!H$54:H$62)+SUM('1.  LRAMVA Summary'!H$63:H$64)*(MONTH($E70)-1)/12)*$H70</f>
        <v>-1.4650060833333331E-3</v>
      </c>
      <c r="N70" s="230">
        <f>(SUM('1.  LRAMVA Summary'!I$54:I$62)+SUM('1.  LRAMVA Summary'!I$63:I$64)*(MONTH($E70)-1)/12)*$H70</f>
        <v>-3.289950914395833</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3.0013740571373466</v>
      </c>
    </row>
    <row r="71" spans="2:23" s="9" customFormat="1">
      <c r="B71" s="66"/>
      <c r="E71" s="214">
        <v>41974</v>
      </c>
      <c r="F71" s="214" t="s">
        <v>180</v>
      </c>
      <c r="G71" s="215" t="s">
        <v>69</v>
      </c>
      <c r="H71" s="229">
        <f>C$30/12</f>
        <v>1.225E-3</v>
      </c>
      <c r="I71" s="230">
        <f>(SUM('1.  LRAMVA Summary'!D$54:D$62)+SUM('1.  LRAMVA Summary'!D$63:D$64)*(MONTH($E71)-1)/12)*$H71</f>
        <v>1.9217027107150537</v>
      </c>
      <c r="J71" s="230">
        <f>(SUM('1.  LRAMVA Summary'!E$54:E$62)+SUM('1.  LRAMVA Summary'!E$63:E$64)*(MONTH($E71)-1)/12)*$H71</f>
        <v>5.3352701422063227</v>
      </c>
      <c r="K71" s="230">
        <f>(SUM('1.  LRAMVA Summary'!F$54:F$62)+SUM('1.  LRAMVA Summary'!F$63:F$64)*(MONTH($E71)-1)/12)*$H71</f>
        <v>-0.13256415820089998</v>
      </c>
      <c r="L71" s="230">
        <f>(SUM('1.  LRAMVA Summary'!G$54:G$62)+SUM('1.  LRAMVA Summary'!G$63:G$64)*(MONTH($E71)-1)/12)*$H71</f>
        <v>-0.20233971934231157</v>
      </c>
      <c r="M71" s="230">
        <f>(SUM('1.  LRAMVA Summary'!H$54:H$62)+SUM('1.  LRAMVA Summary'!H$63:H$64)*(MONTH($E71)-1)/12)*$H71</f>
        <v>-1.6115066916666666E-3</v>
      </c>
      <c r="N71" s="230">
        <f>(SUM('1.  LRAMVA Summary'!I$54:I$62)+SUM('1.  LRAMVA Summary'!I$63:I$64)*(MONTH($E71)-1)/12)*$H71</f>
        <v>-3.6189460058354164</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3.301511462851082</v>
      </c>
    </row>
    <row r="72" spans="2:23" s="9" customFormat="1" ht="15.75" thickBot="1">
      <c r="B72" s="66"/>
      <c r="E72" s="216" t="s">
        <v>465</v>
      </c>
      <c r="F72" s="216"/>
      <c r="G72" s="217"/>
      <c r="H72" s="218"/>
      <c r="I72" s="219">
        <f>SUM(I59:I71)</f>
        <v>11.530216264290321</v>
      </c>
      <c r="J72" s="219">
        <f t="shared" ref="J72:V72" si="16">SUM(J59:J71)</f>
        <v>32.011620853237936</v>
      </c>
      <c r="K72" s="219">
        <f t="shared" si="16"/>
        <v>-0.79538494920539971</v>
      </c>
      <c r="L72" s="219">
        <f t="shared" si="16"/>
        <v>-1.2140383160538695</v>
      </c>
      <c r="M72" s="219">
        <f t="shared" si="16"/>
        <v>-9.6690401500000005E-3</v>
      </c>
      <c r="N72" s="219">
        <f t="shared" si="16"/>
        <v>-21.713676035012494</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19.809068777106489</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429</v>
      </c>
      <c r="F74" s="225"/>
      <c r="G74" s="226"/>
      <c r="H74" s="227"/>
      <c r="I74" s="228">
        <f t="shared" ref="I74:O74" si="17">I72+I73</f>
        <v>11.530216264290321</v>
      </c>
      <c r="J74" s="228">
        <f t="shared" si="17"/>
        <v>32.011620853237936</v>
      </c>
      <c r="K74" s="228">
        <f t="shared" si="17"/>
        <v>-0.79538494920539971</v>
      </c>
      <c r="L74" s="228">
        <f t="shared" si="17"/>
        <v>-1.2140383160538695</v>
      </c>
      <c r="M74" s="228">
        <f t="shared" si="17"/>
        <v>-9.6690401500000005E-3</v>
      </c>
      <c r="N74" s="228">
        <f t="shared" si="17"/>
        <v>-21.713676035012494</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19.809068777106489</v>
      </c>
    </row>
    <row r="75" spans="2:23" s="9" customFormat="1">
      <c r="B75" s="66"/>
      <c r="E75" s="214">
        <v>42005</v>
      </c>
      <c r="F75" s="214" t="s">
        <v>181</v>
      </c>
      <c r="G75" s="215" t="s">
        <v>65</v>
      </c>
      <c r="H75" s="229">
        <f>C$31/12</f>
        <v>1.225E-3</v>
      </c>
      <c r="I75" s="230">
        <f>(SUM('1.  LRAMVA Summary'!D$54:D$65)+SUM('1.  LRAMVA Summary'!D$66:D$67)*(MONTH($E75)-1)/12)*$H75</f>
        <v>2.0964029571436948</v>
      </c>
      <c r="J75" s="230">
        <f>(SUM('1.  LRAMVA Summary'!E$54:E$65)+SUM('1.  LRAMVA Summary'!E$66:E$67)*(MONTH($E75)-1)/12)*$H75</f>
        <v>5.8202947005887156</v>
      </c>
      <c r="K75" s="230">
        <f>(SUM('1.  LRAMVA Summary'!F$54:F$65)+SUM('1.  LRAMVA Summary'!F$66:F$67)*(MONTH($E75)-1)/12)*$H75</f>
        <v>-0.1446154453100727</v>
      </c>
      <c r="L75" s="230">
        <f>(SUM('1.  LRAMVA Summary'!G$54:G$65)+SUM('1.  LRAMVA Summary'!G$66:G$67)*(MONTH($E75)-1)/12)*$H75</f>
        <v>-0.2207342392825217</v>
      </c>
      <c r="M75" s="230">
        <f>(SUM('1.  LRAMVA Summary'!H$54:H$65)+SUM('1.  LRAMVA Summary'!H$66:H$67)*(MONTH($E75)-1)/12)*$H75</f>
        <v>-1.7580072999999999E-3</v>
      </c>
      <c r="N75" s="230">
        <f>(SUM('1.  LRAMVA Summary'!I$54:I$65)+SUM('1.  LRAMVA Summary'!I$66:I$67)*(MONTH($E75)-1)/12)*$H75</f>
        <v>-3.9479410972749993</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3.601648868564816</v>
      </c>
    </row>
    <row r="76" spans="2:23" s="238" customFormat="1">
      <c r="B76" s="237"/>
      <c r="E76" s="214">
        <v>42036</v>
      </c>
      <c r="F76" s="214" t="s">
        <v>181</v>
      </c>
      <c r="G76" s="215" t="s">
        <v>65</v>
      </c>
      <c r="H76" s="229">
        <f t="shared" ref="H76:H77" si="19">C$31/12</f>
        <v>1.225E-3</v>
      </c>
      <c r="I76" s="230">
        <f>(SUM('1.  LRAMVA Summary'!D$54:D$65)+SUM('1.  LRAMVA Summary'!D$66:D$67)*(MONTH($E76)-1)/12)*$H76</f>
        <v>2.8258833073737017</v>
      </c>
      <c r="J76" s="230">
        <f>(SUM('1.  LRAMVA Summary'!E$54:E$65)+SUM('1.  LRAMVA Summary'!E$66:E$67)*(MONTH($E76)-1)/12)*$H76</f>
        <v>6.3474063347969922</v>
      </c>
      <c r="K76" s="230">
        <f>(SUM('1.  LRAMVA Summary'!F$54:F$65)+SUM('1.  LRAMVA Summary'!F$66:F$67)*(MONTH($E76)-1)/12)*$H76</f>
        <v>-9.5772999134874609E-2</v>
      </c>
      <c r="L76" s="230">
        <f>(SUM('1.  LRAMVA Summary'!G$54:G$65)+SUM('1.  LRAMVA Summary'!G$66:G$67)*(MONTH($E76)-1)/12)*$H76</f>
        <v>-0.22573175528604555</v>
      </c>
      <c r="M76" s="230">
        <f>(SUM('1.  LRAMVA Summary'!H$54:H$65)+SUM('1.  LRAMVA Summary'!H$66:H$67)*(MONTH($E76)-1)/12)*$H76</f>
        <v>-2.0575592041666667E-3</v>
      </c>
      <c r="N76" s="230">
        <f>(SUM('1.  LRAMVA Summary'!I$54:I$65)+SUM('1.  LRAMVA Summary'!I$66:I$67)*(MONTH($E76)-1)/12)*$H76</f>
        <v>-4.1884914061969996</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4.6612359223486086</v>
      </c>
    </row>
    <row r="77" spans="2:23" s="9" customFormat="1">
      <c r="B77" s="66"/>
      <c r="E77" s="214">
        <v>42064</v>
      </c>
      <c r="F77" s="214" t="s">
        <v>181</v>
      </c>
      <c r="G77" s="215" t="s">
        <v>65</v>
      </c>
      <c r="H77" s="229">
        <f t="shared" si="19"/>
        <v>1.225E-3</v>
      </c>
      <c r="I77" s="230">
        <f>(SUM('1.  LRAMVA Summary'!D$54:D$65)+SUM('1.  LRAMVA Summary'!D$66:D$67)*(MONTH($E77)-1)/12)*$H77</f>
        <v>3.5553636576037086</v>
      </c>
      <c r="J77" s="230">
        <f>(SUM('1.  LRAMVA Summary'!E$54:E$65)+SUM('1.  LRAMVA Summary'!E$66:E$67)*(MONTH($E77)-1)/12)*$H77</f>
        <v>6.874517969005268</v>
      </c>
      <c r="K77" s="230">
        <f>(SUM('1.  LRAMVA Summary'!F$54:F$65)+SUM('1.  LRAMVA Summary'!F$66:F$67)*(MONTH($E77)-1)/12)*$H77</f>
        <v>-4.693055295967654E-2</v>
      </c>
      <c r="L77" s="230">
        <f>(SUM('1.  LRAMVA Summary'!G$54:G$65)+SUM('1.  LRAMVA Summary'!G$66:G$67)*(MONTH($E77)-1)/12)*$H77</f>
        <v>-0.23072927128956944</v>
      </c>
      <c r="M77" s="230">
        <f>(SUM('1.  LRAMVA Summary'!H$54:H$65)+SUM('1.  LRAMVA Summary'!H$66:H$67)*(MONTH($E77)-1)/12)*$H77</f>
        <v>-2.3571111083333335E-3</v>
      </c>
      <c r="N77" s="230">
        <f>(SUM('1.  LRAMVA Summary'!I$54:I$65)+SUM('1.  LRAMVA Summary'!I$66:I$67)*(MONTH($E77)-1)/12)*$H77</f>
        <v>-4.4290417151189994</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5.720822976132399</v>
      </c>
    </row>
    <row r="78" spans="2:23" s="9" customFormat="1">
      <c r="B78" s="66"/>
      <c r="E78" s="214">
        <v>42095</v>
      </c>
      <c r="F78" s="214" t="s">
        <v>181</v>
      </c>
      <c r="G78" s="215" t="s">
        <v>66</v>
      </c>
      <c r="H78" s="229">
        <f>C$32/12</f>
        <v>9.1666666666666665E-4</v>
      </c>
      <c r="I78" s="230">
        <f>(SUM('1.  LRAMVA Summary'!D$54:D$65)+SUM('1.  LRAMVA Summary'!D$66:D$67)*(MONTH($E78)-1)/12)*$H78</f>
        <v>3.2063458562021001</v>
      </c>
      <c r="J78" s="230">
        <f>(SUM('1.  LRAMVA Summary'!E$54:E$65)+SUM('1.  LRAMVA Summary'!E$66:E$67)*(MONTH($E78)-1)/12)*$H78</f>
        <v>5.5386343969625162</v>
      </c>
      <c r="K78" s="230">
        <f>(SUM('1.  LRAMVA Summary'!F$54:F$65)+SUM('1.  LRAMVA Summary'!F$66:F$67)*(MONTH($E78)-1)/12)*$H78</f>
        <v>1.4306683925671326E-3</v>
      </c>
      <c r="L78" s="230">
        <f>(SUM('1.  LRAMVA Summary'!G$54:G$65)+SUM('1.  LRAMVA Summary'!G$66:G$67)*(MONTH($E78)-1)/12)*$H78</f>
        <v>-0.17639419457306302</v>
      </c>
      <c r="M78" s="230">
        <f>(SUM('1.  LRAMVA Summary'!H$54:H$65)+SUM('1.  LRAMVA Summary'!H$66:H$67)*(MONTH($E78)-1)/12)*$H78</f>
        <v>-1.9879791249999999E-3</v>
      </c>
      <c r="N78" s="230">
        <f>(SUM('1.  LRAMVA Summary'!I$54:I$65)+SUM('1.  LRAMVA Summary'!I$66:I$67)*(MONTH($E78)-1)/12)*$H78</f>
        <v>-3.494252534996666</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5.0737762128624544</v>
      </c>
    </row>
    <row r="79" spans="2:23" s="9" customFormat="1">
      <c r="B79" s="66"/>
      <c r="E79" s="214">
        <v>42125</v>
      </c>
      <c r="F79" s="214" t="s">
        <v>181</v>
      </c>
      <c r="G79" s="215" t="s">
        <v>66</v>
      </c>
      <c r="H79" s="229">
        <f t="shared" ref="H79:H80" si="21">C$32/12</f>
        <v>9.1666666666666665E-4</v>
      </c>
      <c r="I79" s="230">
        <f>(SUM('1.  LRAMVA Summary'!D$54:D$65)+SUM('1.  LRAMVA Summary'!D$66:D$67)*(MONTH($E79)-1)/12)*$H79</f>
        <v>3.7522155060340787</v>
      </c>
      <c r="J79" s="230">
        <f>(SUM('1.  LRAMVA Summary'!E$54:E$65)+SUM('1.  LRAMVA Summary'!E$66:E$67)*(MONTH($E79)-1)/12)*$H79</f>
        <v>5.9330716742612255</v>
      </c>
      <c r="K79" s="230">
        <f>(SUM('1.  LRAMVA Summary'!F$54:F$65)+SUM('1.  LRAMVA Summary'!F$66:F$67)*(MONTH($E79)-1)/12)*$H79</f>
        <v>3.7979437639314002E-2</v>
      </c>
      <c r="L79" s="230">
        <f>(SUM('1.  LRAMVA Summary'!G$54:G$65)+SUM('1.  LRAMVA Summary'!G$66:G$67)*(MONTH($E79)-1)/12)*$H79</f>
        <v>-0.18013383239882916</v>
      </c>
      <c r="M79" s="230">
        <f>(SUM('1.  LRAMVA Summary'!H$54:H$65)+SUM('1.  LRAMVA Summary'!H$66:H$67)*(MONTH($E79)-1)/12)*$H79</f>
        <v>-2.2121336111111112E-3</v>
      </c>
      <c r="N79" s="230">
        <f>(SUM('1.  LRAMVA Summary'!I$54:I$65)+SUM('1.  LRAMVA Summary'!I$66:I$67)*(MONTH($E79)-1)/12)*$H79</f>
        <v>-3.6742561675233332</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5.866664484401344</v>
      </c>
    </row>
    <row r="80" spans="2:23" s="9" customFormat="1">
      <c r="B80" s="66"/>
      <c r="E80" s="214">
        <v>42156</v>
      </c>
      <c r="F80" s="214" t="s">
        <v>181</v>
      </c>
      <c r="G80" s="215" t="s">
        <v>66</v>
      </c>
      <c r="H80" s="229">
        <f t="shared" si="21"/>
        <v>9.1666666666666665E-4</v>
      </c>
      <c r="I80" s="230">
        <f>(SUM('1.  LRAMVA Summary'!D$54:D$65)+SUM('1.  LRAMVA Summary'!D$66:D$67)*(MONTH($E80)-1)/12)*$H80</f>
        <v>4.2980851558660573</v>
      </c>
      <c r="J80" s="230">
        <f>(SUM('1.  LRAMVA Summary'!E$54:E$65)+SUM('1.  LRAMVA Summary'!E$66:E$67)*(MONTH($E80)-1)/12)*$H80</f>
        <v>6.3275089515599356</v>
      </c>
      <c r="K80" s="230">
        <f>(SUM('1.  LRAMVA Summary'!F$54:F$65)+SUM('1.  LRAMVA Summary'!F$66:F$67)*(MONTH($E80)-1)/12)*$H80</f>
        <v>7.4528206886060877E-2</v>
      </c>
      <c r="L80" s="230">
        <f>(SUM('1.  LRAMVA Summary'!G$54:G$65)+SUM('1.  LRAMVA Summary'!G$66:G$67)*(MONTH($E80)-1)/12)*$H80</f>
        <v>-0.1838734702245953</v>
      </c>
      <c r="M80" s="230">
        <f>(SUM('1.  LRAMVA Summary'!H$54:H$65)+SUM('1.  LRAMVA Summary'!H$66:H$67)*(MONTH($E80)-1)/12)*$H80</f>
        <v>-2.4362880972222225E-3</v>
      </c>
      <c r="N80" s="230">
        <f>(SUM('1.  LRAMVA Summary'!I$54:I$65)+SUM('1.  LRAMVA Summary'!I$66:I$67)*(MONTH($E80)-1)/12)*$H80</f>
        <v>-3.8542598000499999</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6.6595527559402363</v>
      </c>
    </row>
    <row r="81" spans="2:23" s="9" customFormat="1">
      <c r="B81" s="66"/>
      <c r="E81" s="214">
        <v>42186</v>
      </c>
      <c r="F81" s="214" t="s">
        <v>181</v>
      </c>
      <c r="G81" s="215" t="s">
        <v>68</v>
      </c>
      <c r="H81" s="229">
        <f>C$33/12</f>
        <v>9.1666666666666665E-4</v>
      </c>
      <c r="I81" s="230">
        <f>(SUM('1.  LRAMVA Summary'!D$54:D$65)+SUM('1.  LRAMVA Summary'!D$66:D$67)*(MONTH($E81)-1)/12)*$H81</f>
        <v>4.8439548056980337</v>
      </c>
      <c r="J81" s="230">
        <f>(SUM('1.  LRAMVA Summary'!E$54:E$65)+SUM('1.  LRAMVA Summary'!E$66:E$67)*(MONTH($E81)-1)/12)*$H81</f>
        <v>6.7219462288586449</v>
      </c>
      <c r="K81" s="230">
        <f>(SUM('1.  LRAMVA Summary'!F$54:F$65)+SUM('1.  LRAMVA Summary'!F$66:F$67)*(MONTH($E81)-1)/12)*$H81</f>
        <v>0.11107697613280772</v>
      </c>
      <c r="L81" s="230">
        <f>(SUM('1.  LRAMVA Summary'!G$54:G$65)+SUM('1.  LRAMVA Summary'!G$66:G$67)*(MONTH($E81)-1)/12)*$H81</f>
        <v>-0.18761310805036147</v>
      </c>
      <c r="M81" s="230">
        <f>(SUM('1.  LRAMVA Summary'!H$54:H$65)+SUM('1.  LRAMVA Summary'!H$66:H$67)*(MONTH($E81)-1)/12)*$H81</f>
        <v>-2.6604425833333337E-3</v>
      </c>
      <c r="N81" s="230">
        <f>(SUM('1.  LRAMVA Summary'!I$54:I$65)+SUM('1.  LRAMVA Summary'!I$66:I$67)*(MONTH($E81)-1)/12)*$H81</f>
        <v>-4.0342634325766662</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7.4524410274791224</v>
      </c>
    </row>
    <row r="82" spans="2:23" s="9" customFormat="1">
      <c r="B82" s="66"/>
      <c r="E82" s="214">
        <v>42217</v>
      </c>
      <c r="F82" s="214" t="s">
        <v>181</v>
      </c>
      <c r="G82" s="215" t="s">
        <v>68</v>
      </c>
      <c r="H82" s="229">
        <f t="shared" ref="H82:H83" si="22">C$33/12</f>
        <v>9.1666666666666665E-4</v>
      </c>
      <c r="I82" s="230">
        <f>(SUM('1.  LRAMVA Summary'!D$54:D$65)+SUM('1.  LRAMVA Summary'!D$66:D$67)*(MONTH($E82)-1)/12)*$H82</f>
        <v>5.3898244555300128</v>
      </c>
      <c r="J82" s="230">
        <f>(SUM('1.  LRAMVA Summary'!E$54:E$65)+SUM('1.  LRAMVA Summary'!E$66:E$67)*(MONTH($E82)-1)/12)*$H82</f>
        <v>7.1163835061573559</v>
      </c>
      <c r="K82" s="230">
        <f>(SUM('1.  LRAMVA Summary'!F$54:F$65)+SUM('1.  LRAMVA Summary'!F$66:F$67)*(MONTH($E82)-1)/12)*$H82</f>
        <v>0.14762574537955456</v>
      </c>
      <c r="L82" s="230">
        <f>(SUM('1.  LRAMVA Summary'!G$54:G$65)+SUM('1.  LRAMVA Summary'!G$66:G$67)*(MONTH($E82)-1)/12)*$H82</f>
        <v>-0.19135274587612763</v>
      </c>
      <c r="M82" s="230">
        <f>(SUM('1.  LRAMVA Summary'!H$54:H$65)+SUM('1.  LRAMVA Summary'!H$66:H$67)*(MONTH($E82)-1)/12)*$H82</f>
        <v>-2.884597069444445E-3</v>
      </c>
      <c r="N82" s="230">
        <f>(SUM('1.  LRAMVA Summary'!I$54:I$65)+SUM('1.  LRAMVA Summary'!I$66:I$67)*(MONTH($E82)-1)/12)*$H82</f>
        <v>-4.2142670651033329</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8.2453292990180209</v>
      </c>
    </row>
    <row r="83" spans="2:23" s="9" customFormat="1">
      <c r="B83" s="66"/>
      <c r="E83" s="214">
        <v>42248</v>
      </c>
      <c r="F83" s="214" t="s">
        <v>181</v>
      </c>
      <c r="G83" s="215" t="s">
        <v>68</v>
      </c>
      <c r="H83" s="229">
        <f t="shared" si="22"/>
        <v>9.1666666666666665E-4</v>
      </c>
      <c r="I83" s="230">
        <f>(SUM('1.  LRAMVA Summary'!D$54:D$65)+SUM('1.  LRAMVA Summary'!D$66:D$67)*(MONTH($E83)-1)/12)*$H83</f>
        <v>5.9356941053619909</v>
      </c>
      <c r="J83" s="230">
        <f>(SUM('1.  LRAMVA Summary'!E$54:E$65)+SUM('1.  LRAMVA Summary'!E$66:E$67)*(MONTH($E83)-1)/12)*$H83</f>
        <v>7.5108207834560652</v>
      </c>
      <c r="K83" s="230">
        <f>(SUM('1.  LRAMVA Summary'!F$54:F$65)+SUM('1.  LRAMVA Summary'!F$66:F$67)*(MONTH($E83)-1)/12)*$H83</f>
        <v>0.18417451462630144</v>
      </c>
      <c r="L83" s="230">
        <f>(SUM('1.  LRAMVA Summary'!G$54:G$65)+SUM('1.  LRAMVA Summary'!G$66:G$67)*(MONTH($E83)-1)/12)*$H83</f>
        <v>-0.19509238370189377</v>
      </c>
      <c r="M83" s="230">
        <f>(SUM('1.  LRAMVA Summary'!H$54:H$65)+SUM('1.  LRAMVA Summary'!H$66:H$67)*(MONTH($E83)-1)/12)*$H83</f>
        <v>-3.1087515555555559E-3</v>
      </c>
      <c r="N83" s="230">
        <f>(SUM('1.  LRAMVA Summary'!I$54:I$65)+SUM('1.  LRAMVA Summary'!I$66:I$67)*(MONTH($E83)-1)/12)*$H83</f>
        <v>-4.3942706976299997</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9.0382175705569097</v>
      </c>
    </row>
    <row r="84" spans="2:23" s="9" customFormat="1">
      <c r="B84" s="66"/>
      <c r="E84" s="214">
        <v>42278</v>
      </c>
      <c r="F84" s="214" t="s">
        <v>181</v>
      </c>
      <c r="G84" s="215" t="s">
        <v>69</v>
      </c>
      <c r="H84" s="229">
        <f>C$34/12</f>
        <v>9.1666666666666665E-4</v>
      </c>
      <c r="I84" s="230">
        <f>(SUM('1.  LRAMVA Summary'!D$54:D$65)+SUM('1.  LRAMVA Summary'!D$66:D$67)*(MONTH($E84)-1)/12)*$H84</f>
        <v>6.48156375519397</v>
      </c>
      <c r="J84" s="230">
        <f>(SUM('1.  LRAMVA Summary'!E$54:E$65)+SUM('1.  LRAMVA Summary'!E$66:E$67)*(MONTH($E84)-1)/12)*$H84</f>
        <v>7.9052580607547753</v>
      </c>
      <c r="K84" s="230">
        <f>(SUM('1.  LRAMVA Summary'!F$54:F$65)+SUM('1.  LRAMVA Summary'!F$66:F$67)*(MONTH($E84)-1)/12)*$H84</f>
        <v>0.22072328387304829</v>
      </c>
      <c r="L84" s="230">
        <f>(SUM('1.  LRAMVA Summary'!G$54:G$65)+SUM('1.  LRAMVA Summary'!G$66:G$67)*(MONTH($E84)-1)/12)*$H84</f>
        <v>-0.19883202152765991</v>
      </c>
      <c r="M84" s="230">
        <f>(SUM('1.  LRAMVA Summary'!H$54:H$65)+SUM('1.  LRAMVA Summary'!H$66:H$67)*(MONTH($E84)-1)/12)*$H84</f>
        <v>-3.3329060416666671E-3</v>
      </c>
      <c r="N84" s="230">
        <f>(SUM('1.  LRAMVA Summary'!I$54:I$65)+SUM('1.  LRAMVA Summary'!I$66:I$67)*(MONTH($E84)-1)/12)*$H84</f>
        <v>-4.5742743301566655</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9.8311058420958037</v>
      </c>
    </row>
    <row r="85" spans="2:23" s="9" customFormat="1">
      <c r="B85" s="66"/>
      <c r="E85" s="214">
        <v>42309</v>
      </c>
      <c r="F85" s="214" t="s">
        <v>181</v>
      </c>
      <c r="G85" s="215" t="s">
        <v>69</v>
      </c>
      <c r="H85" s="229">
        <f t="shared" ref="H85:H86" si="23">C$34/12</f>
        <v>9.1666666666666665E-4</v>
      </c>
      <c r="I85" s="230">
        <f>(SUM('1.  LRAMVA Summary'!D$54:D$65)+SUM('1.  LRAMVA Summary'!D$66:D$67)*(MONTH($E85)-1)/12)*$H85</f>
        <v>7.0274334050259473</v>
      </c>
      <c r="J85" s="230">
        <f>(SUM('1.  LRAMVA Summary'!E$54:E$65)+SUM('1.  LRAMVA Summary'!E$66:E$67)*(MONTH($E85)-1)/12)*$H85</f>
        <v>8.2996953380534855</v>
      </c>
      <c r="K85" s="230">
        <f>(SUM('1.  LRAMVA Summary'!F$54:F$65)+SUM('1.  LRAMVA Summary'!F$66:F$67)*(MONTH($E85)-1)/12)*$H85</f>
        <v>0.25727205311979517</v>
      </c>
      <c r="L85" s="230">
        <f>(SUM('1.  LRAMVA Summary'!G$54:G$65)+SUM('1.  LRAMVA Summary'!G$66:G$67)*(MONTH($E85)-1)/12)*$H85</f>
        <v>-0.20257165935342608</v>
      </c>
      <c r="M85" s="230">
        <f>(SUM('1.  LRAMVA Summary'!H$54:H$65)+SUM('1.  LRAMVA Summary'!H$66:H$67)*(MONTH($E85)-1)/12)*$H85</f>
        <v>-3.557060527777778E-3</v>
      </c>
      <c r="N85" s="230">
        <f>(SUM('1.  LRAMVA Summary'!I$54:I$65)+SUM('1.  LRAMVA Summary'!I$66:I$67)*(MONTH($E85)-1)/12)*$H85</f>
        <v>-4.7542779626833322</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10.623994113634692</v>
      </c>
    </row>
    <row r="86" spans="2:23" s="9" customFormat="1">
      <c r="B86" s="66"/>
      <c r="E86" s="214">
        <v>42339</v>
      </c>
      <c r="F86" s="214" t="s">
        <v>181</v>
      </c>
      <c r="G86" s="215" t="s">
        <v>69</v>
      </c>
      <c r="H86" s="229">
        <f t="shared" si="23"/>
        <v>9.1666666666666665E-4</v>
      </c>
      <c r="I86" s="230">
        <f>(SUM('1.  LRAMVA Summary'!D$54:D$65)+SUM('1.  LRAMVA Summary'!D$66:D$67)*(MONTH($E86)-1)/12)*$H86</f>
        <v>7.5733030548579263</v>
      </c>
      <c r="J86" s="230">
        <f>(SUM('1.  LRAMVA Summary'!E$54:E$65)+SUM('1.  LRAMVA Summary'!E$66:E$67)*(MONTH($E86)-1)/12)*$H86</f>
        <v>8.6941326153521938</v>
      </c>
      <c r="K86" s="230">
        <f>(SUM('1.  LRAMVA Summary'!F$54:F$65)+SUM('1.  LRAMVA Summary'!F$66:F$67)*(MONTH($E86)-1)/12)*$H86</f>
        <v>0.293820822366542</v>
      </c>
      <c r="L86" s="230">
        <f>(SUM('1.  LRAMVA Summary'!G$54:G$65)+SUM('1.  LRAMVA Summary'!G$66:G$67)*(MONTH($E86)-1)/12)*$H86</f>
        <v>-0.20631129717919225</v>
      </c>
      <c r="M86" s="230">
        <f>(SUM('1.  LRAMVA Summary'!H$54:H$65)+SUM('1.  LRAMVA Summary'!H$66:H$67)*(MONTH($E86)-1)/12)*$H86</f>
        <v>-3.7812150138888893E-3</v>
      </c>
      <c r="N86" s="230">
        <f>(SUM('1.  LRAMVA Summary'!I$54:I$65)+SUM('1.  LRAMVA Summary'!I$66:I$67)*(MONTH($E86)-1)/12)*$H86</f>
        <v>-4.9342815952099999</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11.416882385173583</v>
      </c>
    </row>
    <row r="87" spans="2:23" s="9" customFormat="1" ht="15.75" thickBot="1">
      <c r="B87" s="66"/>
      <c r="E87" s="216" t="s">
        <v>466</v>
      </c>
      <c r="F87" s="216"/>
      <c r="G87" s="217"/>
      <c r="H87" s="218"/>
      <c r="I87" s="219">
        <f>SUM(I74:I86)</f>
        <v>68.51628628618154</v>
      </c>
      <c r="J87" s="219">
        <f>SUM(J74:J86)</f>
        <v>115.10129141304512</v>
      </c>
      <c r="K87" s="219">
        <f t="shared" ref="K87:O87" si="24">SUM(K74:K86)</f>
        <v>0.24592776180596759</v>
      </c>
      <c r="L87" s="219">
        <f t="shared" si="24"/>
        <v>-3.6134082947971549</v>
      </c>
      <c r="M87" s="219">
        <f t="shared" si="24"/>
        <v>-4.1803091387500005E-2</v>
      </c>
      <c r="N87" s="219">
        <f t="shared" si="24"/>
        <v>-72.207553839533489</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108.0007402353145</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430</v>
      </c>
      <c r="F89" s="225"/>
      <c r="G89" s="226"/>
      <c r="H89" s="227"/>
      <c r="I89" s="228">
        <f>I87+I88</f>
        <v>68.51628628618154</v>
      </c>
      <c r="J89" s="228">
        <f t="shared" ref="J89" si="26">J87+J88</f>
        <v>115.10129141304512</v>
      </c>
      <c r="K89" s="228">
        <f t="shared" ref="K89" si="27">K87+K88</f>
        <v>0.24592776180596759</v>
      </c>
      <c r="L89" s="228">
        <f t="shared" ref="L89" si="28">L87+L88</f>
        <v>-3.6134082947971549</v>
      </c>
      <c r="M89" s="228">
        <f t="shared" ref="M89" si="29">M87+M88</f>
        <v>-4.1803091387500005E-2</v>
      </c>
      <c r="N89" s="228">
        <f t="shared" ref="N89" si="30">N87+N88</f>
        <v>-72.207553839533489</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108.0007402353145</v>
      </c>
    </row>
    <row r="90" spans="2:23" s="9" customFormat="1">
      <c r="B90" s="66"/>
      <c r="E90" s="214">
        <v>42370</v>
      </c>
      <c r="F90" s="214" t="s">
        <v>183</v>
      </c>
      <c r="G90" s="215" t="s">
        <v>65</v>
      </c>
      <c r="H90" s="229">
        <f>$C$35/12</f>
        <v>9.1666666666666665E-4</v>
      </c>
      <c r="I90" s="230">
        <f>(SUM('1.  LRAMVA Summary'!D$54:D$68)+SUM('1.  LRAMVA Summary'!D$69:D$70)*(MONTH($E90)-1)/12)*$H90</f>
        <v>8.1191727046899036</v>
      </c>
      <c r="J90" s="230">
        <f>(SUM('1.  LRAMVA Summary'!E$54:E$68)+SUM('1.  LRAMVA Summary'!E$69:E$70)*(MONTH($E90)-1)/12)*$H90</f>
        <v>9.088569892650904</v>
      </c>
      <c r="K90" s="230">
        <f>(SUM('1.  LRAMVA Summary'!F$54:F$68)+SUM('1.  LRAMVA Summary'!F$69:F$70)*(MONTH($E90)-1)/12)*$H90</f>
        <v>0.33036959161328899</v>
      </c>
      <c r="L90" s="230">
        <f>(SUM('1.  LRAMVA Summary'!G$54:G$68)+SUM('1.  LRAMVA Summary'!G$69:G$70)*(MONTH($E90)-1)/12)*$H90</f>
        <v>-0.21005093500495839</v>
      </c>
      <c r="M90" s="230">
        <f>(SUM('1.  LRAMVA Summary'!H$54:H$68)+SUM('1.  LRAMVA Summary'!H$69:H$70)*(MONTH($E90)-1)/12)*$H90</f>
        <v>-4.0053695000000005E-3</v>
      </c>
      <c r="N90" s="230">
        <f>(SUM('1.  LRAMVA Summary'!I$54:I$68)+SUM('1.  LRAMVA Summary'!I$69:I$70)*(MONTH($E90)-1)/12)*$H90</f>
        <v>-5.1142852277366657</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12.209770656712472</v>
      </c>
    </row>
    <row r="91" spans="2:23" s="9" customFormat="1">
      <c r="B91" s="66"/>
      <c r="E91" s="214">
        <v>42401</v>
      </c>
      <c r="F91" s="214" t="s">
        <v>183</v>
      </c>
      <c r="G91" s="215" t="s">
        <v>65</v>
      </c>
      <c r="H91" s="229">
        <f t="shared" ref="H91:H92" si="34">$C$35/12</f>
        <v>9.1666666666666665E-4</v>
      </c>
      <c r="I91" s="230">
        <f>(SUM('1.  LRAMVA Summary'!D$54:D$68)+SUM('1.  LRAMVA Summary'!D$69:D$70)*(MONTH($E91)-1)/12)*$H91</f>
        <v>8.985887506843504</v>
      </c>
      <c r="J91" s="230">
        <f>(SUM('1.  LRAMVA Summary'!E$54:E$68)+SUM('1.  LRAMVA Summary'!E$69:E$70)*(MONTH($E91)-1)/12)*$H91</f>
        <v>9.5956831902445039</v>
      </c>
      <c r="K91" s="230">
        <f>(SUM('1.  LRAMVA Summary'!F$54:F$68)+SUM('1.  LRAMVA Summary'!F$69:F$70)*(MONTH($E91)-1)/12)*$H91</f>
        <v>0.40485170157914568</v>
      </c>
      <c r="L91" s="230">
        <f>(SUM('1.  LRAMVA Summary'!G$54:G$68)+SUM('1.  LRAMVA Summary'!G$69:G$70)*(MONTH($E91)-1)/12)*$H91</f>
        <v>-3.0191414096459972E-2</v>
      </c>
      <c r="M91" s="230">
        <f>(SUM('1.  LRAMVA Summary'!H$54:H$68)+SUM('1.  LRAMVA Summary'!H$69:H$70)*(MONTH($E91)-1)/12)*$H91</f>
        <v>-4.2867863194444447E-3</v>
      </c>
      <c r="N91" s="230">
        <f>(SUM('1.  LRAMVA Summary'!I$54:I$68)+SUM('1.  LRAMVA Summary'!I$69:I$70)*(MONTH($E91)-1)/12)*$H91</f>
        <v>-5.2999861082911108</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13.651958089960136</v>
      </c>
    </row>
    <row r="92" spans="2:23" s="9" customFormat="1" ht="14.25" customHeight="1">
      <c r="B92" s="66"/>
      <c r="E92" s="214">
        <v>42430</v>
      </c>
      <c r="F92" s="214" t="s">
        <v>183</v>
      </c>
      <c r="G92" s="215" t="s">
        <v>65</v>
      </c>
      <c r="H92" s="229">
        <f t="shared" si="34"/>
        <v>9.1666666666666665E-4</v>
      </c>
      <c r="I92" s="230">
        <f>(SUM('1.  LRAMVA Summary'!D$54:D$68)+SUM('1.  LRAMVA Summary'!D$69:D$70)*(MONTH($E92)-1)/12)*$H92</f>
        <v>9.8526023089971062</v>
      </c>
      <c r="J92" s="230">
        <f>(SUM('1.  LRAMVA Summary'!E$54:E$68)+SUM('1.  LRAMVA Summary'!E$69:E$70)*(MONTH($E92)-1)/12)*$H92</f>
        <v>10.102796487838102</v>
      </c>
      <c r="K92" s="230">
        <f>(SUM('1.  LRAMVA Summary'!F$54:F$68)+SUM('1.  LRAMVA Summary'!F$69:F$70)*(MONTH($E92)-1)/12)*$H92</f>
        <v>0.47933381154500243</v>
      </c>
      <c r="L92" s="230">
        <f>(SUM('1.  LRAMVA Summary'!G$54:G$68)+SUM('1.  LRAMVA Summary'!G$69:G$70)*(MONTH($E92)-1)/12)*$H92</f>
        <v>0.14966810681203843</v>
      </c>
      <c r="M92" s="230">
        <f>(SUM('1.  LRAMVA Summary'!H$54:H$68)+SUM('1.  LRAMVA Summary'!H$69:H$70)*(MONTH($E92)-1)/12)*$H92</f>
        <v>-4.568203138888889E-3</v>
      </c>
      <c r="N92" s="230">
        <f>(SUM('1.  LRAMVA Summary'!I$54:I$68)+SUM('1.  LRAMVA Summary'!I$69:I$70)*(MONTH($E92)-1)/12)*$H92</f>
        <v>-5.4856869888455551</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15.094145523207807</v>
      </c>
    </row>
    <row r="93" spans="2:23" s="8" customFormat="1">
      <c r="B93" s="239"/>
      <c r="D93" s="9"/>
      <c r="E93" s="214">
        <v>42461</v>
      </c>
      <c r="F93" s="214" t="s">
        <v>183</v>
      </c>
      <c r="G93" s="215" t="s">
        <v>66</v>
      </c>
      <c r="H93" s="229">
        <f>$C$36/12</f>
        <v>9.1666666666666665E-4</v>
      </c>
      <c r="I93" s="230">
        <f>(SUM('1.  LRAMVA Summary'!D$54:D$68)+SUM('1.  LRAMVA Summary'!D$69:D$70)*(MONTH($E93)-1)/12)*$H93</f>
        <v>10.719317111150707</v>
      </c>
      <c r="J93" s="230">
        <f>(SUM('1.  LRAMVA Summary'!E$54:E$68)+SUM('1.  LRAMVA Summary'!E$69:E$70)*(MONTH($E93)-1)/12)*$H93</f>
        <v>10.609909785431702</v>
      </c>
      <c r="K93" s="230">
        <f>(SUM('1.  LRAMVA Summary'!F$54:F$68)+SUM('1.  LRAMVA Summary'!F$69:F$70)*(MONTH($E93)-1)/12)*$H93</f>
        <v>0.55381592151085912</v>
      </c>
      <c r="L93" s="230">
        <f>(SUM('1.  LRAMVA Summary'!G$54:G$68)+SUM('1.  LRAMVA Summary'!G$69:G$70)*(MONTH($E93)-1)/12)*$H93</f>
        <v>0.3295276277205369</v>
      </c>
      <c r="M93" s="230">
        <f>(SUM('1.  LRAMVA Summary'!H$54:H$68)+SUM('1.  LRAMVA Summary'!H$69:H$70)*(MONTH($E93)-1)/12)*$H93</f>
        <v>-4.8496199583333332E-3</v>
      </c>
      <c r="N93" s="230">
        <f>(SUM('1.  LRAMVA Summary'!I$54:I$68)+SUM('1.  LRAMVA Summary'!I$69:I$70)*(MONTH($E93)-1)/12)*$H93</f>
        <v>-5.6713878693999993</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16.536332956455475</v>
      </c>
    </row>
    <row r="94" spans="2:23" s="9" customFormat="1">
      <c r="B94" s="66"/>
      <c r="E94" s="214">
        <v>42491</v>
      </c>
      <c r="F94" s="214" t="s">
        <v>183</v>
      </c>
      <c r="G94" s="215" t="s">
        <v>66</v>
      </c>
      <c r="H94" s="229">
        <f t="shared" ref="H94:H95" si="36">$C$36/12</f>
        <v>9.1666666666666665E-4</v>
      </c>
      <c r="I94" s="230">
        <f>(SUM('1.  LRAMVA Summary'!D$54:D$68)+SUM('1.  LRAMVA Summary'!D$69:D$70)*(MONTH($E94)-1)/12)*$H94</f>
        <v>11.586031913304307</v>
      </c>
      <c r="J94" s="230">
        <f>(SUM('1.  LRAMVA Summary'!E$54:E$68)+SUM('1.  LRAMVA Summary'!E$69:E$70)*(MONTH($E94)-1)/12)*$H94</f>
        <v>11.1170230830253</v>
      </c>
      <c r="K94" s="230">
        <f>(SUM('1.  LRAMVA Summary'!F$54:F$68)+SUM('1.  LRAMVA Summary'!F$69:F$70)*(MONTH($E94)-1)/12)*$H94</f>
        <v>0.62829803147671581</v>
      </c>
      <c r="L94" s="230">
        <f>(SUM('1.  LRAMVA Summary'!G$54:G$68)+SUM('1.  LRAMVA Summary'!G$69:G$70)*(MONTH($E94)-1)/12)*$H94</f>
        <v>0.50938714862903534</v>
      </c>
      <c r="M94" s="230">
        <f>(SUM('1.  LRAMVA Summary'!H$54:H$68)+SUM('1.  LRAMVA Summary'!H$69:H$70)*(MONTH($E94)-1)/12)*$H94</f>
        <v>-5.1310367777777782E-3</v>
      </c>
      <c r="N94" s="230">
        <f>(SUM('1.  LRAMVA Summary'!I$54:I$68)+SUM('1.  LRAMVA Summary'!I$69:I$70)*(MONTH($E94)-1)/12)*$H94</f>
        <v>-5.8570887499544444</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17.978520389703135</v>
      </c>
    </row>
    <row r="95" spans="2:23" s="238" customFormat="1">
      <c r="B95" s="237"/>
      <c r="D95" s="9"/>
      <c r="E95" s="214">
        <v>42522</v>
      </c>
      <c r="F95" s="214" t="s">
        <v>183</v>
      </c>
      <c r="G95" s="215" t="s">
        <v>66</v>
      </c>
      <c r="H95" s="229">
        <f t="shared" si="36"/>
        <v>9.1666666666666665E-4</v>
      </c>
      <c r="I95" s="230">
        <f>(SUM('1.  LRAMVA Summary'!D$54:D$68)+SUM('1.  LRAMVA Summary'!D$69:D$70)*(MONTH($E95)-1)/12)*$H95</f>
        <v>12.452746715457907</v>
      </c>
      <c r="J95" s="230">
        <f>(SUM('1.  LRAMVA Summary'!E$54:E$68)+SUM('1.  LRAMVA Summary'!E$69:E$70)*(MONTH($E95)-1)/12)*$H95</f>
        <v>11.6241363806189</v>
      </c>
      <c r="K95" s="230">
        <f>(SUM('1.  LRAMVA Summary'!F$54:F$68)+SUM('1.  LRAMVA Summary'!F$69:F$70)*(MONTH($E95)-1)/12)*$H95</f>
        <v>0.70278014144257239</v>
      </c>
      <c r="L95" s="230">
        <f>(SUM('1.  LRAMVA Summary'!G$54:G$68)+SUM('1.  LRAMVA Summary'!G$69:G$70)*(MONTH($E95)-1)/12)*$H95</f>
        <v>0.68924666953753366</v>
      </c>
      <c r="M95" s="230">
        <f>(SUM('1.  LRAMVA Summary'!H$54:H$68)+SUM('1.  LRAMVA Summary'!H$69:H$70)*(MONTH($E95)-1)/12)*$H95</f>
        <v>-5.4124535972222224E-3</v>
      </c>
      <c r="N95" s="230">
        <f>(SUM('1.  LRAMVA Summary'!I$54:I$68)+SUM('1.  LRAMVA Summary'!I$69:I$70)*(MONTH($E95)-1)/12)*$H95</f>
        <v>-6.0427896305088886</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19.420707822950799</v>
      </c>
    </row>
    <row r="96" spans="2:23" s="9" customFormat="1">
      <c r="B96" s="66"/>
      <c r="E96" s="214">
        <v>42552</v>
      </c>
      <c r="F96" s="214" t="s">
        <v>183</v>
      </c>
      <c r="G96" s="215" t="s">
        <v>68</v>
      </c>
      <c r="H96" s="229">
        <f>$C$37/12</f>
        <v>9.1666666666666665E-4</v>
      </c>
      <c r="I96" s="230">
        <f>(SUM('1.  LRAMVA Summary'!D$54:D$68)+SUM('1.  LRAMVA Summary'!D$69:D$70)*(MONTH($E96)-1)/12)*$H96</f>
        <v>13.319461517611511</v>
      </c>
      <c r="J96" s="230">
        <f>(SUM('1.  LRAMVA Summary'!E$54:E$68)+SUM('1.  LRAMVA Summary'!E$69:E$70)*(MONTH($E96)-1)/12)*$H96</f>
        <v>12.1312496782125</v>
      </c>
      <c r="K96" s="230">
        <f>(SUM('1.  LRAMVA Summary'!F$54:F$68)+SUM('1.  LRAMVA Summary'!F$69:F$70)*(MONTH($E96)-1)/12)*$H96</f>
        <v>0.77726225140842919</v>
      </c>
      <c r="L96" s="230">
        <f>(SUM('1.  LRAMVA Summary'!G$54:G$68)+SUM('1.  LRAMVA Summary'!G$69:G$70)*(MONTH($E96)-1)/12)*$H96</f>
        <v>0.8691061904460321</v>
      </c>
      <c r="M96" s="230">
        <f>(SUM('1.  LRAMVA Summary'!H$54:H$68)+SUM('1.  LRAMVA Summary'!H$69:H$70)*(MONTH($E96)-1)/12)*$H96</f>
        <v>-5.6938704166666666E-3</v>
      </c>
      <c r="N96" s="230">
        <f>(SUM('1.  LRAMVA Summary'!I$54:I$68)+SUM('1.  LRAMVA Summary'!I$69:I$70)*(MONTH($E96)-1)/12)*$H96</f>
        <v>-6.2284905110633328</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20.862895256198478</v>
      </c>
    </row>
    <row r="97" spans="2:23" s="9" customFormat="1">
      <c r="B97" s="66"/>
      <c r="E97" s="214">
        <v>42583</v>
      </c>
      <c r="F97" s="214" t="s">
        <v>183</v>
      </c>
      <c r="G97" s="215" t="s">
        <v>68</v>
      </c>
      <c r="H97" s="229">
        <f t="shared" ref="H97:H98" si="37">$C$37/12</f>
        <v>9.1666666666666665E-4</v>
      </c>
      <c r="I97" s="230">
        <f>(SUM('1.  LRAMVA Summary'!D$54:D$68)+SUM('1.  LRAMVA Summary'!D$69:D$70)*(MONTH($E97)-1)/12)*$H97</f>
        <v>14.18617631976511</v>
      </c>
      <c r="J97" s="230">
        <f>(SUM('1.  LRAMVA Summary'!E$54:E$68)+SUM('1.  LRAMVA Summary'!E$69:E$70)*(MONTH($E97)-1)/12)*$H97</f>
        <v>12.638362975806098</v>
      </c>
      <c r="K97" s="230">
        <f>(SUM('1.  LRAMVA Summary'!F$54:F$68)+SUM('1.  LRAMVA Summary'!F$69:F$70)*(MONTH($E97)-1)/12)*$H97</f>
        <v>0.85174436137428589</v>
      </c>
      <c r="L97" s="230">
        <f>(SUM('1.  LRAMVA Summary'!G$54:G$68)+SUM('1.  LRAMVA Summary'!G$69:G$70)*(MONTH($E97)-1)/12)*$H97</f>
        <v>1.0489657113545305</v>
      </c>
      <c r="M97" s="230">
        <f>(SUM('1.  LRAMVA Summary'!H$54:H$68)+SUM('1.  LRAMVA Summary'!H$69:H$70)*(MONTH($E97)-1)/12)*$H97</f>
        <v>-5.9752872361111117E-3</v>
      </c>
      <c r="N97" s="230">
        <f>(SUM('1.  LRAMVA Summary'!I$54:I$68)+SUM('1.  LRAMVA Summary'!I$69:I$70)*(MONTH($E97)-1)/12)*$H97</f>
        <v>-6.4141913916177771</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22.305082689446134</v>
      </c>
    </row>
    <row r="98" spans="2:23" s="9" customFormat="1">
      <c r="B98" s="66"/>
      <c r="E98" s="214">
        <v>42614</v>
      </c>
      <c r="F98" s="214" t="s">
        <v>183</v>
      </c>
      <c r="G98" s="215" t="s">
        <v>68</v>
      </c>
      <c r="H98" s="229">
        <f t="shared" si="37"/>
        <v>9.1666666666666665E-4</v>
      </c>
      <c r="I98" s="230">
        <f>(SUM('1.  LRAMVA Summary'!D$54:D$68)+SUM('1.  LRAMVA Summary'!D$69:D$70)*(MONTH($E98)-1)/12)*$H98</f>
        <v>15.05289112191871</v>
      </c>
      <c r="J98" s="230">
        <f>(SUM('1.  LRAMVA Summary'!E$54:E$68)+SUM('1.  LRAMVA Summary'!E$69:E$70)*(MONTH($E98)-1)/12)*$H98</f>
        <v>13.145476273399698</v>
      </c>
      <c r="K98" s="230">
        <f>(SUM('1.  LRAMVA Summary'!F$54:F$68)+SUM('1.  LRAMVA Summary'!F$69:F$70)*(MONTH($E98)-1)/12)*$H98</f>
        <v>0.92622647134014258</v>
      </c>
      <c r="L98" s="230">
        <f>(SUM('1.  LRAMVA Summary'!G$54:G$68)+SUM('1.  LRAMVA Summary'!G$69:G$70)*(MONTH($E98)-1)/12)*$H98</f>
        <v>1.2288252322630289</v>
      </c>
      <c r="M98" s="230">
        <f>(SUM('1.  LRAMVA Summary'!H$54:H$68)+SUM('1.  LRAMVA Summary'!H$69:H$70)*(MONTH($E98)-1)/12)*$H98</f>
        <v>-6.2567040555555568E-3</v>
      </c>
      <c r="N98" s="230">
        <f>(SUM('1.  LRAMVA Summary'!I$54:I$68)+SUM('1.  LRAMVA Summary'!I$69:I$70)*(MONTH($E98)-1)/12)*$H98</f>
        <v>-6.5998922721722213</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23.747270122693799</v>
      </c>
    </row>
    <row r="99" spans="2:23" s="9" customFormat="1">
      <c r="B99" s="66"/>
      <c r="E99" s="214">
        <v>42644</v>
      </c>
      <c r="F99" s="214" t="s">
        <v>183</v>
      </c>
      <c r="G99" s="215" t="s">
        <v>69</v>
      </c>
      <c r="H99" s="210">
        <f>$C$38/12</f>
        <v>9.1666666666666665E-4</v>
      </c>
      <c r="I99" s="230">
        <f>(SUM('1.  LRAMVA Summary'!D$54:D$68)+SUM('1.  LRAMVA Summary'!D$69:D$70)*(MONTH($E99)-1)/12)*$H99</f>
        <v>15.919605924072313</v>
      </c>
      <c r="J99" s="230">
        <f>(SUM('1.  LRAMVA Summary'!E$54:E$68)+SUM('1.  LRAMVA Summary'!E$69:E$70)*(MONTH($E99)-1)/12)*$H99</f>
        <v>13.652589570993296</v>
      </c>
      <c r="K99" s="230">
        <f>(SUM('1.  LRAMVA Summary'!F$54:F$68)+SUM('1.  LRAMVA Summary'!F$69:F$70)*(MONTH($E99)-1)/12)*$H99</f>
        <v>1.0007085813059993</v>
      </c>
      <c r="L99" s="230">
        <f>(SUM('1.  LRAMVA Summary'!G$54:G$68)+SUM('1.  LRAMVA Summary'!G$69:G$70)*(MONTH($E99)-1)/12)*$H99</f>
        <v>1.4086847531715272</v>
      </c>
      <c r="M99" s="230">
        <f>(SUM('1.  LRAMVA Summary'!H$54:H$68)+SUM('1.  LRAMVA Summary'!H$69:H$70)*(MONTH($E99)-1)/12)*$H99</f>
        <v>-6.538120875000001E-3</v>
      </c>
      <c r="N99" s="230">
        <f>(SUM('1.  LRAMVA Summary'!I$54:I$68)+SUM('1.  LRAMVA Summary'!I$69:I$70)*(MONTH($E99)-1)/12)*$H99</f>
        <v>-6.7855931527266664</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25.18945755594147</v>
      </c>
    </row>
    <row r="100" spans="2:23" s="9" customFormat="1">
      <c r="B100" s="66"/>
      <c r="E100" s="214">
        <v>42675</v>
      </c>
      <c r="F100" s="214" t="s">
        <v>183</v>
      </c>
      <c r="G100" s="215" t="s">
        <v>69</v>
      </c>
      <c r="H100" s="210">
        <f t="shared" ref="H100:H101" si="38">$C$38/12</f>
        <v>9.1666666666666665E-4</v>
      </c>
      <c r="I100" s="230">
        <f>(SUM('1.  LRAMVA Summary'!D$54:D$68)+SUM('1.  LRAMVA Summary'!D$69:D$70)*(MONTH($E100)-1)/12)*$H100</f>
        <v>16.786320726225913</v>
      </c>
      <c r="J100" s="230">
        <f>(SUM('1.  LRAMVA Summary'!E$54:E$68)+SUM('1.  LRAMVA Summary'!E$69:E$70)*(MONTH($E100)-1)/12)*$H100</f>
        <v>14.159702868586896</v>
      </c>
      <c r="K100" s="230">
        <f>(SUM('1.  LRAMVA Summary'!F$54:F$68)+SUM('1.  LRAMVA Summary'!F$69:F$70)*(MONTH($E100)-1)/12)*$H100</f>
        <v>1.0751906912718561</v>
      </c>
      <c r="L100" s="230">
        <f>(SUM('1.  LRAMVA Summary'!G$54:G$68)+SUM('1.  LRAMVA Summary'!G$69:G$70)*(MONTH($E100)-1)/12)*$H100</f>
        <v>1.5885442740800255</v>
      </c>
      <c r="M100" s="230">
        <f>(SUM('1.  LRAMVA Summary'!H$54:H$68)+SUM('1.  LRAMVA Summary'!H$69:H$70)*(MONTH($E100)-1)/12)*$H100</f>
        <v>-6.8195376944444452E-3</v>
      </c>
      <c r="N100" s="230">
        <f>(SUM('1.  LRAMVA Summary'!I$54:I$68)+SUM('1.  LRAMVA Summary'!I$69:I$70)*(MONTH($E100)-1)/12)*$H100</f>
        <v>-6.9712940332811106</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26.631644989189134</v>
      </c>
    </row>
    <row r="101" spans="2:23" s="9" customFormat="1">
      <c r="B101" s="66"/>
      <c r="E101" s="214">
        <v>42705</v>
      </c>
      <c r="F101" s="214" t="s">
        <v>183</v>
      </c>
      <c r="G101" s="215" t="s">
        <v>69</v>
      </c>
      <c r="H101" s="210">
        <f t="shared" si="38"/>
        <v>9.1666666666666665E-4</v>
      </c>
      <c r="I101" s="230">
        <f>(SUM('1.  LRAMVA Summary'!D$54:D$68)+SUM('1.  LRAMVA Summary'!D$69:D$70)*(MONTH($E101)-1)/12)*$H101</f>
        <v>17.653035528379512</v>
      </c>
      <c r="J101" s="230">
        <f>(SUM('1.  LRAMVA Summary'!E$54:E$68)+SUM('1.  LRAMVA Summary'!E$69:E$70)*(MONTH($E101)-1)/12)*$H101</f>
        <v>14.666816166180496</v>
      </c>
      <c r="K101" s="230">
        <f>(SUM('1.  LRAMVA Summary'!F$54:F$68)+SUM('1.  LRAMVA Summary'!F$69:F$70)*(MONTH($E101)-1)/12)*$H101</f>
        <v>1.1496728012377129</v>
      </c>
      <c r="L101" s="230">
        <f>(SUM('1.  LRAMVA Summary'!G$54:G$68)+SUM('1.  LRAMVA Summary'!G$69:G$70)*(MONTH($E101)-1)/12)*$H101</f>
        <v>1.7684037949885243</v>
      </c>
      <c r="M101" s="230">
        <f>(SUM('1.  LRAMVA Summary'!H$54:H$68)+SUM('1.  LRAMVA Summary'!H$69:H$70)*(MONTH($E101)-1)/12)*$H101</f>
        <v>-7.1009545138888894E-3</v>
      </c>
      <c r="N101" s="230">
        <f>(SUM('1.  LRAMVA Summary'!I$54:I$68)+SUM('1.  LRAMVA Summary'!I$69:I$70)*(MONTH($E101)-1)/12)*$H101</f>
        <v>-7.1569949138355549</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28.073832422436801</v>
      </c>
    </row>
    <row r="102" spans="2:23" s="9" customFormat="1" ht="15.75" thickBot="1">
      <c r="B102" s="66"/>
      <c r="E102" s="216" t="s">
        <v>467</v>
      </c>
      <c r="F102" s="216"/>
      <c r="G102" s="217"/>
      <c r="H102" s="218"/>
      <c r="I102" s="219">
        <f>SUM(I89:I101)</f>
        <v>223.14953568459802</v>
      </c>
      <c r="J102" s="219">
        <f>SUM(J89:J101)</f>
        <v>257.63360776603349</v>
      </c>
      <c r="K102" s="219">
        <f t="shared" ref="K102:O102" si="39">SUM(K89:K101)</f>
        <v>9.1261821189119789</v>
      </c>
      <c r="L102" s="219">
        <f t="shared" si="39"/>
        <v>5.7367088651042399</v>
      </c>
      <c r="M102" s="219">
        <f t="shared" si="39"/>
        <v>-0.10844103547083336</v>
      </c>
      <c r="N102" s="219">
        <f t="shared" si="39"/>
        <v>-145.83523468896681</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349.70235871021009</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431</v>
      </c>
      <c r="F104" s="225"/>
      <c r="G104" s="226"/>
      <c r="H104" s="227"/>
      <c r="I104" s="228">
        <f>I102+I103</f>
        <v>223.14953568459802</v>
      </c>
      <c r="J104" s="228">
        <f t="shared" ref="J104" si="41">J102+J103</f>
        <v>257.63360776603349</v>
      </c>
      <c r="K104" s="228">
        <f t="shared" ref="K104" si="42">K102+K103</f>
        <v>9.1261821189119789</v>
      </c>
      <c r="L104" s="228">
        <f t="shared" ref="L104" si="43">L102+L103</f>
        <v>5.7367088651042399</v>
      </c>
      <c r="M104" s="228">
        <f t="shared" ref="M104" si="44">M102+M103</f>
        <v>-0.10844103547083336</v>
      </c>
      <c r="N104" s="228">
        <f t="shared" ref="N104" si="45">N102+N103</f>
        <v>-145.83523468896681</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349.70235871021009</v>
      </c>
    </row>
    <row r="105" spans="2:23" s="9" customFormat="1">
      <c r="B105" s="66"/>
      <c r="E105" s="214">
        <v>42736</v>
      </c>
      <c r="F105" s="214" t="s">
        <v>184</v>
      </c>
      <c r="G105" s="215" t="s">
        <v>65</v>
      </c>
      <c r="H105" s="240">
        <f>$C$39/12</f>
        <v>9.1666666666666665E-4</v>
      </c>
      <c r="I105" s="230">
        <f>(SUM('1.  LRAMVA Summary'!D$54:D$71)+SUM('1.  LRAMVA Summary'!D$72:D$73)*(MONTH($E105)-1)/12)*$H105</f>
        <v>18.519750330533114</v>
      </c>
      <c r="J105" s="230">
        <f>(SUM('1.  LRAMVA Summary'!E$54:E$71)+SUM('1.  LRAMVA Summary'!E$72:E$73)*(MONTH($E105)-1)/12)*$H105</f>
        <v>15.173929463774092</v>
      </c>
      <c r="K105" s="230">
        <f>(SUM('1.  LRAMVA Summary'!F$54:F$71)+SUM('1.  LRAMVA Summary'!F$72:F$73)*(MONTH($E105)-1)/12)*$H105</f>
        <v>1.2241549112035692</v>
      </c>
      <c r="L105" s="230">
        <f>(SUM('1.  LRAMVA Summary'!G$54:G$71)+SUM('1.  LRAMVA Summary'!G$72:G$73)*(MONTH($E105)-1)/12)*$H105</f>
        <v>1.9482633158970226</v>
      </c>
      <c r="M105" s="230">
        <f>(SUM('1.  LRAMVA Summary'!H$54:H$71)+SUM('1.  LRAMVA Summary'!H$72:H$73)*(MONTH($E105)-1)/12)*$H105</f>
        <v>-7.3823713333333336E-3</v>
      </c>
      <c r="N105" s="230">
        <f>(SUM('1.  LRAMVA Summary'!I$54:I$71)+SUM('1.  LRAMVA Summary'!I$72:I$73)*(MONTH($E105)-1)/12)*$H105</f>
        <v>-7.3426957943899982</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29.516019855684469</v>
      </c>
    </row>
    <row r="106" spans="2:23" s="9" customFormat="1">
      <c r="B106" s="66"/>
      <c r="E106" s="214">
        <v>42767</v>
      </c>
      <c r="F106" s="214" t="s">
        <v>184</v>
      </c>
      <c r="G106" s="215" t="s">
        <v>65</v>
      </c>
      <c r="H106" s="240">
        <f t="shared" ref="H106:H107" si="48">$C$39/12</f>
        <v>9.1666666666666665E-4</v>
      </c>
      <c r="I106" s="230">
        <f>(SUM('1.  LRAMVA Summary'!D$54:D$71)+SUM('1.  LRAMVA Summary'!D$72:D$73)*(MONTH($E106)-1)/12)*$H106</f>
        <v>19.626515845634685</v>
      </c>
      <c r="J106" s="230">
        <f>(SUM('1.  LRAMVA Summary'!E$54:E$71)+SUM('1.  LRAMVA Summary'!E$72:E$73)*(MONTH($E106)-1)/12)*$H106</f>
        <v>15.408955887800191</v>
      </c>
      <c r="K106" s="230">
        <f>(SUM('1.  LRAMVA Summary'!F$54:F$71)+SUM('1.  LRAMVA Summary'!F$72:F$73)*(MONTH($E106)-1)/12)*$H106</f>
        <v>1.2926053815716063</v>
      </c>
      <c r="L106" s="230">
        <f>(SUM('1.  LRAMVA Summary'!G$54:G$71)+SUM('1.  LRAMVA Summary'!G$72:G$73)*(MONTH($E106)-1)/12)*$H106</f>
        <v>2.1406625592735065</v>
      </c>
      <c r="M106" s="230">
        <f>(SUM('1.  LRAMVA Summary'!H$54:H$71)+SUM('1.  LRAMVA Summary'!H$72:H$73)*(MONTH($E106)-1)/12)*$H106</f>
        <v>-7.6670736388888888E-3</v>
      </c>
      <c r="N106" s="230">
        <f>(SUM('1.  LRAMVA Summary'!I$54:I$71)+SUM('1.  LRAMVA Summary'!I$72:I$73)*(MONTH($E106)-1)/12)*$H106</f>
        <v>-7.5305653048388868</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30.930507295802208</v>
      </c>
    </row>
    <row r="107" spans="2:23" s="9" customFormat="1">
      <c r="B107" s="66"/>
      <c r="E107" s="214">
        <v>42795</v>
      </c>
      <c r="F107" s="214" t="s">
        <v>184</v>
      </c>
      <c r="G107" s="215" t="s">
        <v>65</v>
      </c>
      <c r="H107" s="240">
        <f t="shared" si="48"/>
        <v>9.1666666666666665E-4</v>
      </c>
      <c r="I107" s="230">
        <f>(SUM('1.  LRAMVA Summary'!D$54:D$71)+SUM('1.  LRAMVA Summary'!D$72:D$73)*(MONTH($E107)-1)/12)*$H107</f>
        <v>20.733281360736257</v>
      </c>
      <c r="J107" s="230">
        <f>(SUM('1.  LRAMVA Summary'!E$54:E$71)+SUM('1.  LRAMVA Summary'!E$72:E$73)*(MONTH($E107)-1)/12)*$H107</f>
        <v>15.643982311826296</v>
      </c>
      <c r="K107" s="230">
        <f>(SUM('1.  LRAMVA Summary'!F$54:F$71)+SUM('1.  LRAMVA Summary'!F$72:F$73)*(MONTH($E107)-1)/12)*$H107</f>
        <v>1.3610558519396436</v>
      </c>
      <c r="L107" s="230">
        <f>(SUM('1.  LRAMVA Summary'!G$54:G$71)+SUM('1.  LRAMVA Summary'!G$72:G$73)*(MONTH($E107)-1)/12)*$H107</f>
        <v>2.3330618026499899</v>
      </c>
      <c r="M107" s="230">
        <f>(SUM('1.  LRAMVA Summary'!H$54:H$71)+SUM('1.  LRAMVA Summary'!H$72:H$73)*(MONTH($E107)-1)/12)*$H107</f>
        <v>-7.9517759444444457E-3</v>
      </c>
      <c r="N107" s="230">
        <f>(SUM('1.  LRAMVA Summary'!I$54:I$71)+SUM('1.  LRAMVA Summary'!I$72:I$73)*(MONTH($E107)-1)/12)*$H107</f>
        <v>-7.7184348152877771</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32.344994735919961</v>
      </c>
    </row>
    <row r="108" spans="2:23" s="8" customFormat="1">
      <c r="B108" s="239"/>
      <c r="E108" s="214">
        <v>42826</v>
      </c>
      <c r="F108" s="214" t="s">
        <v>184</v>
      </c>
      <c r="G108" s="215" t="s">
        <v>66</v>
      </c>
      <c r="H108" s="240">
        <f>$C$40/12</f>
        <v>9.1666666666666665E-4</v>
      </c>
      <c r="I108" s="230">
        <f>(SUM('1.  LRAMVA Summary'!D$54:D$71)+SUM('1.  LRAMVA Summary'!D$72:D$73)*(MONTH($E108)-1)/12)*$H108</f>
        <v>21.840046875837828</v>
      </c>
      <c r="J108" s="230">
        <f>(SUM('1.  LRAMVA Summary'!E$54:E$71)+SUM('1.  LRAMVA Summary'!E$72:E$73)*(MONTH($E108)-1)/12)*$H108</f>
        <v>15.879008735852395</v>
      </c>
      <c r="K108" s="230">
        <f>(SUM('1.  LRAMVA Summary'!F$54:F$71)+SUM('1.  LRAMVA Summary'!F$72:F$73)*(MONTH($E108)-1)/12)*$H108</f>
        <v>1.4295063223076807</v>
      </c>
      <c r="L108" s="230">
        <f>(SUM('1.  LRAMVA Summary'!G$54:G$71)+SUM('1.  LRAMVA Summary'!G$72:G$73)*(MONTH($E108)-1)/12)*$H108</f>
        <v>2.5254610460264733</v>
      </c>
      <c r="M108" s="230">
        <f>(SUM('1.  LRAMVA Summary'!H$54:H$71)+SUM('1.  LRAMVA Summary'!H$72:H$73)*(MONTH($E108)-1)/12)*$H108</f>
        <v>-8.2364782500000018E-3</v>
      </c>
      <c r="N108" s="230">
        <f>(SUM('1.  LRAMVA Summary'!I$54:I$71)+SUM('1.  LRAMVA Summary'!I$72:I$73)*(MONTH($E108)-1)/12)*$H108</f>
        <v>-7.9063043257366648</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33.759482176037714</v>
      </c>
    </row>
    <row r="109" spans="2:23" s="9" customFormat="1">
      <c r="B109" s="66"/>
      <c r="E109" s="214">
        <v>42856</v>
      </c>
      <c r="F109" s="214" t="s">
        <v>184</v>
      </c>
      <c r="G109" s="215" t="s">
        <v>66</v>
      </c>
      <c r="H109" s="240">
        <f t="shared" ref="H109:H110" si="50">$C$40/12</f>
        <v>9.1666666666666665E-4</v>
      </c>
      <c r="I109" s="230">
        <f>(SUM('1.  LRAMVA Summary'!D$54:D$71)+SUM('1.  LRAMVA Summary'!D$72:D$73)*(MONTH($E109)-1)/12)*$H109</f>
        <v>22.9468123909394</v>
      </c>
      <c r="J109" s="230">
        <f>(SUM('1.  LRAMVA Summary'!E$54:E$71)+SUM('1.  LRAMVA Summary'!E$72:E$73)*(MONTH($E109)-1)/12)*$H109</f>
        <v>16.114035159878497</v>
      </c>
      <c r="K109" s="230">
        <f>(SUM('1.  LRAMVA Summary'!F$54:F$71)+SUM('1.  LRAMVA Summary'!F$72:F$73)*(MONTH($E109)-1)/12)*$H109</f>
        <v>1.4979567926757178</v>
      </c>
      <c r="L109" s="230">
        <f>(SUM('1.  LRAMVA Summary'!G$54:G$71)+SUM('1.  LRAMVA Summary'!G$72:G$73)*(MONTH($E109)-1)/12)*$H109</f>
        <v>2.7178602894029571</v>
      </c>
      <c r="M109" s="230">
        <f>(SUM('1.  LRAMVA Summary'!H$54:H$71)+SUM('1.  LRAMVA Summary'!H$72:H$73)*(MONTH($E109)-1)/12)*$H109</f>
        <v>-8.5211805555555561E-3</v>
      </c>
      <c r="N109" s="230">
        <f>(SUM('1.  LRAMVA Summary'!I$54:I$71)+SUM('1.  LRAMVA Summary'!I$72:I$73)*(MONTH($E109)-1)/12)*$H109</f>
        <v>-8.0941738361855542</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35.17396961615546</v>
      </c>
    </row>
    <row r="110" spans="2:23" s="238" customFormat="1">
      <c r="B110" s="237"/>
      <c r="E110" s="214">
        <v>42887</v>
      </c>
      <c r="F110" s="214" t="s">
        <v>184</v>
      </c>
      <c r="G110" s="215" t="s">
        <v>66</v>
      </c>
      <c r="H110" s="240">
        <f t="shared" si="50"/>
        <v>9.1666666666666665E-4</v>
      </c>
      <c r="I110" s="230">
        <f>(SUM('1.  LRAMVA Summary'!D$54:D$71)+SUM('1.  LRAMVA Summary'!D$72:D$73)*(MONTH($E110)-1)/12)*$H110</f>
        <v>24.053577906040971</v>
      </c>
      <c r="J110" s="230">
        <f>(SUM('1.  LRAMVA Summary'!E$54:E$71)+SUM('1.  LRAMVA Summary'!E$72:E$73)*(MONTH($E110)-1)/12)*$H110</f>
        <v>16.3490615839046</v>
      </c>
      <c r="K110" s="230">
        <f>(SUM('1.  LRAMVA Summary'!F$54:F$71)+SUM('1.  LRAMVA Summary'!F$72:F$73)*(MONTH($E110)-1)/12)*$H110</f>
        <v>1.5664072630437551</v>
      </c>
      <c r="L110" s="230">
        <f>(SUM('1.  LRAMVA Summary'!G$54:G$71)+SUM('1.  LRAMVA Summary'!G$72:G$73)*(MONTH($E110)-1)/12)*$H110</f>
        <v>2.9102595327794409</v>
      </c>
      <c r="M110" s="230">
        <f>(SUM('1.  LRAMVA Summary'!H$54:H$71)+SUM('1.  LRAMVA Summary'!H$72:H$73)*(MONTH($E110)-1)/12)*$H110</f>
        <v>-8.8058828611111122E-3</v>
      </c>
      <c r="N110" s="230">
        <f>(SUM('1.  LRAMVA Summary'!I$54:I$71)+SUM('1.  LRAMVA Summary'!I$72:I$73)*(MONTH($E110)-1)/12)*$H110</f>
        <v>-8.2820433466344419</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36.588457056273214</v>
      </c>
    </row>
    <row r="111" spans="2:23" s="9" customFormat="1">
      <c r="B111" s="66"/>
      <c r="E111" s="214">
        <v>42917</v>
      </c>
      <c r="F111" s="214" t="s">
        <v>184</v>
      </c>
      <c r="G111" s="215" t="s">
        <v>68</v>
      </c>
      <c r="H111" s="240">
        <f>$C$41/12</f>
        <v>9.1666666666666665E-4</v>
      </c>
      <c r="I111" s="230">
        <f>(SUM('1.  LRAMVA Summary'!D$54:D$71)+SUM('1.  LRAMVA Summary'!D$72:D$73)*(MONTH($E111)-1)/12)*$H111</f>
        <v>25.160343421142542</v>
      </c>
      <c r="J111" s="230">
        <f>(SUM('1.  LRAMVA Summary'!E$54:E$71)+SUM('1.  LRAMVA Summary'!E$72:E$73)*(MONTH($E111)-1)/12)*$H111</f>
        <v>16.584088007930703</v>
      </c>
      <c r="K111" s="230">
        <f>(SUM('1.  LRAMVA Summary'!F$54:F$71)+SUM('1.  LRAMVA Summary'!F$72:F$73)*(MONTH($E111)-1)/12)*$H111</f>
        <v>1.6348577334117922</v>
      </c>
      <c r="L111" s="230">
        <f>(SUM('1.  LRAMVA Summary'!G$54:G$71)+SUM('1.  LRAMVA Summary'!G$72:G$73)*(MONTH($E111)-1)/12)*$H111</f>
        <v>3.1026587761559243</v>
      </c>
      <c r="M111" s="230">
        <f>(SUM('1.  LRAMVA Summary'!H$54:H$71)+SUM('1.  LRAMVA Summary'!H$72:H$73)*(MONTH($E111)-1)/12)*$H111</f>
        <v>-9.0905851666666666E-3</v>
      </c>
      <c r="N111" s="230">
        <f>(SUM('1.  LRAMVA Summary'!I$54:I$71)+SUM('1.  LRAMVA Summary'!I$72:I$73)*(MONTH($E111)-1)/12)*$H111</f>
        <v>-8.4699128570833313</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38.002944496390967</v>
      </c>
    </row>
    <row r="112" spans="2:23" s="9" customFormat="1">
      <c r="B112" s="66"/>
      <c r="E112" s="214">
        <v>42948</v>
      </c>
      <c r="F112" s="214" t="s">
        <v>184</v>
      </c>
      <c r="G112" s="215" t="s">
        <v>68</v>
      </c>
      <c r="H112" s="240">
        <f t="shared" ref="H112:H113" si="51">$C$41/12</f>
        <v>9.1666666666666665E-4</v>
      </c>
      <c r="I112" s="230">
        <f>(SUM('1.  LRAMVA Summary'!D$54:D$71)+SUM('1.  LRAMVA Summary'!D$72:D$73)*(MONTH($E112)-1)/12)*$H112</f>
        <v>26.267108936244114</v>
      </c>
      <c r="J112" s="230">
        <f>(SUM('1.  LRAMVA Summary'!E$54:E$71)+SUM('1.  LRAMVA Summary'!E$72:E$73)*(MONTH($E112)-1)/12)*$H112</f>
        <v>16.819114431956802</v>
      </c>
      <c r="K112" s="230">
        <f>(SUM('1.  LRAMVA Summary'!F$54:F$71)+SUM('1.  LRAMVA Summary'!F$72:F$73)*(MONTH($E112)-1)/12)*$H112</f>
        <v>1.7033082037798293</v>
      </c>
      <c r="L112" s="230">
        <f>(SUM('1.  LRAMVA Summary'!G$54:G$71)+SUM('1.  LRAMVA Summary'!G$72:G$73)*(MONTH($E112)-1)/12)*$H112</f>
        <v>3.2950580195324086</v>
      </c>
      <c r="M112" s="230">
        <f>(SUM('1.  LRAMVA Summary'!H$54:H$71)+SUM('1.  LRAMVA Summary'!H$72:H$73)*(MONTH($E112)-1)/12)*$H112</f>
        <v>-9.3752874722222226E-3</v>
      </c>
      <c r="N112" s="230">
        <f>(SUM('1.  LRAMVA Summary'!I$54:I$71)+SUM('1.  LRAMVA Summary'!I$72:I$73)*(MONTH($E112)-1)/12)*$H112</f>
        <v>-8.6577823675322207</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39.417431936508706</v>
      </c>
    </row>
    <row r="113" spans="2:23" s="9" customFormat="1">
      <c r="B113" s="66"/>
      <c r="E113" s="214">
        <v>42979</v>
      </c>
      <c r="F113" s="214" t="s">
        <v>184</v>
      </c>
      <c r="G113" s="215" t="s">
        <v>68</v>
      </c>
      <c r="H113" s="240">
        <f t="shared" si="51"/>
        <v>9.1666666666666665E-4</v>
      </c>
      <c r="I113" s="230">
        <f>(SUM('1.  LRAMVA Summary'!D$54:D$71)+SUM('1.  LRAMVA Summary'!D$72:D$73)*(MONTH($E113)-1)/12)*$H113</f>
        <v>27.373874451345682</v>
      </c>
      <c r="J113" s="230">
        <f>(SUM('1.  LRAMVA Summary'!E$54:E$71)+SUM('1.  LRAMVA Summary'!E$72:E$73)*(MONTH($E113)-1)/12)*$H113</f>
        <v>17.054140855982901</v>
      </c>
      <c r="K113" s="230">
        <f>(SUM('1.  LRAMVA Summary'!F$54:F$71)+SUM('1.  LRAMVA Summary'!F$72:F$73)*(MONTH($E113)-1)/12)*$H113</f>
        <v>1.7717586741478666</v>
      </c>
      <c r="L113" s="230">
        <f>(SUM('1.  LRAMVA Summary'!G$54:G$71)+SUM('1.  LRAMVA Summary'!G$72:G$73)*(MONTH($E113)-1)/12)*$H113</f>
        <v>3.487457262908892</v>
      </c>
      <c r="M113" s="230">
        <f>(SUM('1.  LRAMVA Summary'!H$54:H$71)+SUM('1.  LRAMVA Summary'!H$72:H$73)*(MONTH($E113)-1)/12)*$H113</f>
        <v>-9.6599897777777787E-3</v>
      </c>
      <c r="N113" s="230">
        <f>(SUM('1.  LRAMVA Summary'!I$54:I$71)+SUM('1.  LRAMVA Summary'!I$72:I$73)*(MONTH($E113)-1)/12)*$H113</f>
        <v>-8.8456518779811084</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40.831919376626445</v>
      </c>
    </row>
    <row r="114" spans="2:23" s="9" customFormat="1">
      <c r="B114" s="66"/>
      <c r="E114" s="214">
        <v>43009</v>
      </c>
      <c r="F114" s="214" t="s">
        <v>184</v>
      </c>
      <c r="G114" s="215" t="s">
        <v>69</v>
      </c>
      <c r="H114" s="240">
        <f>$C$42/12</f>
        <v>1.25E-3</v>
      </c>
      <c r="I114" s="230">
        <f>(SUM('1.  LRAMVA Summary'!D$54:D$71)+SUM('1.  LRAMVA Summary'!D$72:D$73)*(MONTH($E114)-1)/12)*$H114</f>
        <v>38.837236317882621</v>
      </c>
      <c r="J114" s="230">
        <f>(SUM('1.  LRAMVA Summary'!E$54:E$71)+SUM('1.  LRAMVA Summary'!E$72:E$73)*(MONTH($E114)-1)/12)*$H114</f>
        <v>23.57613720001228</v>
      </c>
      <c r="K114" s="230">
        <f>(SUM('1.  LRAMVA Summary'!F$54:F$71)+SUM('1.  LRAMVA Summary'!F$72:F$73)*(MONTH($E114)-1)/12)*$H114</f>
        <v>2.5093761061580504</v>
      </c>
      <c r="L114" s="230">
        <f>(SUM('1.  LRAMVA Summary'!G$54:G$71)+SUM('1.  LRAMVA Summary'!G$72:G$73)*(MONTH($E114)-1)/12)*$H114</f>
        <v>5.0179861449346026</v>
      </c>
      <c r="M114" s="230">
        <f>(SUM('1.  LRAMVA Summary'!H$54:H$71)+SUM('1.  LRAMVA Summary'!H$72:H$73)*(MONTH($E114)-1)/12)*$H114</f>
        <v>-1.356094375E-2</v>
      </c>
      <c r="N114" s="230">
        <f>(SUM('1.  LRAMVA Summary'!I$54:I$71)+SUM('1.  LRAMVA Summary'!I$72:I$73)*(MONTH($E114)-1)/12)*$H114</f>
        <v>-12.318438256949999</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57.60873656828754</v>
      </c>
    </row>
    <row r="115" spans="2:23" s="9" customFormat="1">
      <c r="B115" s="66"/>
      <c r="E115" s="214">
        <v>43040</v>
      </c>
      <c r="F115" s="214" t="s">
        <v>184</v>
      </c>
      <c r="G115" s="215" t="s">
        <v>69</v>
      </c>
      <c r="H115" s="240">
        <f t="shared" ref="H115:H116" si="52">$C$42/12</f>
        <v>1.25E-3</v>
      </c>
      <c r="I115" s="230">
        <f>(SUM('1.  LRAMVA Summary'!D$54:D$71)+SUM('1.  LRAMVA Summary'!D$72:D$73)*(MONTH($E115)-1)/12)*$H115</f>
        <v>40.346462020293856</v>
      </c>
      <c r="J115" s="230">
        <f>(SUM('1.  LRAMVA Summary'!E$54:E$71)+SUM('1.  LRAMVA Summary'!E$72:E$73)*(MONTH($E115)-1)/12)*$H115</f>
        <v>23.896627778229689</v>
      </c>
      <c r="K115" s="230">
        <f>(SUM('1.  LRAMVA Summary'!F$54:F$71)+SUM('1.  LRAMVA Summary'!F$72:F$73)*(MONTH($E115)-1)/12)*$H115</f>
        <v>2.6027176566599195</v>
      </c>
      <c r="L115" s="230">
        <f>(SUM('1.  LRAMVA Summary'!G$54:G$71)+SUM('1.  LRAMVA Summary'!G$72:G$73)*(MONTH($E115)-1)/12)*$H115</f>
        <v>5.2803487495388985</v>
      </c>
      <c r="M115" s="230">
        <f>(SUM('1.  LRAMVA Summary'!H$54:H$71)+SUM('1.  LRAMVA Summary'!H$72:H$73)*(MONTH($E115)-1)/12)*$H115</f>
        <v>-1.394917416666667E-2</v>
      </c>
      <c r="N115" s="230">
        <f>(SUM('1.  LRAMVA Summary'!I$54:I$71)+SUM('1.  LRAMVA Summary'!I$72:I$73)*(MONTH($E115)-1)/12)*$H115</f>
        <v>-12.574623953016665</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59.537583077539026</v>
      </c>
    </row>
    <row r="116" spans="2:23" s="9" customFormat="1">
      <c r="B116" s="66"/>
      <c r="E116" s="214">
        <v>43070</v>
      </c>
      <c r="F116" s="214" t="s">
        <v>184</v>
      </c>
      <c r="G116" s="215" t="s">
        <v>69</v>
      </c>
      <c r="H116" s="240">
        <f t="shared" si="52"/>
        <v>1.25E-3</v>
      </c>
      <c r="I116" s="230">
        <f>(SUM('1.  LRAMVA Summary'!D$54:D$71)+SUM('1.  LRAMVA Summary'!D$72:D$73)*(MONTH($E116)-1)/12)*$H116</f>
        <v>41.855687722705092</v>
      </c>
      <c r="J116" s="230">
        <f>(SUM('1.  LRAMVA Summary'!E$54:E$71)+SUM('1.  LRAMVA Summary'!E$72:E$73)*(MONTH($E116)-1)/12)*$H116</f>
        <v>24.217118356447106</v>
      </c>
      <c r="K116" s="230">
        <f>(SUM('1.  LRAMVA Summary'!F$54:F$71)+SUM('1.  LRAMVA Summary'!F$72:F$73)*(MONTH($E116)-1)/12)*$H116</f>
        <v>2.6960592071617886</v>
      </c>
      <c r="L116" s="230">
        <f>(SUM('1.  LRAMVA Summary'!G$54:G$71)+SUM('1.  LRAMVA Summary'!G$72:G$73)*(MONTH($E116)-1)/12)*$H116</f>
        <v>5.5427113541431945</v>
      </c>
      <c r="M116" s="230">
        <f>(SUM('1.  LRAMVA Summary'!H$54:H$71)+SUM('1.  LRAMVA Summary'!H$72:H$73)*(MONTH($E116)-1)/12)*$H116</f>
        <v>-1.4337404583333336E-2</v>
      </c>
      <c r="N116" s="230">
        <f>(SUM('1.  LRAMVA Summary'!I$54:I$71)+SUM('1.  LRAMVA Summary'!I$72:I$73)*(MONTH($E116)-1)/12)*$H116</f>
        <v>-12.830809649083331</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61.466429586790525</v>
      </c>
    </row>
    <row r="117" spans="2:23" s="9" customFormat="1" ht="15.75" thickBot="1">
      <c r="B117" s="66"/>
      <c r="E117" s="216" t="s">
        <v>468</v>
      </c>
      <c r="F117" s="216"/>
      <c r="G117" s="217"/>
      <c r="H117" s="218"/>
      <c r="I117" s="219">
        <f>SUM(I104:I116)</f>
        <v>550.71023326393424</v>
      </c>
      <c r="J117" s="219">
        <f>SUM(J104:J116)</f>
        <v>474.3498075396289</v>
      </c>
      <c r="K117" s="219">
        <f t="shared" ref="K117:O117" si="53">SUM(K104:K116)</f>
        <v>30.415946222973197</v>
      </c>
      <c r="L117" s="219">
        <f t="shared" si="53"/>
        <v>46.038497718347557</v>
      </c>
      <c r="M117" s="219">
        <f t="shared" si="53"/>
        <v>-0.22697918297083333</v>
      </c>
      <c r="N117" s="219">
        <f t="shared" si="53"/>
        <v>-256.40667107368677</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844.88083448822613</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432</v>
      </c>
      <c r="F119" s="225"/>
      <c r="G119" s="226"/>
      <c r="H119" s="227"/>
      <c r="I119" s="228">
        <f>I117+I118</f>
        <v>550.71023326393424</v>
      </c>
      <c r="J119" s="228">
        <f t="shared" ref="J119" si="55">J117+J118</f>
        <v>474.3498075396289</v>
      </c>
      <c r="K119" s="228">
        <f t="shared" ref="K119" si="56">K117+K118</f>
        <v>30.415946222973197</v>
      </c>
      <c r="L119" s="228">
        <f t="shared" ref="L119" si="57">L117+L118</f>
        <v>46.038497718347557</v>
      </c>
      <c r="M119" s="228">
        <f t="shared" ref="M119" si="58">M117+M118</f>
        <v>-0.22697918297083333</v>
      </c>
      <c r="N119" s="228">
        <f t="shared" ref="N119" si="59">N117+N118</f>
        <v>-256.40667107368677</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844.88083448822613</v>
      </c>
    </row>
    <row r="120" spans="2:23" s="9" customFormat="1">
      <c r="B120" s="66"/>
      <c r="E120" s="214">
        <v>43101</v>
      </c>
      <c r="F120" s="214" t="s">
        <v>185</v>
      </c>
      <c r="G120" s="215" t="s">
        <v>65</v>
      </c>
      <c r="H120" s="240">
        <f>$C$43/12</f>
        <v>1.25E-3</v>
      </c>
      <c r="I120" s="230">
        <f>(SUM('1.  LRAMVA Summary'!D$54:D$74)+SUM('1.  LRAMVA Summary'!D$75:D$76)*(MONTH($E120)-1)/12)*$H120</f>
        <v>43.36491342511632</v>
      </c>
      <c r="J120" s="230">
        <f>(SUM('1.  LRAMVA Summary'!E$54:E$74)+SUM('1.  LRAMVA Summary'!E$75:E$76)*(MONTH($E120)-1)/12)*$H120</f>
        <v>24.537608934664519</v>
      </c>
      <c r="K120" s="230">
        <f>(SUM('1.  LRAMVA Summary'!F$54:F$74)+SUM('1.  LRAMVA Summary'!F$75:F$76)*(MONTH($E120)-1)/12)*$H120</f>
        <v>2.7894007576636568</v>
      </c>
      <c r="L120" s="230">
        <f>(SUM('1.  LRAMVA Summary'!G$54:G$74)+SUM('1.  LRAMVA Summary'!G$75:G$76)*(MONTH($E120)-1)/12)*$H120</f>
        <v>5.8050739587474913</v>
      </c>
      <c r="M120" s="230">
        <f>(SUM('1.  LRAMVA Summary'!H$54:H$74)+SUM('1.  LRAMVA Summary'!H$75:H$76)*(MONTH($E120)-1)/12)*$H120</f>
        <v>-1.4725635000000001E-2</v>
      </c>
      <c r="N120" s="230">
        <f>(SUM('1.  LRAMVA Summary'!I$54:I$74)+SUM('1.  LRAMVA Summary'!I$75:I$76)*(MONTH($E120)-1)/12)*$H120</f>
        <v>-13.086995345149999</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63.395276096041982</v>
      </c>
    </row>
    <row r="121" spans="2:23" s="9" customFormat="1">
      <c r="B121" s="66"/>
      <c r="E121" s="214">
        <v>43132</v>
      </c>
      <c r="F121" s="214" t="s">
        <v>185</v>
      </c>
      <c r="G121" s="215" t="s">
        <v>65</v>
      </c>
      <c r="H121" s="240">
        <f t="shared" ref="H121:H122" si="62">$C$43/12</f>
        <v>1.25E-3</v>
      </c>
      <c r="I121" s="230">
        <f>(SUM('1.  LRAMVA Summary'!D$54:D$74)+SUM('1.  LRAMVA Summary'!D$75:D$76)*(MONTH($E121)-1)/12)*$H121</f>
        <v>44.256581406057293</v>
      </c>
      <c r="J121" s="230">
        <f>(SUM('1.  LRAMVA Summary'!E$54:E$74)+SUM('1.  LRAMVA Summary'!E$75:E$76)*(MONTH($E121)-1)/12)*$H121</f>
        <v>24.908776868334662</v>
      </c>
      <c r="K121" s="230">
        <f>(SUM('1.  LRAMVA Summary'!F$54:F$74)+SUM('1.  LRAMVA Summary'!F$75:F$76)*(MONTH($E121)-1)/12)*$H121</f>
        <v>2.9635899133022692</v>
      </c>
      <c r="L121" s="230">
        <f>(SUM('1.  LRAMVA Summary'!G$54:G$74)+SUM('1.  LRAMVA Summary'!G$75:G$76)*(MONTH($E121)-1)/12)*$H121</f>
        <v>6.1205280058301073</v>
      </c>
      <c r="M121" s="230">
        <f>(SUM('1.  LRAMVA Summary'!H$54:H$74)+SUM('1.  LRAMVA Summary'!H$75:H$76)*(MONTH($E121)-1)/12)*$H121</f>
        <v>-1.4725635000000001E-2</v>
      </c>
      <c r="N121" s="230">
        <f>(SUM('1.  LRAMVA Summary'!I$54:I$74)+SUM('1.  LRAMVA Summary'!I$75:I$76)*(MONTH($E121)-1)/12)*$H121</f>
        <v>-12.9676316846625</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65.267118873861847</v>
      </c>
    </row>
    <row r="122" spans="2:23" s="9" customFormat="1">
      <c r="B122" s="66"/>
      <c r="E122" s="214">
        <v>43160</v>
      </c>
      <c r="F122" s="214" t="s">
        <v>185</v>
      </c>
      <c r="G122" s="215" t="s">
        <v>65</v>
      </c>
      <c r="H122" s="240">
        <f t="shared" si="62"/>
        <v>1.25E-3</v>
      </c>
      <c r="I122" s="230">
        <f>(SUM('1.  LRAMVA Summary'!D$54:D$74)+SUM('1.  LRAMVA Summary'!D$75:D$76)*(MONTH($E122)-1)/12)*$H122</f>
        <v>45.148249386998266</v>
      </c>
      <c r="J122" s="230">
        <f>(SUM('1.  LRAMVA Summary'!E$54:E$74)+SUM('1.  LRAMVA Summary'!E$75:E$76)*(MONTH($E122)-1)/12)*$H122</f>
        <v>25.279944802004806</v>
      </c>
      <c r="K122" s="230">
        <f>(SUM('1.  LRAMVA Summary'!F$54:F$74)+SUM('1.  LRAMVA Summary'!F$75:F$76)*(MONTH($E122)-1)/12)*$H122</f>
        <v>3.137779068940882</v>
      </c>
      <c r="L122" s="230">
        <f>(SUM('1.  LRAMVA Summary'!G$54:G$74)+SUM('1.  LRAMVA Summary'!G$75:G$76)*(MONTH($E122)-1)/12)*$H122</f>
        <v>6.4359820529127241</v>
      </c>
      <c r="M122" s="230">
        <f>(SUM('1.  LRAMVA Summary'!H$54:H$74)+SUM('1.  LRAMVA Summary'!H$75:H$76)*(MONTH($E122)-1)/12)*$H122</f>
        <v>-1.4725635000000001E-2</v>
      </c>
      <c r="N122" s="230">
        <f>(SUM('1.  LRAMVA Summary'!I$54:I$74)+SUM('1.  LRAMVA Summary'!I$75:I$76)*(MONTH($E122)-1)/12)*$H122</f>
        <v>-12.848268024174999</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67.138961651681683</v>
      </c>
    </row>
    <row r="123" spans="2:23" s="8" customFormat="1">
      <c r="B123" s="239"/>
      <c r="E123" s="214">
        <v>43191</v>
      </c>
      <c r="F123" s="214" t="s">
        <v>185</v>
      </c>
      <c r="G123" s="215" t="s">
        <v>66</v>
      </c>
      <c r="H123" s="240">
        <f>$C$44/12</f>
        <v>1.575E-3</v>
      </c>
      <c r="I123" s="230">
        <f>(SUM('1.  LRAMVA Summary'!D$54:D$74)+SUM('1.  LRAMVA Summary'!D$75:D$76)*(MONTH($E123)-1)/12)*$H123</f>
        <v>58.010295883603447</v>
      </c>
      <c r="J123" s="230">
        <f>(SUM('1.  LRAMVA Summary'!E$54:E$74)+SUM('1.  LRAMVA Summary'!E$75:E$76)*(MONTH($E123)-1)/12)*$H123</f>
        <v>32.320402046950441</v>
      </c>
      <c r="K123" s="230">
        <f>(SUM('1.  LRAMVA Summary'!F$54:F$74)+SUM('1.  LRAMVA Summary'!F$75:F$76)*(MONTH($E123)-1)/12)*$H123</f>
        <v>4.1730799629701627</v>
      </c>
      <c r="L123" s="230">
        <f>(SUM('1.  LRAMVA Summary'!G$54:G$74)+SUM('1.  LRAMVA Summary'!G$75:G$76)*(MONTH($E123)-1)/12)*$H123</f>
        <v>8.5068094859941272</v>
      </c>
      <c r="M123" s="230">
        <f>(SUM('1.  LRAMVA Summary'!H$54:H$74)+SUM('1.  LRAMVA Summary'!H$75:H$76)*(MONTH($E123)-1)/12)*$H123</f>
        <v>-1.8554300100000001E-2</v>
      </c>
      <c r="N123" s="230">
        <f>(SUM('1.  LRAMVA Summary'!I$54:I$74)+SUM('1.  LRAMVA Summary'!I$75:I$76)*(MONTH($E123)-1)/12)*$H123</f>
        <v>-16.038419498246245</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86.953613581171936</v>
      </c>
    </row>
    <row r="124" spans="2:23" s="9" customFormat="1">
      <c r="B124" s="66"/>
      <c r="E124" s="214">
        <v>43221</v>
      </c>
      <c r="F124" s="214" t="s">
        <v>185</v>
      </c>
      <c r="G124" s="215" t="s">
        <v>66</v>
      </c>
      <c r="H124" s="240">
        <f t="shared" ref="H124:H125" si="64">$C$44/12</f>
        <v>1.575E-3</v>
      </c>
      <c r="I124" s="230">
        <f>(SUM('1.  LRAMVA Summary'!D$54:D$74)+SUM('1.  LRAMVA Summary'!D$75:D$76)*(MONTH($E124)-1)/12)*$H124</f>
        <v>59.133797539589075</v>
      </c>
      <c r="J124" s="230">
        <f>(SUM('1.  LRAMVA Summary'!E$54:E$74)+SUM('1.  LRAMVA Summary'!E$75:E$76)*(MONTH($E124)-1)/12)*$H124</f>
        <v>32.788073643374823</v>
      </c>
      <c r="K124" s="230">
        <f>(SUM('1.  LRAMVA Summary'!F$54:F$74)+SUM('1.  LRAMVA Summary'!F$75:F$76)*(MONTH($E124)-1)/12)*$H124</f>
        <v>4.3925582990748149</v>
      </c>
      <c r="L124" s="230">
        <f>(SUM('1.  LRAMVA Summary'!G$54:G$74)+SUM('1.  LRAMVA Summary'!G$75:G$76)*(MONTH($E124)-1)/12)*$H124</f>
        <v>8.9042815853182251</v>
      </c>
      <c r="M124" s="230">
        <f>(SUM('1.  LRAMVA Summary'!H$54:H$74)+SUM('1.  LRAMVA Summary'!H$75:H$76)*(MONTH($E124)-1)/12)*$H124</f>
        <v>-1.8554300100000001E-2</v>
      </c>
      <c r="N124" s="230">
        <f>(SUM('1.  LRAMVA Summary'!I$54:I$74)+SUM('1.  LRAMVA Summary'!I$75:I$76)*(MONTH($E124)-1)/12)*$H124</f>
        <v>-15.888021286031998</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89.312135481224942</v>
      </c>
    </row>
    <row r="125" spans="2:23" s="238" customFormat="1">
      <c r="B125" s="237"/>
      <c r="E125" s="214">
        <v>43252</v>
      </c>
      <c r="F125" s="214" t="s">
        <v>185</v>
      </c>
      <c r="G125" s="215" t="s">
        <v>66</v>
      </c>
      <c r="H125" s="240">
        <f t="shared" si="64"/>
        <v>1.575E-3</v>
      </c>
      <c r="I125" s="230">
        <f>(SUM('1.  LRAMVA Summary'!D$54:D$74)+SUM('1.  LRAMVA Summary'!D$75:D$76)*(MONTH($E125)-1)/12)*$H125</f>
        <v>60.257299195574703</v>
      </c>
      <c r="J125" s="230">
        <f>(SUM('1.  LRAMVA Summary'!E$54:E$74)+SUM('1.  LRAMVA Summary'!E$75:E$76)*(MONTH($E125)-1)/12)*$H125</f>
        <v>33.255745239799204</v>
      </c>
      <c r="K125" s="230">
        <f>(SUM('1.  LRAMVA Summary'!F$54:F$74)+SUM('1.  LRAMVA Summary'!F$75:F$76)*(MONTH($E125)-1)/12)*$H125</f>
        <v>4.6120366351794662</v>
      </c>
      <c r="L125" s="230">
        <f>(SUM('1.  LRAMVA Summary'!G$54:G$74)+SUM('1.  LRAMVA Summary'!G$75:G$76)*(MONTH($E125)-1)/12)*$H125</f>
        <v>9.3017536846423212</v>
      </c>
      <c r="M125" s="230">
        <f>(SUM('1.  LRAMVA Summary'!H$54:H$74)+SUM('1.  LRAMVA Summary'!H$75:H$76)*(MONTH($E125)-1)/12)*$H125</f>
        <v>-1.8554300100000001E-2</v>
      </c>
      <c r="N125" s="230">
        <f>(SUM('1.  LRAMVA Summary'!I$54:I$74)+SUM('1.  LRAMVA Summary'!I$75:I$76)*(MONTH($E125)-1)/12)*$H125</f>
        <v>-15.737623073817748</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91.670657381277934</v>
      </c>
    </row>
    <row r="126" spans="2:23" s="9" customFormat="1">
      <c r="B126" s="66"/>
      <c r="E126" s="214">
        <v>43282</v>
      </c>
      <c r="F126" s="214" t="s">
        <v>185</v>
      </c>
      <c r="G126" s="215" t="s">
        <v>68</v>
      </c>
      <c r="H126" s="240">
        <f>$C$45/12</f>
        <v>1.575E-3</v>
      </c>
      <c r="I126" s="230">
        <f>(SUM('1.  LRAMVA Summary'!D$54:D$74)+SUM('1.  LRAMVA Summary'!D$75:D$76)*(MONTH($E126)-1)/12)*$H126</f>
        <v>61.38080085156033</v>
      </c>
      <c r="J126" s="230">
        <f>(SUM('1.  LRAMVA Summary'!E$54:E$74)+SUM('1.  LRAMVA Summary'!E$75:E$76)*(MONTH($E126)-1)/12)*$H126</f>
        <v>33.723416836223585</v>
      </c>
      <c r="K126" s="230">
        <f>(SUM('1.  LRAMVA Summary'!F$54:F$74)+SUM('1.  LRAMVA Summary'!F$75:F$76)*(MONTH($E126)-1)/12)*$H126</f>
        <v>4.8315149712841183</v>
      </c>
      <c r="L126" s="230">
        <f>(SUM('1.  LRAMVA Summary'!G$54:G$74)+SUM('1.  LRAMVA Summary'!G$75:G$76)*(MONTH($E126)-1)/12)*$H126</f>
        <v>9.6992257839664191</v>
      </c>
      <c r="M126" s="230">
        <f>(SUM('1.  LRAMVA Summary'!H$54:H$74)+SUM('1.  LRAMVA Summary'!H$75:H$76)*(MONTH($E126)-1)/12)*$H126</f>
        <v>-1.8554300100000001E-2</v>
      </c>
      <c r="N126" s="230">
        <f>(SUM('1.  LRAMVA Summary'!I$54:I$74)+SUM('1.  LRAMVA Summary'!I$75:I$76)*(MONTH($E126)-1)/12)*$H126</f>
        <v>-15.587224861603499</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94.029179281330954</v>
      </c>
    </row>
    <row r="127" spans="2:23" s="9" customFormat="1">
      <c r="B127" s="66"/>
      <c r="E127" s="214">
        <v>43313</v>
      </c>
      <c r="F127" s="214" t="s">
        <v>185</v>
      </c>
      <c r="G127" s="215" t="s">
        <v>68</v>
      </c>
      <c r="H127" s="240">
        <f t="shared" ref="H127:H128" si="65">$C$45/12</f>
        <v>1.575E-3</v>
      </c>
      <c r="I127" s="230">
        <f>(SUM('1.  LRAMVA Summary'!D$54:D$74)+SUM('1.  LRAMVA Summary'!D$75:D$76)*(MONTH($E127)-1)/12)*$H127</f>
        <v>62.504302507545958</v>
      </c>
      <c r="J127" s="230">
        <f>(SUM('1.  LRAMVA Summary'!E$54:E$74)+SUM('1.  LRAMVA Summary'!E$75:E$76)*(MONTH($E127)-1)/12)*$H127</f>
        <v>34.191088432647966</v>
      </c>
      <c r="K127" s="230">
        <f>(SUM('1.  LRAMVA Summary'!F$54:F$74)+SUM('1.  LRAMVA Summary'!F$75:F$76)*(MONTH($E127)-1)/12)*$H127</f>
        <v>5.0509933073887696</v>
      </c>
      <c r="L127" s="230">
        <f>(SUM('1.  LRAMVA Summary'!G$54:G$74)+SUM('1.  LRAMVA Summary'!G$75:G$76)*(MONTH($E127)-1)/12)*$H127</f>
        <v>10.096697883290513</v>
      </c>
      <c r="M127" s="230">
        <f>(SUM('1.  LRAMVA Summary'!H$54:H$74)+SUM('1.  LRAMVA Summary'!H$75:H$76)*(MONTH($E127)-1)/12)*$H127</f>
        <v>-1.8554300100000001E-2</v>
      </c>
      <c r="N127" s="230">
        <f>(SUM('1.  LRAMVA Summary'!I$54:I$74)+SUM('1.  LRAMVA Summary'!I$75:I$76)*(MONTH($E127)-1)/12)*$H127</f>
        <v>-15.43682664938925</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96.38770118138396</v>
      </c>
    </row>
    <row r="128" spans="2:23" s="9" customFormat="1">
      <c r="B128" s="66"/>
      <c r="E128" s="214">
        <v>43344</v>
      </c>
      <c r="F128" s="214" t="s">
        <v>185</v>
      </c>
      <c r="G128" s="215" t="s">
        <v>68</v>
      </c>
      <c r="H128" s="240">
        <f t="shared" si="65"/>
        <v>1.575E-3</v>
      </c>
      <c r="I128" s="230">
        <f>(SUM('1.  LRAMVA Summary'!D$54:D$74)+SUM('1.  LRAMVA Summary'!D$75:D$76)*(MONTH($E128)-1)/12)*$H128</f>
        <v>63.627804163531586</v>
      </c>
      <c r="J128" s="230">
        <f>(SUM('1.  LRAMVA Summary'!E$54:E$74)+SUM('1.  LRAMVA Summary'!E$75:E$76)*(MONTH($E128)-1)/12)*$H128</f>
        <v>34.658760029072347</v>
      </c>
      <c r="K128" s="230">
        <f>(SUM('1.  LRAMVA Summary'!F$54:F$74)+SUM('1.  LRAMVA Summary'!F$75:F$76)*(MONTH($E128)-1)/12)*$H128</f>
        <v>5.2704716434934218</v>
      </c>
      <c r="L128" s="230">
        <f>(SUM('1.  LRAMVA Summary'!G$54:G$74)+SUM('1.  LRAMVA Summary'!G$75:G$76)*(MONTH($E128)-1)/12)*$H128</f>
        <v>10.49416998261461</v>
      </c>
      <c r="M128" s="230">
        <f>(SUM('1.  LRAMVA Summary'!H$54:H$74)+SUM('1.  LRAMVA Summary'!H$75:H$76)*(MONTH($E128)-1)/12)*$H128</f>
        <v>-1.8554300100000001E-2</v>
      </c>
      <c r="N128" s="230">
        <f>(SUM('1.  LRAMVA Summary'!I$54:I$74)+SUM('1.  LRAMVA Summary'!I$75:I$76)*(MONTH($E128)-1)/12)*$H128</f>
        <v>-15.286428437174999</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98.746223081436952</v>
      </c>
    </row>
    <row r="129" spans="2:23" s="9" customFormat="1">
      <c r="B129" s="66"/>
      <c r="E129" s="214">
        <v>43374</v>
      </c>
      <c r="F129" s="214" t="s">
        <v>185</v>
      </c>
      <c r="G129" s="215" t="s">
        <v>69</v>
      </c>
      <c r="H129" s="240">
        <f>$C$46/12</f>
        <v>0</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0</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0</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469</v>
      </c>
      <c r="F132" s="216"/>
      <c r="G132" s="217"/>
      <c r="H132" s="218"/>
      <c r="I132" s="219">
        <f>SUM(I119:I131)</f>
        <v>1048.3942776235112</v>
      </c>
      <c r="J132" s="219">
        <f>SUM(J119:J131)</f>
        <v>750.01362437270132</v>
      </c>
      <c r="K132" s="219">
        <f t="shared" ref="K132:O132" si="67">SUM(K119:K131)</f>
        <v>67.63737078227075</v>
      </c>
      <c r="L132" s="219">
        <f t="shared" si="67"/>
        <v>121.40302014166411</v>
      </c>
      <c r="M132" s="219">
        <f t="shared" si="67"/>
        <v>-0.38248188857083321</v>
      </c>
      <c r="N132" s="219">
        <f t="shared" si="67"/>
        <v>-389.284109933938</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1597.7817010976385</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433</v>
      </c>
      <c r="F134" s="225"/>
      <c r="G134" s="226"/>
      <c r="H134" s="227"/>
      <c r="I134" s="228">
        <f>I132+I133</f>
        <v>1048.3942776235112</v>
      </c>
      <c r="J134" s="228">
        <f t="shared" ref="J134" si="69">J132+J133</f>
        <v>750.01362437270132</v>
      </c>
      <c r="K134" s="228">
        <f t="shared" ref="K134" si="70">K132+K133</f>
        <v>67.63737078227075</v>
      </c>
      <c r="L134" s="228">
        <f t="shared" ref="L134" si="71">L132+L133</f>
        <v>121.40302014166411</v>
      </c>
      <c r="M134" s="228">
        <f t="shared" ref="M134" si="72">M132+M133</f>
        <v>-0.38248188857083321</v>
      </c>
      <c r="N134" s="228">
        <f t="shared" ref="N134" si="73">N132+N133</f>
        <v>-389.284109933938</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1597.7817010976385</v>
      </c>
    </row>
    <row r="135" spans="2:23" s="9" customFormat="1">
      <c r="B135" s="66"/>
      <c r="E135" s="214">
        <v>43466</v>
      </c>
      <c r="F135" s="214" t="s">
        <v>186</v>
      </c>
      <c r="G135" s="215" t="s">
        <v>65</v>
      </c>
      <c r="H135" s="240">
        <f>$C$47/12</f>
        <v>0</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0</v>
      </c>
      <c r="I136" s="230">
        <f>(SUM('1.  LRAMVA Summary'!D$54:D$77)+SUM('1.  LRAMVA Summary'!D$78:D$79)*(MONTH($E136)-1)/12)*$H136</f>
        <v>0</v>
      </c>
      <c r="J136" s="230">
        <f>(SUM('1.  LRAMVA Summary'!E$54:E$77)+SUM('1.  LRAMVA Summary'!E$78:E$79)*(MONTH($E136)-1)/12)*$H136</f>
        <v>0</v>
      </c>
      <c r="K136" s="230">
        <f>(SUM('1.  LRAMVA Summary'!F$54:F$77)+SUM('1.  LRAMVA Summary'!F$78:F$79)*(MONTH($E136)-1)/12)*$H136</f>
        <v>0</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0</v>
      </c>
    </row>
    <row r="137" spans="2:23" s="9" customFormat="1">
      <c r="B137" s="66"/>
      <c r="E137" s="214">
        <v>43525</v>
      </c>
      <c r="F137" s="214" t="s">
        <v>186</v>
      </c>
      <c r="G137" s="215" t="s">
        <v>65</v>
      </c>
      <c r="H137" s="240">
        <f t="shared" si="75"/>
        <v>0</v>
      </c>
      <c r="I137" s="230">
        <f>(SUM('1.  LRAMVA Summary'!D$54:D$77)+SUM('1.  LRAMVA Summary'!D$78:D$79)*(MONTH($E137)-1)/12)*$H137</f>
        <v>0</v>
      </c>
      <c r="J137" s="230">
        <f>(SUM('1.  LRAMVA Summary'!E$54:E$77)+SUM('1.  LRAMVA Summary'!E$78:E$79)*(MONTH($E137)-1)/12)*$H137</f>
        <v>0</v>
      </c>
      <c r="K137" s="230">
        <f>(SUM('1.  LRAMVA Summary'!F$54:F$77)+SUM('1.  LRAMVA Summary'!F$78:F$79)*(MONTH($E137)-1)/12)*$H137</f>
        <v>0</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0</v>
      </c>
    </row>
    <row r="138" spans="2:23" s="8" customFormat="1">
      <c r="B138" s="239"/>
      <c r="E138" s="214">
        <v>43556</v>
      </c>
      <c r="F138" s="214" t="s">
        <v>186</v>
      </c>
      <c r="G138" s="215" t="s">
        <v>66</v>
      </c>
      <c r="H138" s="240">
        <f>$C$48/12</f>
        <v>0</v>
      </c>
      <c r="I138" s="230">
        <f>(SUM('1.  LRAMVA Summary'!D$54:D$77)+SUM('1.  LRAMVA Summary'!D$78:D$79)*(MONTH($E138)-1)/12)*$H138</f>
        <v>0</v>
      </c>
      <c r="J138" s="230">
        <f>(SUM('1.  LRAMVA Summary'!E$54:E$77)+SUM('1.  LRAMVA Summary'!E$78:E$79)*(MONTH($E138)-1)/12)*$H138</f>
        <v>0</v>
      </c>
      <c r="K138" s="230">
        <f>(SUM('1.  LRAMVA Summary'!F$54:F$77)+SUM('1.  LRAMVA Summary'!F$78:F$79)*(MONTH($E138)-1)/12)*$H138</f>
        <v>0</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0</v>
      </c>
    </row>
    <row r="139" spans="2:23" s="9" customFormat="1">
      <c r="B139" s="66"/>
      <c r="E139" s="214">
        <v>43586</v>
      </c>
      <c r="F139" s="214" t="s">
        <v>186</v>
      </c>
      <c r="G139" s="215" t="s">
        <v>66</v>
      </c>
      <c r="H139" s="240">
        <f>$C$48/12</f>
        <v>0</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240">
        <f t="shared" ref="H140" si="77">$C$48/12</f>
        <v>0</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0</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0</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0</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0</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0</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0</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75" thickBot="1">
      <c r="B147" s="66"/>
      <c r="E147" s="216" t="s">
        <v>470</v>
      </c>
      <c r="F147" s="216"/>
      <c r="G147" s="217"/>
      <c r="H147" s="218"/>
      <c r="I147" s="219">
        <f>SUM(I134:I146)</f>
        <v>1048.3942776235112</v>
      </c>
      <c r="J147" s="219">
        <f>SUM(J134:J146)</f>
        <v>750.01362437270132</v>
      </c>
      <c r="K147" s="219">
        <f t="shared" ref="K147:O147" si="80">SUM(K134:K146)</f>
        <v>67.63737078227075</v>
      </c>
      <c r="L147" s="219">
        <f t="shared" si="80"/>
        <v>121.40302014166411</v>
      </c>
      <c r="M147" s="219">
        <f t="shared" si="80"/>
        <v>-0.38248188857083321</v>
      </c>
      <c r="N147" s="219">
        <f t="shared" si="80"/>
        <v>-389.284109933938</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1597.7817010976385</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434</v>
      </c>
      <c r="F149" s="225"/>
      <c r="G149" s="226"/>
      <c r="H149" s="227"/>
      <c r="I149" s="228">
        <f>I147+I148</f>
        <v>1048.3942776235112</v>
      </c>
      <c r="J149" s="228">
        <f t="shared" ref="J149" si="82">J147+J148</f>
        <v>750.01362437270132</v>
      </c>
      <c r="K149" s="228">
        <f t="shared" ref="K149" si="83">K147+K148</f>
        <v>67.63737078227075</v>
      </c>
      <c r="L149" s="228">
        <f t="shared" ref="L149" si="84">L147+L148</f>
        <v>121.40302014166411</v>
      </c>
      <c r="M149" s="228">
        <f t="shared" ref="M149" si="85">M147+M148</f>
        <v>-0.38248188857083321</v>
      </c>
      <c r="N149" s="228">
        <f t="shared" ref="N149" si="86">N147+N148</f>
        <v>-389.284109933938</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1597.7817010976385</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0</v>
      </c>
    </row>
    <row r="152" spans="2:23" s="9" customFormat="1">
      <c r="B152" s="66"/>
      <c r="E152" s="214">
        <v>43891</v>
      </c>
      <c r="F152" s="214" t="s">
        <v>187</v>
      </c>
      <c r="G152" s="215" t="s">
        <v>65</v>
      </c>
      <c r="H152" s="240">
        <f t="shared" si="88"/>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v>
      </c>
    </row>
    <row r="154" spans="2:23" s="9" customFormat="1">
      <c r="B154" s="66"/>
      <c r="E154" s="214">
        <v>43952</v>
      </c>
      <c r="F154" s="214" t="s">
        <v>187</v>
      </c>
      <c r="G154" s="215" t="s">
        <v>66</v>
      </c>
      <c r="H154" s="240">
        <f t="shared" ref="H154:H155" si="90">$C$52/12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f t="shared" si="9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1">$C$53/12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1"/>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471</v>
      </c>
      <c r="F162" s="216"/>
      <c r="G162" s="217"/>
      <c r="H162" s="218"/>
      <c r="I162" s="219">
        <f>SUM(I149:I161)</f>
        <v>1048.3942776235112</v>
      </c>
      <c r="J162" s="219">
        <f>SUM(J149:J161)</f>
        <v>750.01362437270132</v>
      </c>
      <c r="K162" s="219">
        <f t="shared" ref="K162:O162" si="93">SUM(K149:K161)</f>
        <v>67.63737078227075</v>
      </c>
      <c r="L162" s="219">
        <f t="shared" si="93"/>
        <v>121.40302014166411</v>
      </c>
      <c r="M162" s="219">
        <f t="shared" si="93"/>
        <v>-0.38248188857083321</v>
      </c>
      <c r="N162" s="219">
        <f t="shared" si="93"/>
        <v>-389.284109933938</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1597.7817010976385</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529</v>
      </c>
    </row>
  </sheetData>
  <dataConsolidate/>
  <mergeCells count="4">
    <mergeCell ref="B12:C12"/>
    <mergeCell ref="C8:S8"/>
    <mergeCell ref="C9:S9"/>
    <mergeCell ref="C10:S10"/>
  </mergeCells>
  <hyperlinks>
    <hyperlink ref="B56" r:id="rId1" xr:uid="{00000000-0004-0000-0A00-000000000000}"/>
    <hyperlink ref="E165" location="'6.  Carrying Charges'!A1" display="Return to top" xr:uid="{00000000-0004-0000-0A00-000001000000}"/>
    <hyperlink ref="K12" location="Table_1_b.__Annual_LRAMVA_Breakdown_by_Year_and_Rate_Class" display="Go to Tab 1: Summary" xr:uid="{00000000-0004-0000-0A00-000002000000}"/>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BU122"/>
  <sheetViews>
    <sheetView zoomScale="90" zoomScaleNormal="90" workbookViewId="0">
      <selection activeCell="E15" sqref="E15"/>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407</v>
      </c>
      <c r="E13" s="17"/>
      <c r="F13" s="177"/>
      <c r="G13" s="178"/>
      <c r="H13" s="179"/>
      <c r="K13" s="179"/>
      <c r="L13" s="177"/>
      <c r="M13" s="177"/>
      <c r="N13" s="177"/>
      <c r="O13" s="177"/>
      <c r="P13" s="177"/>
      <c r="Q13" s="180"/>
    </row>
    <row r="14" spans="2:73" ht="30" customHeight="1" outlineLevel="1" thickBot="1">
      <c r="B14" s="90"/>
      <c r="D14" s="610" t="s">
        <v>554</v>
      </c>
      <c r="I14" s="12"/>
      <c r="J14" s="12"/>
      <c r="BU14" s="12"/>
    </row>
    <row r="15" spans="2:73" ht="26.25" customHeight="1" outlineLevel="1">
      <c r="C15" s="90"/>
      <c r="I15" s="12"/>
      <c r="J15" s="12"/>
    </row>
    <row r="16" spans="2:73" ht="23.25" customHeight="1" outlineLevel="1">
      <c r="B16" s="116" t="s">
        <v>507</v>
      </c>
      <c r="C16" s="90"/>
      <c r="D16" s="615" t="s">
        <v>617</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611</v>
      </c>
      <c r="C17" s="90"/>
      <c r="D17" s="611" t="s">
        <v>589</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624</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623</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625</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635</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594</v>
      </c>
      <c r="H23" s="10"/>
      <c r="I23" s="10"/>
      <c r="J23" s="10"/>
    </row>
    <row r="24" spans="2:73" s="670" customFormat="1" ht="21" customHeight="1">
      <c r="B24" s="702" t="s">
        <v>598</v>
      </c>
      <c r="C24" s="813" t="s">
        <v>599</v>
      </c>
      <c r="D24" s="813"/>
      <c r="E24" s="813"/>
      <c r="F24" s="813"/>
      <c r="G24" s="813"/>
      <c r="H24" s="678" t="s">
        <v>596</v>
      </c>
      <c r="I24" s="678" t="s">
        <v>595</v>
      </c>
      <c r="J24" s="678" t="s">
        <v>597</v>
      </c>
      <c r="K24" s="669"/>
      <c r="L24" s="670" t="s">
        <v>599</v>
      </c>
      <c r="AQ24" s="670" t="s">
        <v>599</v>
      </c>
      <c r="BU24" s="669"/>
    </row>
    <row r="25" spans="2:73" s="250" customFormat="1" ht="49.5" customHeight="1">
      <c r="B25" s="245" t="s">
        <v>474</v>
      </c>
      <c r="C25" s="245" t="s">
        <v>211</v>
      </c>
      <c r="D25" s="628" t="s">
        <v>475</v>
      </c>
      <c r="E25" s="245" t="s">
        <v>208</v>
      </c>
      <c r="F25" s="245" t="s">
        <v>476</v>
      </c>
      <c r="G25" s="245" t="s">
        <v>477</v>
      </c>
      <c r="H25" s="628" t="s">
        <v>478</v>
      </c>
      <c r="I25" s="636" t="s">
        <v>587</v>
      </c>
      <c r="J25" s="643" t="s">
        <v>588</v>
      </c>
      <c r="K25" s="641"/>
      <c r="L25" s="246" t="s">
        <v>479</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480</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75">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75">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75">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75">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75">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75">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75">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75">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75">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75">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75">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75">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75">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75">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75">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75">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75">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xr:uid="{00000000-0009-0000-0000-00000B000000}">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0000000}">
          <x14:formula1>
            <xm:f>DropDownList!$G$2:$G$11</xm:f>
          </x14:formula1>
          <xm:sqref>I27:I1048576</xm:sqref>
        </x14:dataValidation>
        <x14:dataValidation type="list" allowBlank="1" showInputMessage="1" showErrorMessage="1" xr:uid="{00000000-0002-0000-0B00-000001000000}">
          <x14:formula1>
            <xm:f>DropDownList!$H$2:$H$3</xm:f>
          </x14:formula1>
          <xm:sqref>J27:J1048576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4:X16"/>
  <sheetViews>
    <sheetView zoomScale="90" zoomScaleNormal="90" workbookViewId="0">
      <selection activeCell="D19" sqref="D19"/>
    </sheetView>
  </sheetViews>
  <sheetFormatPr defaultColWidth="9.140625" defaultRowHeight="15"/>
  <cols>
    <col min="1" max="16384" width="9.140625" style="12"/>
  </cols>
  <sheetData>
    <row r="14" spans="2:24" ht="15.75">
      <c r="B14" s="588" t="s">
        <v>507</v>
      </c>
    </row>
    <row r="15" spans="2:24" ht="15.75">
      <c r="B15" s="588"/>
    </row>
    <row r="16" spans="2:24" s="668" customFormat="1" ht="28.5" customHeight="1">
      <c r="B16" s="814" t="s">
        <v>636</v>
      </c>
      <c r="C16" s="814"/>
      <c r="D16" s="814"/>
      <c r="E16" s="814"/>
      <c r="F16" s="814"/>
      <c r="G16" s="814"/>
      <c r="H16" s="814"/>
      <c r="I16" s="814"/>
      <c r="J16" s="814"/>
      <c r="K16" s="814"/>
      <c r="L16" s="814"/>
      <c r="M16" s="814"/>
      <c r="N16" s="814"/>
      <c r="O16" s="814"/>
      <c r="P16" s="814"/>
      <c r="Q16" s="814"/>
      <c r="R16" s="814"/>
      <c r="S16" s="814"/>
      <c r="T16" s="814"/>
      <c r="U16" s="814"/>
      <c r="V16" s="814"/>
      <c r="W16" s="814"/>
      <c r="X16" s="814"/>
    </row>
  </sheetData>
  <mergeCells count="1">
    <mergeCell ref="B16:X1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zoomScale="90" zoomScaleNormal="90" workbookViewId="0">
      <selection activeCell="C19" sqref="C19"/>
    </sheetView>
  </sheetViews>
  <sheetFormatPr defaultColWidth="9.140625" defaultRowHeight="15"/>
  <cols>
    <col min="1" max="16384" width="9.140625" style="12"/>
  </cols>
  <sheetData>
    <row r="12" spans="2:22" ht="24" customHeight="1"/>
    <row r="13" spans="2:22" ht="15.75">
      <c r="B13" s="588" t="s">
        <v>507</v>
      </c>
    </row>
    <row r="14" spans="2:22" ht="15.75">
      <c r="B14" s="588"/>
    </row>
    <row r="15" spans="2:22" s="668" customFormat="1" ht="27" customHeight="1">
      <c r="B15" s="666" t="s">
        <v>670</v>
      </c>
      <c r="C15" s="667"/>
      <c r="D15" s="667"/>
      <c r="E15" s="667"/>
      <c r="F15" s="667"/>
      <c r="G15" s="667"/>
      <c r="H15" s="667"/>
      <c r="I15" s="667"/>
      <c r="J15" s="667"/>
      <c r="K15" s="667"/>
      <c r="L15" s="667"/>
      <c r="M15" s="667"/>
      <c r="N15" s="667"/>
      <c r="O15" s="667"/>
      <c r="P15" s="667"/>
      <c r="Q15" s="667"/>
      <c r="R15" s="667"/>
      <c r="S15" s="667"/>
      <c r="T15" s="667"/>
      <c r="U15" s="667"/>
      <c r="V15" s="66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34"/>
  <sheetViews>
    <sheetView zoomScale="80" zoomScaleNormal="80" workbookViewId="0">
      <selection activeCell="E11" sqref="E11"/>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63" t="s">
        <v>677</v>
      </c>
      <c r="C3" s="764"/>
      <c r="D3" s="764"/>
      <c r="E3" s="764"/>
      <c r="F3" s="765"/>
      <c r="G3" s="122"/>
    </row>
    <row r="4" spans="2:20" ht="16.5" customHeight="1">
      <c r="B4" s="766"/>
      <c r="C4" s="767"/>
      <c r="D4" s="767"/>
      <c r="E4" s="767"/>
      <c r="F4" s="768"/>
      <c r="G4" s="122"/>
    </row>
    <row r="5" spans="2:20" ht="71.25" customHeight="1">
      <c r="B5" s="766"/>
      <c r="C5" s="767"/>
      <c r="D5" s="767"/>
      <c r="E5" s="767"/>
      <c r="F5" s="768"/>
      <c r="G5" s="122"/>
    </row>
    <row r="6" spans="2:20" ht="21.75" customHeight="1">
      <c r="B6" s="769"/>
      <c r="C6" s="770"/>
      <c r="D6" s="770"/>
      <c r="E6" s="770"/>
      <c r="F6" s="771"/>
      <c r="G6" s="122"/>
    </row>
    <row r="8" spans="2:20" ht="21">
      <c r="B8" s="762" t="s">
        <v>482</v>
      </c>
      <c r="C8" s="762"/>
      <c r="D8" s="762"/>
      <c r="E8" s="762"/>
      <c r="F8" s="762"/>
      <c r="G8" s="762"/>
    </row>
    <row r="9" spans="2:20" ht="24.75" customHeight="1" thickBot="1">
      <c r="B9" s="114"/>
      <c r="C9" s="114"/>
      <c r="D9" s="114"/>
      <c r="E9" s="114"/>
      <c r="F9" s="114"/>
      <c r="G9" s="119"/>
    </row>
    <row r="10" spans="2:20" ht="27.75" customHeight="1" thickBot="1">
      <c r="B10" s="117" t="s">
        <v>171</v>
      </c>
      <c r="C10" s="102" t="s">
        <v>407</v>
      </c>
      <c r="D10" s="114"/>
      <c r="E10" s="114"/>
      <c r="F10" s="114"/>
      <c r="G10" s="119"/>
    </row>
    <row r="11" spans="2:20">
      <c r="B11" s="114"/>
      <c r="C11" s="114"/>
      <c r="D11" s="114"/>
      <c r="E11" s="114"/>
      <c r="F11" s="114"/>
      <c r="G11" s="119"/>
    </row>
    <row r="12" spans="2:20" s="9" customFormat="1" ht="31.5" customHeight="1" thickBot="1">
      <c r="B12" s="83" t="s">
        <v>592</v>
      </c>
      <c r="G12" s="28"/>
      <c r="L12" s="33"/>
      <c r="M12" s="33"/>
      <c r="N12" s="33"/>
      <c r="O12" s="33"/>
      <c r="P12" s="33"/>
      <c r="Q12" s="68"/>
      <c r="S12" s="8"/>
      <c r="T12" s="8"/>
    </row>
    <row r="13" spans="2:20" s="9" customFormat="1" ht="26.25" customHeight="1" thickBot="1">
      <c r="B13" s="102"/>
      <c r="C13" s="124" t="s">
        <v>631</v>
      </c>
      <c r="G13" s="109"/>
      <c r="L13" s="33"/>
      <c r="M13" s="33"/>
      <c r="N13" s="33"/>
      <c r="O13" s="33"/>
      <c r="P13" s="33"/>
      <c r="Q13" s="68"/>
      <c r="S13" s="8"/>
      <c r="T13" s="8"/>
    </row>
    <row r="14" spans="2:20" s="9" customFormat="1" ht="26.25" customHeight="1" thickBot="1">
      <c r="B14" s="102"/>
      <c r="C14" s="172" t="s">
        <v>626</v>
      </c>
      <c r="G14" s="123"/>
      <c r="L14" s="33"/>
      <c r="M14" s="33"/>
      <c r="N14" s="33"/>
      <c r="O14" s="33"/>
      <c r="P14" s="33"/>
      <c r="Q14" s="68"/>
      <c r="S14" s="8"/>
      <c r="T14" s="8"/>
    </row>
    <row r="15" spans="2:20" s="9" customFormat="1" ht="26.25" customHeight="1" thickBot="1">
      <c r="B15" s="102"/>
      <c r="C15" s="172" t="s">
        <v>627</v>
      </c>
      <c r="G15" s="123"/>
      <c r="L15" s="33"/>
      <c r="M15" s="33"/>
      <c r="N15" s="33"/>
      <c r="O15" s="33"/>
      <c r="P15" s="33"/>
      <c r="Q15" s="68"/>
      <c r="S15" s="8"/>
      <c r="T15" s="8"/>
    </row>
    <row r="16" spans="2:20" s="9" customFormat="1" ht="26.25" customHeight="1" thickBot="1">
      <c r="B16" s="102"/>
      <c r="C16" s="172" t="s">
        <v>628</v>
      </c>
      <c r="G16" s="123"/>
      <c r="L16" s="33"/>
      <c r="M16" s="33"/>
      <c r="N16" s="33"/>
      <c r="O16" s="33"/>
      <c r="P16" s="33"/>
      <c r="Q16" s="68"/>
      <c r="S16" s="8"/>
      <c r="T16" s="8"/>
    </row>
    <row r="17" spans="2:20" s="9" customFormat="1" ht="26.25" customHeight="1" thickBot="1">
      <c r="B17" s="102"/>
      <c r="C17" s="124" t="s">
        <v>629</v>
      </c>
      <c r="G17" s="109"/>
      <c r="L17" s="33"/>
      <c r="M17" s="33"/>
      <c r="N17" s="33"/>
      <c r="O17" s="33"/>
      <c r="P17" s="33"/>
      <c r="Q17" s="68"/>
      <c r="S17" s="8"/>
      <c r="T17" s="8"/>
    </row>
    <row r="18" spans="2:20" s="9" customFormat="1" ht="26.25" customHeight="1" thickBot="1">
      <c r="B18" s="102"/>
      <c r="C18" s="124" t="s">
        <v>630</v>
      </c>
      <c r="G18" s="123"/>
      <c r="L18" s="33"/>
      <c r="M18" s="33"/>
      <c r="N18" s="33"/>
      <c r="O18" s="33"/>
      <c r="P18" s="33"/>
      <c r="Q18" s="68"/>
      <c r="S18" s="8"/>
      <c r="T18" s="8"/>
    </row>
    <row r="19" spans="2:20" s="9" customFormat="1" ht="26.25" customHeight="1" thickBot="1">
      <c r="B19" s="102"/>
      <c r="C19" s="124" t="s">
        <v>632</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543</v>
      </c>
      <c r="C21" s="243" t="s">
        <v>472</v>
      </c>
      <c r="D21" s="243" t="s">
        <v>448</v>
      </c>
      <c r="E21" s="243" t="s">
        <v>440</v>
      </c>
      <c r="F21" s="243" t="s">
        <v>556</v>
      </c>
      <c r="G21" s="40"/>
      <c r="M21" s="25"/>
      <c r="T21" s="25"/>
    </row>
    <row r="22" spans="2:20" s="103" customFormat="1" ht="36" customHeight="1">
      <c r="B22" s="647" t="s">
        <v>546</v>
      </c>
      <c r="C22" s="653" t="s">
        <v>438</v>
      </c>
      <c r="D22" s="656" t="s">
        <v>444</v>
      </c>
      <c r="E22" s="660" t="s">
        <v>591</v>
      </c>
      <c r="F22" s="656" t="s">
        <v>449</v>
      </c>
      <c r="G22" s="174"/>
      <c r="M22" s="645"/>
      <c r="T22" s="645"/>
    </row>
    <row r="23" spans="2:20" s="103" customFormat="1" ht="35.25" customHeight="1">
      <c r="B23" s="648" t="s">
        <v>459</v>
      </c>
      <c r="C23" s="654" t="s">
        <v>439</v>
      </c>
      <c r="D23" s="657" t="s">
        <v>445</v>
      </c>
      <c r="E23" s="661" t="s">
        <v>591</v>
      </c>
      <c r="F23" s="657" t="s">
        <v>449</v>
      </c>
      <c r="G23" s="174"/>
      <c r="M23" s="645"/>
      <c r="T23" s="645"/>
    </row>
    <row r="24" spans="2:20" s="103" customFormat="1" ht="34.5" customHeight="1">
      <c r="B24" s="648" t="s">
        <v>456</v>
      </c>
      <c r="C24" s="654" t="s">
        <v>439</v>
      </c>
      <c r="D24" s="657" t="s">
        <v>446</v>
      </c>
      <c r="E24" s="661" t="s">
        <v>591</v>
      </c>
      <c r="F24" s="657" t="s">
        <v>449</v>
      </c>
      <c r="G24" s="174"/>
      <c r="M24" s="645"/>
      <c r="T24" s="645"/>
    </row>
    <row r="25" spans="2:20" s="103" customFormat="1" ht="32.25" customHeight="1">
      <c r="B25" s="649" t="s">
        <v>457</v>
      </c>
      <c r="C25" s="654" t="s">
        <v>438</v>
      </c>
      <c r="D25" s="657" t="s">
        <v>447</v>
      </c>
      <c r="E25" s="662" t="s">
        <v>610</v>
      </c>
      <c r="F25" s="665"/>
      <c r="G25" s="174"/>
      <c r="M25" s="645"/>
      <c r="T25" s="645"/>
    </row>
    <row r="26" spans="2:20" s="103" customFormat="1" ht="30.75" customHeight="1">
      <c r="B26" s="650" t="s">
        <v>544</v>
      </c>
      <c r="C26" s="654" t="s">
        <v>438</v>
      </c>
      <c r="D26" s="657"/>
      <c r="E26" s="662"/>
      <c r="F26" s="665"/>
      <c r="G26" s="174"/>
      <c r="M26" s="645"/>
      <c r="T26" s="645"/>
    </row>
    <row r="27" spans="2:20" s="103" customFormat="1" ht="32.25" customHeight="1">
      <c r="B27" s="651" t="s">
        <v>545</v>
      </c>
      <c r="C27" s="654" t="s">
        <v>438</v>
      </c>
      <c r="D27" s="658" t="s">
        <v>541</v>
      </c>
      <c r="E27" s="662"/>
      <c r="F27" s="665"/>
      <c r="G27" s="174"/>
      <c r="M27" s="645"/>
      <c r="T27" s="645"/>
    </row>
    <row r="28" spans="2:20" s="103" customFormat="1" ht="27" customHeight="1">
      <c r="B28" s="649" t="s">
        <v>458</v>
      </c>
      <c r="C28" s="654" t="s">
        <v>441</v>
      </c>
      <c r="D28" s="657" t="s">
        <v>483</v>
      </c>
      <c r="E28" s="662" t="s">
        <v>460</v>
      </c>
      <c r="F28" s="665"/>
      <c r="G28" s="174"/>
      <c r="M28" s="645"/>
      <c r="T28" s="645"/>
    </row>
    <row r="29" spans="2:20" s="103" customFormat="1" ht="27" customHeight="1">
      <c r="B29" s="651" t="s">
        <v>453</v>
      </c>
      <c r="C29" s="654" t="s">
        <v>438</v>
      </c>
      <c r="D29" s="657"/>
      <c r="E29" s="662"/>
      <c r="F29" s="657" t="s">
        <v>408</v>
      </c>
      <c r="G29" s="174"/>
      <c r="M29" s="645"/>
      <c r="T29" s="645"/>
    </row>
    <row r="30" spans="2:20" s="103" customFormat="1" ht="32.25" customHeight="1">
      <c r="B30" s="649" t="s">
        <v>207</v>
      </c>
      <c r="C30" s="654" t="s">
        <v>443</v>
      </c>
      <c r="D30" s="657" t="s">
        <v>558</v>
      </c>
      <c r="E30" s="663"/>
      <c r="F30" s="657" t="s">
        <v>557</v>
      </c>
      <c r="G30" s="646"/>
      <c r="M30" s="645"/>
    </row>
    <row r="31" spans="2:20" s="103" customFormat="1" ht="27.75" customHeight="1">
      <c r="B31" s="652" t="s">
        <v>542</v>
      </c>
      <c r="C31" s="655" t="s">
        <v>442</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DropDownList!$D$2:$D$4</xm:f>
          </x14:formula1>
          <xm:sqref>B13:B19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411</v>
      </c>
      <c r="B1" s="8" t="s">
        <v>41</v>
      </c>
      <c r="C1" s="120" t="s">
        <v>234</v>
      </c>
      <c r="D1" s="8" t="s">
        <v>416</v>
      </c>
      <c r="E1" s="120" t="s">
        <v>451</v>
      </c>
      <c r="F1" s="120" t="s">
        <v>552</v>
      </c>
      <c r="G1" s="120" t="s">
        <v>574</v>
      </c>
      <c r="H1" s="120" t="s">
        <v>585</v>
      </c>
    </row>
    <row r="2" spans="1:8">
      <c r="A2" s="12" t="s">
        <v>29</v>
      </c>
      <c r="B2" s="12" t="s">
        <v>27</v>
      </c>
      <c r="C2" s="10">
        <v>2006</v>
      </c>
      <c r="D2" s="12" t="s">
        <v>417</v>
      </c>
      <c r="E2" s="10">
        <f>'2. LRAMVA Threshold'!D9</f>
        <v>2015</v>
      </c>
      <c r="F2" s="26" t="s">
        <v>170</v>
      </c>
      <c r="G2" s="12" t="s">
        <v>575</v>
      </c>
      <c r="H2" s="12" t="s">
        <v>593</v>
      </c>
    </row>
    <row r="3" spans="1:8">
      <c r="A3" s="12" t="s">
        <v>372</v>
      </c>
      <c r="B3" s="12" t="s">
        <v>27</v>
      </c>
      <c r="C3" s="10">
        <v>2007</v>
      </c>
      <c r="D3" s="12" t="s">
        <v>418</v>
      </c>
      <c r="E3" s="10">
        <f>'2. LRAMVA Threshold'!D24</f>
        <v>0</v>
      </c>
      <c r="F3" s="12" t="s">
        <v>553</v>
      </c>
      <c r="G3" s="12" t="s">
        <v>576</v>
      </c>
      <c r="H3" s="12" t="s">
        <v>586</v>
      </c>
    </row>
    <row r="4" spans="1:8">
      <c r="A4" s="12" t="s">
        <v>373</v>
      </c>
      <c r="B4" s="12" t="s">
        <v>28</v>
      </c>
      <c r="C4" s="10">
        <v>2008</v>
      </c>
      <c r="D4" s="12" t="s">
        <v>419</v>
      </c>
      <c r="F4" s="12" t="s">
        <v>169</v>
      </c>
      <c r="G4" s="12" t="s">
        <v>577</v>
      </c>
    </row>
    <row r="5" spans="1:8">
      <c r="A5" s="12" t="s">
        <v>374</v>
      </c>
      <c r="B5" s="12" t="s">
        <v>28</v>
      </c>
      <c r="C5" s="10">
        <v>2009</v>
      </c>
      <c r="F5" s="12" t="s">
        <v>369</v>
      </c>
      <c r="G5" s="12" t="s">
        <v>578</v>
      </c>
    </row>
    <row r="6" spans="1:8">
      <c r="A6" s="12" t="s">
        <v>375</v>
      </c>
      <c r="B6" s="12" t="s">
        <v>28</v>
      </c>
      <c r="C6" s="10">
        <v>2010</v>
      </c>
      <c r="F6" s="12" t="s">
        <v>370</v>
      </c>
      <c r="G6" s="12" t="s">
        <v>579</v>
      </c>
    </row>
    <row r="7" spans="1:8">
      <c r="A7" s="12" t="s">
        <v>376</v>
      </c>
      <c r="B7" s="12" t="s">
        <v>28</v>
      </c>
      <c r="C7" s="10">
        <v>2011</v>
      </c>
      <c r="F7" s="12" t="s">
        <v>371</v>
      </c>
      <c r="G7" s="12" t="s">
        <v>580</v>
      </c>
    </row>
    <row r="8" spans="1:8">
      <c r="A8" s="12" t="s">
        <v>377</v>
      </c>
      <c r="B8" s="12" t="s">
        <v>28</v>
      </c>
      <c r="C8" s="10">
        <v>2012</v>
      </c>
      <c r="F8" s="12" t="s">
        <v>561</v>
      </c>
      <c r="G8" s="12" t="s">
        <v>581</v>
      </c>
    </row>
    <row r="9" spans="1:8">
      <c r="A9" s="12" t="s">
        <v>378</v>
      </c>
      <c r="B9" s="12" t="s">
        <v>28</v>
      </c>
      <c r="C9" s="10">
        <v>2013</v>
      </c>
      <c r="G9" s="12" t="s">
        <v>582</v>
      </c>
    </row>
    <row r="10" spans="1:8">
      <c r="A10" s="12" t="s">
        <v>379</v>
      </c>
      <c r="B10" s="12" t="s">
        <v>28</v>
      </c>
      <c r="C10" s="10">
        <v>2014</v>
      </c>
      <c r="G10" s="12" t="s">
        <v>583</v>
      </c>
    </row>
    <row r="11" spans="1:8">
      <c r="A11" s="12" t="s">
        <v>380</v>
      </c>
      <c r="B11" s="12" t="s">
        <v>28</v>
      </c>
      <c r="C11" s="10">
        <v>2015</v>
      </c>
      <c r="G11" s="12" t="s">
        <v>584</v>
      </c>
    </row>
    <row r="12" spans="1:8">
      <c r="A12" s="12" t="s">
        <v>381</v>
      </c>
      <c r="B12" s="12" t="s">
        <v>28</v>
      </c>
      <c r="C12" s="10">
        <v>2016</v>
      </c>
    </row>
    <row r="13" spans="1:8">
      <c r="A13" s="12" t="s">
        <v>382</v>
      </c>
      <c r="B13" s="12" t="s">
        <v>28</v>
      </c>
      <c r="C13" s="10">
        <v>2017</v>
      </c>
    </row>
    <row r="14" spans="1:8">
      <c r="A14" s="12" t="s">
        <v>383</v>
      </c>
      <c r="B14" s="12" t="s">
        <v>28</v>
      </c>
      <c r="C14" s="10">
        <v>2018</v>
      </c>
    </row>
    <row r="15" spans="1:8">
      <c r="A15" s="12" t="s">
        <v>384</v>
      </c>
      <c r="B15" s="12" t="s">
        <v>28</v>
      </c>
      <c r="C15" s="10">
        <v>2019</v>
      </c>
    </row>
    <row r="16" spans="1:8">
      <c r="A16" s="12" t="s">
        <v>385</v>
      </c>
      <c r="B16" s="12" t="s">
        <v>28</v>
      </c>
      <c r="C16" s="10">
        <v>2020</v>
      </c>
    </row>
    <row r="17" spans="1:2">
      <c r="A17" s="12" t="s">
        <v>386</v>
      </c>
      <c r="B17" s="12" t="s">
        <v>28</v>
      </c>
    </row>
    <row r="18" spans="1:2">
      <c r="A18" s="12" t="s">
        <v>387</v>
      </c>
      <c r="B18" s="12" t="s">
        <v>28</v>
      </c>
    </row>
    <row r="19" spans="1:2">
      <c r="A19" s="12" t="s">
        <v>388</v>
      </c>
      <c r="B19" s="12" t="s">
        <v>28</v>
      </c>
    </row>
    <row r="20" spans="1:2">
      <c r="A20" s="12" t="s">
        <v>389</v>
      </c>
      <c r="B20" s="12" t="s">
        <v>28</v>
      </c>
    </row>
    <row r="21" spans="1:2">
      <c r="A21" s="12" t="s">
        <v>390</v>
      </c>
      <c r="B21" s="12" t="s">
        <v>28</v>
      </c>
    </row>
    <row r="22" spans="1:2">
      <c r="A22" s="12" t="s">
        <v>391</v>
      </c>
      <c r="B22" s="12" t="s">
        <v>28</v>
      </c>
    </row>
    <row r="23" spans="1:2">
      <c r="A23" s="12" t="s">
        <v>392</v>
      </c>
      <c r="B23" s="12" t="s">
        <v>28</v>
      </c>
    </row>
    <row r="24" spans="1:2">
      <c r="A24" s="12" t="s">
        <v>393</v>
      </c>
      <c r="B24" s="12" t="s">
        <v>28</v>
      </c>
    </row>
    <row r="25" spans="1:2">
      <c r="A25" s="12" t="s">
        <v>394</v>
      </c>
      <c r="B25" s="12" t="s">
        <v>28</v>
      </c>
    </row>
    <row r="26" spans="1:2">
      <c r="A26" s="12" t="s">
        <v>32</v>
      </c>
      <c r="B26" s="12" t="s">
        <v>27</v>
      </c>
    </row>
    <row r="27" spans="1:2">
      <c r="A27" s="12" t="s">
        <v>395</v>
      </c>
      <c r="B27" s="12" t="s">
        <v>28</v>
      </c>
    </row>
    <row r="28" spans="1:2">
      <c r="A28" s="12" t="s">
        <v>396</v>
      </c>
      <c r="B28" s="12" t="s">
        <v>28</v>
      </c>
    </row>
    <row r="29" spans="1:2">
      <c r="A29" s="12" t="s">
        <v>397</v>
      </c>
      <c r="B29" s="12" t="s">
        <v>28</v>
      </c>
    </row>
    <row r="30" spans="1:2">
      <c r="A30" s="12" t="s">
        <v>30</v>
      </c>
      <c r="B30" s="12" t="s">
        <v>28</v>
      </c>
    </row>
    <row r="31" spans="1:2">
      <c r="A31" s="12" t="s">
        <v>398</v>
      </c>
      <c r="B31" s="12" t="s">
        <v>28</v>
      </c>
    </row>
    <row r="32" spans="1:2">
      <c r="A32" s="12" t="s">
        <v>399</v>
      </c>
      <c r="B32" s="12" t="s">
        <v>28</v>
      </c>
    </row>
    <row r="33" spans="1:2">
      <c r="A33" s="12" t="s">
        <v>400</v>
      </c>
      <c r="B33" s="12" t="s">
        <v>28</v>
      </c>
    </row>
    <row r="34" spans="1:2">
      <c r="A34" s="12" t="s">
        <v>401</v>
      </c>
      <c r="B34" s="12" t="s">
        <v>28</v>
      </c>
    </row>
    <row r="35" spans="1:2">
      <c r="A35" s="12" t="s">
        <v>402</v>
      </c>
      <c r="B35" s="12" t="s">
        <v>28</v>
      </c>
    </row>
    <row r="36" spans="1:2">
      <c r="A36" s="12" t="s">
        <v>403</v>
      </c>
      <c r="B36" s="12" t="s">
        <v>28</v>
      </c>
    </row>
    <row r="37" spans="1:2">
      <c r="A37" s="12" t="s">
        <v>404</v>
      </c>
      <c r="B37" s="12" t="s">
        <v>28</v>
      </c>
    </row>
    <row r="38" spans="1:2">
      <c r="A38" s="12" t="s">
        <v>405</v>
      </c>
      <c r="B38" s="12" t="s">
        <v>28</v>
      </c>
    </row>
    <row r="39" spans="1:2">
      <c r="A39" s="12" t="s">
        <v>406</v>
      </c>
      <c r="B39" s="12" t="s">
        <v>28</v>
      </c>
    </row>
    <row r="40" spans="1:2">
      <c r="A40" s="12" t="s">
        <v>31</v>
      </c>
      <c r="B40" s="12" t="s">
        <v>28</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9"/>
  <sheetViews>
    <sheetView zoomScale="80" zoomScaleNormal="80" workbookViewId="0">
      <selection activeCell="F6" sqref="F6"/>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72" t="s">
        <v>174</v>
      </c>
      <c r="C3" s="772"/>
    </row>
    <row r="4" spans="1:3" ht="11.25" customHeight="1"/>
    <row r="5" spans="1:3" s="30" customFormat="1" ht="25.5" customHeight="1">
      <c r="B5" s="60" t="s">
        <v>421</v>
      </c>
      <c r="C5" s="60" t="s">
        <v>173</v>
      </c>
    </row>
    <row r="6" spans="1:3" s="176" customFormat="1" ht="48" customHeight="1">
      <c r="A6" s="241"/>
      <c r="B6" s="618" t="s">
        <v>170</v>
      </c>
      <c r="C6" s="671" t="s">
        <v>602</v>
      </c>
    </row>
    <row r="7" spans="1:3" s="176" customFormat="1" ht="21" customHeight="1">
      <c r="A7" s="241"/>
      <c r="B7" s="612" t="s">
        <v>555</v>
      </c>
      <c r="C7" s="672" t="s">
        <v>615</v>
      </c>
    </row>
    <row r="8" spans="1:3" s="176" customFormat="1" ht="32.25" customHeight="1">
      <c r="B8" s="612" t="s">
        <v>368</v>
      </c>
      <c r="C8" s="673" t="s">
        <v>603</v>
      </c>
    </row>
    <row r="9" spans="1:3" s="176" customFormat="1" ht="27.75" customHeight="1">
      <c r="B9" s="612" t="s">
        <v>169</v>
      </c>
      <c r="C9" s="673" t="s">
        <v>604</v>
      </c>
    </row>
    <row r="10" spans="1:3" s="176" customFormat="1" ht="33" customHeight="1">
      <c r="B10" s="612" t="s">
        <v>600</v>
      </c>
      <c r="C10" s="672" t="s">
        <v>608</v>
      </c>
    </row>
    <row r="11" spans="1:3" s="176" customFormat="1" ht="26.25" customHeight="1">
      <c r="B11" s="627" t="s">
        <v>369</v>
      </c>
      <c r="C11" s="675" t="s">
        <v>605</v>
      </c>
    </row>
    <row r="12" spans="1:3" s="176" customFormat="1" ht="39.75" customHeight="1">
      <c r="B12" s="612" t="s">
        <v>370</v>
      </c>
      <c r="C12" s="673" t="s">
        <v>606</v>
      </c>
    </row>
    <row r="13" spans="1:3" s="176" customFormat="1" ht="18" customHeight="1">
      <c r="B13" s="612" t="s">
        <v>371</v>
      </c>
      <c r="C13" s="673" t="s">
        <v>607</v>
      </c>
    </row>
    <row r="14" spans="1:3" s="176" customFormat="1" ht="13.5" customHeight="1">
      <c r="B14" s="612"/>
      <c r="C14" s="674"/>
    </row>
    <row r="15" spans="1:3" s="176" customFormat="1" ht="18" customHeight="1">
      <c r="B15" s="612" t="s">
        <v>673</v>
      </c>
      <c r="C15" s="672" t="s">
        <v>671</v>
      </c>
    </row>
    <row r="16" spans="1:3" s="176" customFormat="1" ht="8.25" customHeight="1">
      <c r="B16" s="612"/>
      <c r="C16" s="674"/>
    </row>
    <row r="17" spans="2:3" s="176" customFormat="1" ht="33" customHeight="1">
      <c r="B17" s="676" t="s">
        <v>601</v>
      </c>
      <c r="C17" s="677" t="s">
        <v>672</v>
      </c>
    </row>
    <row r="18" spans="2:3" s="103" customFormat="1" ht="15.75">
      <c r="B18" s="176"/>
    </row>
    <row r="19" spans="2:3" s="32" customFormat="1">
      <c r="B19" s="42"/>
    </row>
  </sheetData>
  <mergeCells count="1">
    <mergeCell ref="B3:C3"/>
  </mergeCells>
  <hyperlinks>
    <hyperlink ref="B6" location="'1.  LRAMVA Summary'!A1" display="1.  LRAMVA Summary" xr:uid="{00000000-0004-0000-0300-000000000000}"/>
    <hyperlink ref="B8" location="'2. LRAMVA Threshold'!Print_Area" display="2.  LRAMVA Threshold" xr:uid="{00000000-0004-0000-0300-000001000000}"/>
    <hyperlink ref="B9" location="'3.  Distribution Rates'!A1" display="3.  Distribution Rates" xr:uid="{00000000-0004-0000-0300-000002000000}"/>
    <hyperlink ref="B13" location="'6.  Carrying Charges'!Print_Area" display="6.  Carrying Charges" xr:uid="{00000000-0004-0000-0300-000003000000}"/>
    <hyperlink ref="B12" location="'5.  2015-2020 LRAM'!Print_Area" display="5.  2015-2020 LRAM" xr:uid="{00000000-0004-0000-0300-000004000000}"/>
    <hyperlink ref="B11" location="'4.  2011-2014 LRAM'!Print_Area" display="4.  2011-2014 LRAM" xr:uid="{00000000-0004-0000-0300-000005000000}"/>
    <hyperlink ref="B15" location="'7.  Persistence Report'!Print_Area" display="7.  Persistence Report" xr:uid="{00000000-0004-0000-0300-000006000000}"/>
    <hyperlink ref="B7" location="'1-a.  Summary of Changes'!A1" display="1-a.  Summary of Changes" xr:uid="{00000000-0004-0000-0300-000007000000}"/>
    <hyperlink ref="B10" location="'3-a.  Rate Class Allocations'!A1" display="3-a.  Rate Class Allocations" xr:uid="{00000000-0004-0000-0300-000008000000}"/>
    <hyperlink ref="B17" location="'8.  Streetlighting'!A1" display="8.  Streetlighting" xr:uid="{00000000-0004-0000-03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abSelected="1" topLeftCell="A49" zoomScale="80" zoomScaleNormal="80" workbookViewId="0">
      <selection activeCell="D111" sqref="D111"/>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9.140625" style="9" bestFit="1"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554</v>
      </c>
      <c r="D6" s="17"/>
      <c r="E6" s="9"/>
      <c r="T6" s="9"/>
      <c r="V6" s="8"/>
    </row>
    <row r="7" spans="2:22" ht="21" customHeight="1">
      <c r="B7" s="537"/>
      <c r="C7" s="17"/>
      <c r="D7" s="17"/>
      <c r="E7" s="9"/>
      <c r="T7" s="9"/>
      <c r="V7" s="8"/>
    </row>
    <row r="8" spans="2:22" ht="24.75" customHeight="1">
      <c r="B8" s="117" t="s">
        <v>239</v>
      </c>
      <c r="C8" s="189"/>
      <c r="D8" s="601"/>
      <c r="E8" s="9"/>
      <c r="T8" s="9"/>
      <c r="V8" s="8"/>
    </row>
    <row r="9" spans="2:22" ht="41.25" customHeight="1">
      <c r="B9" s="551" t="s">
        <v>523</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559</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510</v>
      </c>
      <c r="C13" s="17"/>
      <c r="F13" s="185" t="s">
        <v>511</v>
      </c>
      <c r="G13" s="36"/>
      <c r="H13" s="31"/>
      <c r="I13" s="9"/>
      <c r="J13" s="184" t="s">
        <v>508</v>
      </c>
      <c r="N13" s="103"/>
      <c r="P13" s="9"/>
      <c r="Q13" s="187"/>
      <c r="R13" s="42"/>
      <c r="T13" s="186"/>
      <c r="U13" s="186"/>
    </row>
    <row r="14" spans="2:22" ht="29.25" customHeight="1" thickBot="1">
      <c r="B14" s="124" t="s">
        <v>550</v>
      </c>
      <c r="D14" s="542" t="s">
        <v>513</v>
      </c>
      <c r="E14" s="130"/>
      <c r="F14" s="124" t="s">
        <v>551</v>
      </c>
      <c r="H14" s="542" t="s">
        <v>513</v>
      </c>
      <c r="J14" s="124" t="s">
        <v>518</v>
      </c>
      <c r="L14" s="132"/>
      <c r="N14" s="103"/>
      <c r="Q14" s="99"/>
      <c r="R14" s="96"/>
    </row>
    <row r="15" spans="2:22" ht="26.25" customHeight="1" thickBot="1">
      <c r="B15" s="124" t="s">
        <v>425</v>
      </c>
      <c r="C15" s="106"/>
      <c r="D15" s="542" t="s">
        <v>241</v>
      </c>
      <c r="F15" s="124" t="s">
        <v>415</v>
      </c>
      <c r="G15" s="127"/>
      <c r="H15" s="542" t="s">
        <v>241</v>
      </c>
      <c r="I15" s="17"/>
      <c r="J15" s="124" t="s">
        <v>519</v>
      </c>
      <c r="L15" s="132"/>
      <c r="M15" s="103"/>
      <c r="Q15" s="108"/>
      <c r="R15" s="96"/>
    </row>
    <row r="16" spans="2:22" ht="28.5" customHeight="1" thickBot="1">
      <c r="B16" s="124" t="s">
        <v>455</v>
      </c>
      <c r="C16" s="106"/>
      <c r="D16" s="543" t="s">
        <v>506</v>
      </c>
      <c r="E16" s="103"/>
      <c r="F16" s="124" t="s">
        <v>435</v>
      </c>
      <c r="G16" s="125"/>
      <c r="H16" s="543" t="s">
        <v>506</v>
      </c>
      <c r="I16" s="103"/>
      <c r="K16" s="195"/>
      <c r="L16" s="195"/>
      <c r="M16" s="195"/>
      <c r="N16" s="195"/>
      <c r="Q16" s="115"/>
      <c r="R16" s="96"/>
    </row>
    <row r="17" spans="1:21" ht="29.25" customHeight="1">
      <c r="B17" s="124" t="s">
        <v>422</v>
      </c>
      <c r="C17" s="106"/>
      <c r="D17" s="733">
        <v>0</v>
      </c>
      <c r="E17" s="121"/>
      <c r="F17" s="740" t="s">
        <v>679</v>
      </c>
      <c r="G17" s="195"/>
      <c r="H17" s="734"/>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436</v>
      </c>
      <c r="G19" s="603" t="s">
        <v>364</v>
      </c>
      <c r="H19" s="242">
        <f>SUM(R54,R57,R60,R63,R66,R69,R72)</f>
        <v>80050.874461833591</v>
      </c>
      <c r="I19" s="17"/>
      <c r="J19" s="115"/>
      <c r="K19" s="115"/>
      <c r="L19" s="115"/>
      <c r="M19" s="115"/>
      <c r="N19" s="115"/>
      <c r="P19" s="115"/>
      <c r="Q19" s="115"/>
      <c r="R19" s="96"/>
    </row>
    <row r="20" spans="1:21" ht="27.75" customHeight="1" thickBot="1">
      <c r="E20" s="9"/>
      <c r="F20" s="124" t="s">
        <v>437</v>
      </c>
      <c r="G20" s="603" t="s">
        <v>365</v>
      </c>
      <c r="H20" s="131">
        <f>-SUM(R55,R58,R61,R64,R67,R70,R73)</f>
        <v>29334.653585</v>
      </c>
      <c r="I20" s="17"/>
      <c r="J20" s="115"/>
      <c r="P20" s="115"/>
      <c r="Q20" s="115"/>
      <c r="R20" s="96"/>
    </row>
    <row r="21" spans="1:21" ht="27.75" customHeight="1" thickBot="1">
      <c r="C21" s="32"/>
      <c r="D21" s="32"/>
      <c r="E21" s="32"/>
      <c r="F21" s="124" t="s">
        <v>409</v>
      </c>
      <c r="G21" s="603" t="s">
        <v>366</v>
      </c>
      <c r="H21" s="188">
        <f>R84</f>
        <v>1597.7817010976385</v>
      </c>
      <c r="I21" s="103"/>
      <c r="P21" s="115"/>
      <c r="Q21" s="115"/>
      <c r="R21" s="96"/>
    </row>
    <row r="22" spans="1:21" ht="27.75" customHeight="1">
      <c r="C22" s="32"/>
      <c r="D22" s="32"/>
      <c r="E22" s="32"/>
      <c r="F22" s="124" t="s">
        <v>512</v>
      </c>
      <c r="G22" s="603" t="s">
        <v>450</v>
      </c>
      <c r="H22" s="188">
        <f>H19-H20+H21</f>
        <v>52314.002577931227</v>
      </c>
      <c r="I22" s="103"/>
      <c r="P22" s="195"/>
      <c r="Q22" s="195"/>
      <c r="R22" s="96"/>
    </row>
    <row r="23" spans="1:21" ht="22.5" customHeight="1">
      <c r="A23" s="28"/>
      <c r="E23" s="9"/>
    </row>
    <row r="24" spans="1:21" ht="13.5" customHeight="1">
      <c r="A24" s="28"/>
      <c r="B24" s="118" t="s">
        <v>420</v>
      </c>
      <c r="C24" s="35"/>
      <c r="E24" s="9"/>
    </row>
    <row r="25" spans="1:21" ht="13.5" customHeight="1">
      <c r="A25" s="28"/>
      <c r="B25" s="118"/>
      <c r="C25" s="35"/>
      <c r="E25" s="9"/>
    </row>
    <row r="26" spans="1:21" ht="120" customHeight="1">
      <c r="A26" s="28"/>
      <c r="B26" s="775" t="s">
        <v>686</v>
      </c>
      <c r="C26" s="775"/>
      <c r="D26" s="775"/>
      <c r="E26" s="775"/>
      <c r="F26" s="775"/>
      <c r="G26" s="775"/>
    </row>
    <row r="27" spans="1:21" ht="14.25" customHeight="1">
      <c r="A27" s="28"/>
      <c r="B27" s="548"/>
      <c r="C27" s="548"/>
      <c r="D27" s="538"/>
      <c r="E27" s="538"/>
      <c r="F27" s="538"/>
      <c r="G27" s="548"/>
    </row>
    <row r="28" spans="1:21" s="17" customFormat="1" ht="27" customHeight="1">
      <c r="B28" s="776" t="s">
        <v>509</v>
      </c>
      <c r="C28" s="777"/>
      <c r="D28" s="133" t="s">
        <v>41</v>
      </c>
      <c r="E28" s="134" t="s">
        <v>676</v>
      </c>
      <c r="F28" s="134" t="s">
        <v>409</v>
      </c>
      <c r="G28" s="135" t="s">
        <v>410</v>
      </c>
      <c r="T28" s="136"/>
      <c r="U28" s="136"/>
    </row>
    <row r="29" spans="1:21" ht="20.25" customHeight="1">
      <c r="B29" s="773" t="s">
        <v>29</v>
      </c>
      <c r="C29" s="774"/>
      <c r="D29" s="638" t="s">
        <v>27</v>
      </c>
      <c r="E29" s="138">
        <f>SUM(D54:D83)</f>
        <v>43251.943357126409</v>
      </c>
      <c r="F29" s="139">
        <f>D84</f>
        <v>1048.3942776235112</v>
      </c>
      <c r="G29" s="138">
        <f>E29+F29</f>
        <v>44300.337634749922</v>
      </c>
    </row>
    <row r="30" spans="1:21" ht="20.25" customHeight="1">
      <c r="B30" s="773" t="s">
        <v>372</v>
      </c>
      <c r="C30" s="774"/>
      <c r="D30" s="638" t="s">
        <v>27</v>
      </c>
      <c r="E30" s="140">
        <f>SUM(E54:E83)</f>
        <v>23193.299310964998</v>
      </c>
      <c r="F30" s="141">
        <f>E84</f>
        <v>750.01362437270132</v>
      </c>
      <c r="G30" s="140">
        <f>E30+F30</f>
        <v>23943.312935337701</v>
      </c>
    </row>
    <row r="31" spans="1:21" ht="20.25" customHeight="1">
      <c r="B31" s="773" t="s">
        <v>689</v>
      </c>
      <c r="C31" s="774"/>
      <c r="D31" s="638" t="s">
        <v>28</v>
      </c>
      <c r="E31" s="140">
        <f>SUM(F54:F83)</f>
        <v>3903.7365002616048</v>
      </c>
      <c r="F31" s="141">
        <f>F84</f>
        <v>67.63737078227075</v>
      </c>
      <c r="G31" s="140">
        <f t="shared" ref="G31:G34" si="0">E31+F31</f>
        <v>3971.3738710438756</v>
      </c>
    </row>
    <row r="32" spans="1:21" ht="20.25" customHeight="1">
      <c r="B32" s="773" t="s">
        <v>690</v>
      </c>
      <c r="C32" s="774"/>
      <c r="D32" s="638" t="s">
        <v>28</v>
      </c>
      <c r="E32" s="140">
        <f>SUM(G54:G83)</f>
        <v>7672.4180189911085</v>
      </c>
      <c r="F32" s="141">
        <f>G84</f>
        <v>121.40302014166411</v>
      </c>
      <c r="G32" s="140">
        <f t="shared" si="0"/>
        <v>7793.821039132773</v>
      </c>
    </row>
    <row r="33" spans="2:22" ht="20.25" customHeight="1">
      <c r="B33" s="773" t="s">
        <v>691</v>
      </c>
      <c r="C33" s="774"/>
      <c r="D33" s="638" t="s">
        <v>28</v>
      </c>
      <c r="E33" s="140">
        <f>SUM(H54:H83)</f>
        <v>-11.780508000000001</v>
      </c>
      <c r="F33" s="141">
        <f>H84</f>
        <v>-0.38248188857083321</v>
      </c>
      <c r="G33" s="140">
        <f>E33+F33</f>
        <v>-12.162989888570834</v>
      </c>
    </row>
    <row r="34" spans="2:22" ht="20.25" customHeight="1">
      <c r="B34" s="773" t="s">
        <v>692</v>
      </c>
      <c r="C34" s="774"/>
      <c r="D34" s="638" t="s">
        <v>28</v>
      </c>
      <c r="E34" s="140">
        <f>SUM(I54:I83)</f>
        <v>-9323.7051354399991</v>
      </c>
      <c r="F34" s="141">
        <f>I84</f>
        <v>-389.284109933938</v>
      </c>
      <c r="G34" s="140">
        <f t="shared" si="0"/>
        <v>-9712.9892453739376</v>
      </c>
    </row>
    <row r="35" spans="2:22" ht="20.25" customHeight="1">
      <c r="B35" s="773"/>
      <c r="C35" s="774"/>
      <c r="D35" s="638"/>
      <c r="E35" s="140">
        <f>SUM(J54:J83)</f>
        <v>0</v>
      </c>
      <c r="F35" s="141">
        <f>J84</f>
        <v>0</v>
      </c>
      <c r="G35" s="140">
        <f>E35+F35</f>
        <v>0</v>
      </c>
    </row>
    <row r="36" spans="2:22" ht="20.25" customHeight="1">
      <c r="B36" s="773"/>
      <c r="C36" s="774"/>
      <c r="D36" s="638"/>
      <c r="E36" s="140">
        <f>SUM(K54:K83)</f>
        <v>0</v>
      </c>
      <c r="F36" s="141">
        <f>K84</f>
        <v>0</v>
      </c>
      <c r="G36" s="140">
        <f t="shared" ref="G36:G42" si="1">E36+F36</f>
        <v>0</v>
      </c>
    </row>
    <row r="37" spans="2:22" ht="20.25" customHeight="1">
      <c r="B37" s="773"/>
      <c r="C37" s="774"/>
      <c r="D37" s="638"/>
      <c r="E37" s="140">
        <f>SUM(L54:L83)</f>
        <v>0</v>
      </c>
      <c r="F37" s="141">
        <f>L84</f>
        <v>0</v>
      </c>
      <c r="G37" s="140">
        <f t="shared" si="1"/>
        <v>0</v>
      </c>
    </row>
    <row r="38" spans="2:22" ht="20.25" customHeight="1">
      <c r="B38" s="773"/>
      <c r="C38" s="774"/>
      <c r="D38" s="638"/>
      <c r="E38" s="140">
        <f>SUM(M54:M83)</f>
        <v>0</v>
      </c>
      <c r="F38" s="141">
        <f>M84</f>
        <v>0</v>
      </c>
      <c r="G38" s="140">
        <f t="shared" si="1"/>
        <v>0</v>
      </c>
    </row>
    <row r="39" spans="2:22" ht="20.25" customHeight="1">
      <c r="B39" s="773"/>
      <c r="C39" s="774"/>
      <c r="D39" s="638"/>
      <c r="E39" s="140">
        <f>SUM(N54:N83)</f>
        <v>0</v>
      </c>
      <c r="F39" s="141">
        <f>N84</f>
        <v>0</v>
      </c>
      <c r="G39" s="140">
        <f t="shared" si="1"/>
        <v>0</v>
      </c>
    </row>
    <row r="40" spans="2:22" ht="20.25" customHeight="1">
      <c r="B40" s="773"/>
      <c r="C40" s="774"/>
      <c r="D40" s="638"/>
      <c r="E40" s="140">
        <f>SUM(O54:O83)</f>
        <v>0</v>
      </c>
      <c r="F40" s="141">
        <f>O84</f>
        <v>0</v>
      </c>
      <c r="G40" s="140">
        <f t="shared" si="1"/>
        <v>0</v>
      </c>
    </row>
    <row r="41" spans="2:22" ht="20.25" customHeight="1">
      <c r="B41" s="773"/>
      <c r="C41" s="774"/>
      <c r="D41" s="638"/>
      <c r="E41" s="140">
        <f>SUM(P54:P83)</f>
        <v>0</v>
      </c>
      <c r="F41" s="141">
        <f>P84</f>
        <v>0</v>
      </c>
      <c r="G41" s="140">
        <f t="shared" si="1"/>
        <v>0</v>
      </c>
    </row>
    <row r="42" spans="2:22" ht="20.25" customHeight="1">
      <c r="B42" s="773"/>
      <c r="C42" s="774"/>
      <c r="D42" s="639"/>
      <c r="E42" s="142">
        <f>SUM(Q54:Q83)</f>
        <v>0</v>
      </c>
      <c r="F42" s="143">
        <f>Q84</f>
        <v>0</v>
      </c>
      <c r="G42" s="142">
        <f t="shared" si="1"/>
        <v>0</v>
      </c>
    </row>
    <row r="43" spans="2:22" s="8" customFormat="1" ht="21" customHeight="1">
      <c r="B43" s="778" t="s">
        <v>26</v>
      </c>
      <c r="C43" s="779"/>
      <c r="D43" s="137"/>
      <c r="E43" s="144">
        <f>SUM(E29:E42)</f>
        <v>68685.91154390412</v>
      </c>
      <c r="F43" s="144">
        <f>SUM(F29:F42)</f>
        <v>1597.7817010976385</v>
      </c>
      <c r="G43" s="144">
        <f>SUM(G29:G42)</f>
        <v>70283.693245001778</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461</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75" t="s">
        <v>613</v>
      </c>
      <c r="C48" s="775"/>
      <c r="D48" s="775"/>
      <c r="E48" s="775"/>
      <c r="F48" s="775"/>
      <c r="G48" s="775"/>
      <c r="H48" s="775"/>
      <c r="I48" s="775"/>
      <c r="J48" s="775"/>
      <c r="K48" s="775"/>
      <c r="L48" s="775"/>
      <c r="M48" s="617"/>
      <c r="N48" s="105"/>
      <c r="O48" s="105"/>
      <c r="P48" s="105"/>
      <c r="Q48" s="105"/>
      <c r="R48" s="105"/>
      <c r="T48" s="37"/>
      <c r="U48" s="19"/>
      <c r="V48" s="38"/>
    </row>
    <row r="49" spans="2:22" s="28" customFormat="1" ht="40.9" customHeight="1">
      <c r="B49" s="775" t="s">
        <v>567</v>
      </c>
      <c r="C49" s="775"/>
      <c r="D49" s="775"/>
      <c r="E49" s="775"/>
      <c r="F49" s="775"/>
      <c r="G49" s="775"/>
      <c r="H49" s="775"/>
      <c r="I49" s="775"/>
      <c r="J49" s="775"/>
      <c r="K49" s="775"/>
      <c r="L49" s="775"/>
      <c r="M49" s="617"/>
      <c r="N49" s="105"/>
      <c r="O49" s="105"/>
      <c r="P49" s="105"/>
      <c r="Q49" s="105"/>
      <c r="R49" s="105"/>
      <c r="T49" s="37"/>
      <c r="U49" s="19"/>
      <c r="V49" s="38"/>
    </row>
    <row r="50" spans="2:22" s="28" customFormat="1" ht="18" customHeight="1">
      <c r="B50" s="775" t="s">
        <v>685</v>
      </c>
      <c r="C50" s="775"/>
      <c r="D50" s="775"/>
      <c r="E50" s="775"/>
      <c r="F50" s="775"/>
      <c r="G50" s="775"/>
      <c r="H50" s="775"/>
      <c r="I50" s="775"/>
      <c r="J50" s="775"/>
      <c r="K50" s="775"/>
      <c r="L50" s="775"/>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520</v>
      </c>
      <c r="D52" s="135" t="str">
        <f>IF($B29&lt;&gt;"",$B29,"")</f>
        <v>Residential</v>
      </c>
      <c r="E52" s="135" t="str">
        <f>IF($B30&lt;&gt;"",$B30,"")</f>
        <v>GS&lt;50 kW</v>
      </c>
      <c r="F52" s="135" t="str">
        <f>IF($B31&lt;&gt;"",$B31,"")</f>
        <v>GS 50-1499 KW</v>
      </c>
      <c r="G52" s="135" t="str">
        <f>IF($B32&lt;&gt;"",$B32,"")</f>
        <v>Intermediate</v>
      </c>
      <c r="H52" s="135" t="str">
        <f>IF($B33&lt;&gt;"",$B33,"")</f>
        <v>Sentinel</v>
      </c>
      <c r="I52" s="135" t="str">
        <f>IF($B34&lt;&gt;"",$B34,"")</f>
        <v xml:space="preserve">Street Lighting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4309.1893527703633</v>
      </c>
      <c r="E63" s="156">
        <f>'4.  2011-2014 LRAM'!Z521</f>
        <v>5249.6672800724209</v>
      </c>
      <c r="F63" s="156">
        <f>'4.  2011-2014 LRAM'!AA521</f>
        <v>886.04810325708343</v>
      </c>
      <c r="G63" s="156">
        <f>'4.  2011-2014 LRAM'!AB521</f>
        <v>235.20175925916598</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10680.106495359034</v>
      </c>
      <c r="U63" s="152"/>
      <c r="V63" s="153"/>
    </row>
    <row r="64" spans="2:22" s="163" customFormat="1">
      <c r="B64" s="154" t="s">
        <v>39</v>
      </c>
      <c r="C64" s="155"/>
      <c r="D64" s="156">
        <f>-'4.  2011-2014 LRAM'!Y522</f>
        <v>-2597.84</v>
      </c>
      <c r="E64" s="156">
        <f>-'4.  2011-2014 LRAM'!Z522</f>
        <v>-498.40630000000004</v>
      </c>
      <c r="F64" s="156">
        <f>-'4.  2011-2014 LRAM'!AA522</f>
        <v>-1004.1015279999999</v>
      </c>
      <c r="G64" s="156">
        <f>-'4.  2011-2014 LRAM'!AB522</f>
        <v>-415.39297500000004</v>
      </c>
      <c r="H64" s="156">
        <f>-'4.  2011-2014 LRAM'!AC522</f>
        <v>-1.4351080000000001</v>
      </c>
      <c r="I64" s="156">
        <f>-'4.  2011-2014 LRAM'!AD522</f>
        <v>-3222.8090589999997</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-7739.9849699999995</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9370.3304614368044</v>
      </c>
      <c r="E66" s="164">
        <f>'5.  2015-2020 LRAM'!Z204</f>
        <v>5639.6321391831116</v>
      </c>
      <c r="F66" s="164">
        <f>'5.  2015-2020 LRAM'!AA204</f>
        <v>1310.6587995937771</v>
      </c>
      <c r="G66" s="164">
        <f>'5.  2015-2020 LRAM'!AB204</f>
        <v>400.23033118997034</v>
      </c>
      <c r="H66" s="164">
        <f>'5.  2015-2020 LRAM'!AC204</f>
        <v>0</v>
      </c>
      <c r="I66" s="164">
        <f>'5.  2015-2020 LRAM'!AD204</f>
        <v>1084.04321256</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17804.894943963664</v>
      </c>
      <c r="U66" s="152"/>
      <c r="V66" s="153"/>
    </row>
    <row r="67" spans="2:22" s="163" customFormat="1">
      <c r="B67" s="154" t="s">
        <v>93</v>
      </c>
      <c r="C67" s="155"/>
      <c r="D67" s="164">
        <f>-'5.  2015-2020 LRAM'!Y205</f>
        <v>-2224.4005000000002</v>
      </c>
      <c r="E67" s="164">
        <f>-'5.  2015-2020 LRAM'!Z205</f>
        <v>-476.08960000000002</v>
      </c>
      <c r="F67" s="164">
        <f>-'5.  2015-2020 LRAM'!AA205</f>
        <v>-832.20218399999999</v>
      </c>
      <c r="G67" s="164">
        <f>-'5.  2015-2020 LRAM'!AB205</f>
        <v>-449.18558999999999</v>
      </c>
      <c r="H67" s="164">
        <f>-'5.  2015-2020 LRAM'!AC205</f>
        <v>-2.9343860000000004</v>
      </c>
      <c r="I67" s="164">
        <f>-'5.  2015-2020 LRAM'!AD205</f>
        <v>-3440.4544019999998</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-7425.266662</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13391.883682738047</v>
      </c>
      <c r="E69" s="156">
        <f>'5.  2015-2020 LRAM'!Z388</f>
        <v>7099.7858775889345</v>
      </c>
      <c r="F69" s="156">
        <f>'5.  2015-2020 LRAM'!AA388</f>
        <v>1721.2910424621241</v>
      </c>
      <c r="G69" s="156">
        <f>'5.  2015-2020 LRAM'!AB388</f>
        <v>2820.5862023476157</v>
      </c>
      <c r="H69" s="156">
        <f>'5.  2015-2020 LRAM'!AC388</f>
        <v>0</v>
      </c>
      <c r="I69" s="156">
        <f>'5.  2015-2020 LRAM'!AD388</f>
        <v>1118.3539815600002</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26151.900786696722</v>
      </c>
      <c r="U69" s="152"/>
      <c r="V69" s="153"/>
    </row>
    <row r="70" spans="2:22" s="163" customFormat="1">
      <c r="B70" s="154" t="s">
        <v>224</v>
      </c>
      <c r="C70" s="155"/>
      <c r="D70" s="156">
        <f>-'5.  2015-2020 LRAM'!Y389</f>
        <v>-2045.799</v>
      </c>
      <c r="E70" s="156">
        <f>-'5.  2015-2020 LRAM'!Z389</f>
        <v>-461.21179999999998</v>
      </c>
      <c r="F70" s="156">
        <f>-'5.  2015-2020 LRAM'!AA389</f>
        <v>-746.25251200000002</v>
      </c>
      <c r="G70" s="156">
        <f>-'5.  2015-2020 LRAM'!AB389</f>
        <v>-466.06156499999992</v>
      </c>
      <c r="H70" s="156">
        <f>-'5.  2015-2020 LRAM'!AC389</f>
        <v>-3.684002</v>
      </c>
      <c r="I70" s="156">
        <f>-'5.  2015-2020 LRAM'!AD389</f>
        <v>-3549.347327</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-7272.3562060000004</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16095.98024314784</v>
      </c>
      <c r="E72" s="156">
        <f>'5.  2015-2020 LRAM'!Z572</f>
        <v>3545.3602508871468</v>
      </c>
      <c r="F72" s="156">
        <f>'5.  2015-2020 LRAM'!AA572</f>
        <v>1651.0258528179413</v>
      </c>
      <c r="G72" s="156">
        <f>'5.  2015-2020 LRAM'!AB572</f>
        <v>2990.1916792012407</v>
      </c>
      <c r="H72" s="156">
        <f>'5.  2015-2020 LRAM'!AC572</f>
        <v>0</v>
      </c>
      <c r="I72" s="156">
        <f>'5.  2015-2020 LRAM'!AD572</f>
        <v>1131.4142097600002</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25413.97223581417</v>
      </c>
      <c r="U72" s="152"/>
      <c r="V72" s="153"/>
    </row>
    <row r="73" spans="2:22" s="163" customFormat="1">
      <c r="B73" s="154" t="s">
        <v>226</v>
      </c>
      <c r="C73" s="155"/>
      <c r="D73" s="156">
        <f>-'5.  2015-2020 LRAM'!Y573</f>
        <v>-1607.4135000000001</v>
      </c>
      <c r="E73" s="156">
        <f>-'5.  2015-2020 LRAM'!Z573</f>
        <v>-468.65070000000003</v>
      </c>
      <c r="F73" s="156">
        <f>-'5.  2015-2020 LRAM'!AA573</f>
        <v>-754.94696800000008</v>
      </c>
      <c r="G73" s="156">
        <f>-'5.  2015-2020 LRAM'!AB573</f>
        <v>-471.51067499999994</v>
      </c>
      <c r="H73" s="156">
        <f>-'5.  2015-2020 LRAM'!AC573</f>
        <v>-3.7270120000000002</v>
      </c>
      <c r="I73" s="156">
        <f>-'5.  2015-2020 LRAM'!AD573</f>
        <v>-3590.7968919999998</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-6897.0457470000001</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hidden="1">
      <c r="B75" s="154" t="s">
        <v>229</v>
      </c>
      <c r="C75" s="535"/>
      <c r="D75" s="156">
        <f>'5.  2015-2020 LRAM'!Y756</f>
        <v>8560.0126170333569</v>
      </c>
      <c r="E75" s="156">
        <f>'5.  2015-2020 LRAM'!Z756</f>
        <v>3563.2121632333851</v>
      </c>
      <c r="F75" s="156">
        <f>'5.  2015-2020 LRAM'!AA756</f>
        <v>1672.2158941306793</v>
      </c>
      <c r="G75" s="156">
        <f>'5.  2015-2020 LRAM'!AB756</f>
        <v>3028.3588519931154</v>
      </c>
      <c r="H75" s="156">
        <f>'5.  2015-2020 LRAM'!AC756</f>
        <v>0</v>
      </c>
      <c r="I75" s="156">
        <f>'5.  2015-2020 LRAM'!AD756</f>
        <v>1145.89114068</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17969.690667070536</v>
      </c>
      <c r="U75" s="152"/>
      <c r="V75" s="153"/>
    </row>
    <row r="76" spans="2:22" s="163" customFormat="1" ht="16.5" hidden="1"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hidden="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1048.3942776235112</v>
      </c>
      <c r="E84" s="679">
        <f>'6.  Carrying Charges'!J162</f>
        <v>750.01362437270132</v>
      </c>
      <c r="F84" s="679">
        <f>'6.  Carrying Charges'!K162</f>
        <v>67.63737078227075</v>
      </c>
      <c r="G84" s="679">
        <f>'6.  Carrying Charges'!L162</f>
        <v>121.40302014166411</v>
      </c>
      <c r="H84" s="679">
        <f>'6.  Carrying Charges'!M162</f>
        <v>-0.38248188857083321</v>
      </c>
      <c r="I84" s="679">
        <f>'6.  Carrying Charges'!N162</f>
        <v>-389.284109933938</v>
      </c>
      <c r="J84" s="679">
        <f>'6.  Carrying Charges'!O162</f>
        <v>0</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1597.7817010976385</v>
      </c>
      <c r="U84" s="152"/>
      <c r="V84" s="153"/>
    </row>
    <row r="85" spans="2:22" s="163" customFormat="1" ht="21.75" customHeight="1">
      <c r="B85" s="623" t="s">
        <v>240</v>
      </c>
      <c r="C85" s="624"/>
      <c r="D85" s="623">
        <f>SUM(D54:D74)+D84</f>
        <v>35740.325017716568</v>
      </c>
      <c r="E85" s="623">
        <f>SUM(E54:E74)+E84</f>
        <v>20380.100772104317</v>
      </c>
      <c r="F85" s="623">
        <f>SUM(F54:F74)+F84</f>
        <v>2299.1579769131963</v>
      </c>
      <c r="G85" s="623">
        <f>SUM(G54:G74)+G84</f>
        <v>4765.4621871396575</v>
      </c>
      <c r="H85" s="623">
        <f>SUM(H54:H74)+H84</f>
        <v>-12.162989888570834</v>
      </c>
      <c r="I85" s="623">
        <f t="shared" ref="I85:O85" si="2">SUM(I54:I74)+I84</f>
        <v>-10858.880386053937</v>
      </c>
      <c r="J85" s="623">
        <f t="shared" si="2"/>
        <v>0</v>
      </c>
      <c r="K85" s="623">
        <f t="shared" si="2"/>
        <v>0</v>
      </c>
      <c r="L85" s="623">
        <f t="shared" si="2"/>
        <v>0</v>
      </c>
      <c r="M85" s="623">
        <f t="shared" si="2"/>
        <v>0</v>
      </c>
      <c r="N85" s="623">
        <f t="shared" si="2"/>
        <v>0</v>
      </c>
      <c r="O85" s="623">
        <f t="shared" si="2"/>
        <v>0</v>
      </c>
      <c r="P85" s="623">
        <f>SUM(P54:P74)+P84</f>
        <v>0</v>
      </c>
      <c r="Q85" s="623">
        <f>SUM(Q54:Q74)+Q84</f>
        <v>0</v>
      </c>
      <c r="R85" s="623">
        <f>SUM(R54:R74)+R84</f>
        <v>52314.00257793122</v>
      </c>
      <c r="U85" s="152"/>
      <c r="V85" s="153"/>
    </row>
    <row r="86" spans="2:22" ht="20.25" customHeight="1">
      <c r="B86" s="453" t="s">
        <v>539</v>
      </c>
      <c r="C86" s="602"/>
      <c r="D86" s="601"/>
      <c r="E86" s="601"/>
      <c r="F86" s="601"/>
      <c r="G86" s="601"/>
      <c r="H86" s="601"/>
      <c r="I86" s="601"/>
      <c r="J86" s="601"/>
      <c r="K86" s="601"/>
      <c r="L86" s="601"/>
      <c r="M86" s="601"/>
      <c r="N86" s="601"/>
      <c r="O86" s="601"/>
      <c r="P86" s="601"/>
      <c r="Q86" s="601"/>
      <c r="R86" s="601"/>
      <c r="V86" s="13"/>
    </row>
    <row r="87" spans="2:22">
      <c r="B87" s="620"/>
      <c r="C87" s="66"/>
      <c r="D87" s="747">
        <f>SUM(D54:D74)</f>
        <v>34691.930740093056</v>
      </c>
      <c r="E87" s="747">
        <f t="shared" ref="E87:R87" si="3">SUM(E54:E74)</f>
        <v>19630.087147731614</v>
      </c>
      <c r="F87" s="747">
        <f t="shared" si="3"/>
        <v>2231.5206061309254</v>
      </c>
      <c r="G87" s="747">
        <f t="shared" si="3"/>
        <v>4644.0591669979931</v>
      </c>
      <c r="H87" s="747">
        <f t="shared" si="3"/>
        <v>-11.780508000000001</v>
      </c>
      <c r="I87" s="747">
        <f t="shared" si="3"/>
        <v>-10469.596276119999</v>
      </c>
      <c r="J87" s="747">
        <f t="shared" si="3"/>
        <v>0</v>
      </c>
      <c r="K87" s="747">
        <f t="shared" si="3"/>
        <v>0</v>
      </c>
      <c r="L87" s="747">
        <f t="shared" si="3"/>
        <v>0</v>
      </c>
      <c r="M87" s="747">
        <f t="shared" si="3"/>
        <v>0</v>
      </c>
      <c r="N87" s="747">
        <f t="shared" si="3"/>
        <v>0</v>
      </c>
      <c r="O87" s="747">
        <f t="shared" si="3"/>
        <v>0</v>
      </c>
      <c r="P87" s="747">
        <f t="shared" si="3"/>
        <v>0</v>
      </c>
      <c r="Q87" s="747">
        <f t="shared" si="3"/>
        <v>0</v>
      </c>
      <c r="R87" s="747">
        <f t="shared" si="3"/>
        <v>50716.220876833584</v>
      </c>
      <c r="V87" s="13"/>
    </row>
    <row r="88" spans="2:22" ht="15">
      <c r="E88" s="9"/>
    </row>
    <row r="89" spans="2:22" ht="21" hidden="1" customHeight="1">
      <c r="B89" s="118" t="s">
        <v>540</v>
      </c>
      <c r="F89" s="589"/>
    </row>
    <row r="90" spans="2:22" s="549" customFormat="1" ht="27.75" hidden="1" customHeight="1">
      <c r="B90" s="570" t="s">
        <v>560</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1251.7070495392206</v>
      </c>
      <c r="G93" s="557">
        <f>SUM('5.  2015-2020 LRAM'!Y199:AL199)</f>
        <v>1081.0191036141623</v>
      </c>
      <c r="H93" s="556">
        <f>SUM('5.  2015-2020 LRAM'!Y382:AL382)</f>
        <v>908.18229796829235</v>
      </c>
      <c r="I93" s="557">
        <f>SUM('5.  2015-2020 LRAM'!Y565:AL565)</f>
        <v>274.04504699261082</v>
      </c>
      <c r="J93" s="556">
        <f>SUM('5.  2015-2020 LRAM'!Y748:AL748)</f>
        <v>184.46980526624384</v>
      </c>
      <c r="K93" s="556">
        <f>SUM('5.  2015-2020 LRAM'!Y931:AL931)</f>
        <v>0</v>
      </c>
      <c r="L93" s="556">
        <f>SUM('5.  2015-2020 LRAM'!Y1114:AL1114)</f>
        <v>0</v>
      </c>
      <c r="M93" s="556">
        <f>SUM(C93:L93)</f>
        <v>3699.4233033805303</v>
      </c>
      <c r="T93" s="197"/>
      <c r="U93" s="197"/>
    </row>
    <row r="94" spans="2:22" s="90" customFormat="1" ht="23.25" hidden="1" customHeight="1">
      <c r="B94" s="198">
        <v>2012</v>
      </c>
      <c r="C94" s="558"/>
      <c r="D94" s="557">
        <f>SUM('4.  2011-2014 LRAM'!Y260:AL260)</f>
        <v>0</v>
      </c>
      <c r="E94" s="556">
        <f>SUM('4.  2011-2014 LRAM'!Y389:AL389)</f>
        <v>0</v>
      </c>
      <c r="F94" s="557">
        <f>SUM('4.  2011-2014 LRAM'!Y518:AL518)</f>
        <v>1682.6563732515315</v>
      </c>
      <c r="G94" s="557">
        <f>SUM('5.  2015-2020 LRAM'!Y200:AL200)</f>
        <v>1440.0572815558246</v>
      </c>
      <c r="H94" s="556">
        <f>SUM('5.  2015-2020 LRAM'!Y383:AL383)</f>
        <v>1337.899809458647</v>
      </c>
      <c r="I94" s="557">
        <f>SUM('5.  2015-2020 LRAM'!Y566:AL566)</f>
        <v>228.52542301233132</v>
      </c>
      <c r="J94" s="556">
        <f>SUM('5.  2015-2020 LRAM'!Y749:AL749)</f>
        <v>138.92837450923543</v>
      </c>
      <c r="K94" s="556">
        <f>SUM('5.  2015-2020 LRAM'!Y932:AL932)</f>
        <v>0</v>
      </c>
      <c r="L94" s="556">
        <f>SUM('5.  2015-2020 LRAM'!Y1115:AL1115)</f>
        <v>0</v>
      </c>
      <c r="M94" s="556">
        <f>SUM(D94:L94)</f>
        <v>4828.0672617875689</v>
      </c>
      <c r="T94" s="197"/>
      <c r="U94" s="197"/>
    </row>
    <row r="95" spans="2:22" s="90" customFormat="1" ht="23.25" hidden="1" customHeight="1">
      <c r="B95" s="198">
        <v>2013</v>
      </c>
      <c r="C95" s="559"/>
      <c r="D95" s="559"/>
      <c r="E95" s="557">
        <f>SUM('4.  2011-2014 LRAM'!Y390:AL390)</f>
        <v>0</v>
      </c>
      <c r="F95" s="557">
        <f>SUM('4.  2011-2014 LRAM'!Y519:AL519)</f>
        <v>3213.6170574168036</v>
      </c>
      <c r="G95" s="557">
        <f>SUM('5.  2015-2020 LRAM'!Y201:AL201)</f>
        <v>2883.0746768471417</v>
      </c>
      <c r="H95" s="556">
        <f>SUM('5.  2015-2020 LRAM'!Y384:AL384)</f>
        <v>2609.2326523548663</v>
      </c>
      <c r="I95" s="557">
        <f>SUM('5.  2015-2020 LRAM'!Y567:AL567)</f>
        <v>1105.6749174790471</v>
      </c>
      <c r="J95" s="556">
        <f>SUM('5.  2015-2020 LRAM'!Y750:AL750)</f>
        <v>757.57466763366631</v>
      </c>
      <c r="K95" s="556">
        <f>SUM('5.  2015-2020 LRAM'!Y933:AL933)</f>
        <v>0</v>
      </c>
      <c r="L95" s="556">
        <f>SUM('5.  2015-2020 LRAM'!Y1116:AL1116)</f>
        <v>0</v>
      </c>
      <c r="M95" s="556">
        <f>SUM(C95:L95)</f>
        <v>10569.173971731525</v>
      </c>
      <c r="T95" s="197"/>
      <c r="U95" s="197"/>
    </row>
    <row r="96" spans="2:22" s="90" customFormat="1" ht="23.25" hidden="1" customHeight="1">
      <c r="B96" s="198">
        <v>2014</v>
      </c>
      <c r="C96" s="559"/>
      <c r="D96" s="559"/>
      <c r="E96" s="559"/>
      <c r="F96" s="557">
        <f>SUM('4.  2011-2014 LRAM'!Y520:AL520)</f>
        <v>4532.1260151514762</v>
      </c>
      <c r="G96" s="557">
        <f>SUM('5.  2015-2020 LRAM'!Y202:AL202)</f>
        <v>3901.9505905465344</v>
      </c>
      <c r="H96" s="556">
        <f>SUM('5.  2015-2020 LRAM'!Y385:AL385)</f>
        <v>3580.4254865149151</v>
      </c>
      <c r="I96" s="557">
        <f>SUM('5.  2015-2020 LRAM'!Y568:AL568)</f>
        <v>2305.6961639301785</v>
      </c>
      <c r="J96" s="556">
        <f>SUM('5.  2015-2020 LRAM'!Y751:AL751)</f>
        <v>1916.7893488613909</v>
      </c>
      <c r="K96" s="556">
        <f>SUM('5.  2015-2020 LRAM'!Y934:AL934)</f>
        <v>0</v>
      </c>
      <c r="L96" s="556">
        <f>SUM('5.  2015-2020 LRAM'!Y1117:AL1117)</f>
        <v>0</v>
      </c>
      <c r="M96" s="556">
        <f>SUM(F96:L96)</f>
        <v>16236.987605004495</v>
      </c>
      <c r="T96" s="197"/>
      <c r="U96" s="197"/>
    </row>
    <row r="97" spans="2:21" s="90" customFormat="1" ht="23.25" hidden="1" customHeight="1">
      <c r="B97" s="198">
        <v>2015</v>
      </c>
      <c r="C97" s="559"/>
      <c r="D97" s="559"/>
      <c r="E97" s="559"/>
      <c r="F97" s="559"/>
      <c r="G97" s="557">
        <f>SUM('5.  2015-2020 LRAM'!Y203:AL203)</f>
        <v>8498.7932914000012</v>
      </c>
      <c r="H97" s="556">
        <f>SUM('5.  2015-2020 LRAM'!Y386:AL386)</f>
        <v>7905.7554182399999</v>
      </c>
      <c r="I97" s="557">
        <f>SUM('5.  2015-2020 LRAM'!Y569:AL569)</f>
        <v>6787.4845748999996</v>
      </c>
      <c r="J97" s="556">
        <f>SUM('5.  2015-2020 LRAM'!Y752:AL752)</f>
        <v>5040.7899046400007</v>
      </c>
      <c r="K97" s="556">
        <f>SUM('5.  2015-2020 LRAM'!Y935:AL935)</f>
        <v>0</v>
      </c>
      <c r="L97" s="556">
        <f>SUM('5.  2015-2020 LRAM'!Y1118:AL1118)</f>
        <v>0</v>
      </c>
      <c r="M97" s="556">
        <f>SUM(G97:L97)</f>
        <v>28232.823189180006</v>
      </c>
      <c r="T97" s="197"/>
      <c r="U97" s="197"/>
    </row>
    <row r="98" spans="2:21" s="90" customFormat="1" ht="23.25" hidden="1" customHeight="1">
      <c r="B98" s="198">
        <v>2016</v>
      </c>
      <c r="C98" s="559"/>
      <c r="D98" s="559"/>
      <c r="E98" s="559"/>
      <c r="F98" s="559"/>
      <c r="G98" s="559"/>
      <c r="H98" s="556">
        <f>SUM('5.  2015-2020 LRAM'!Y387:AL387)</f>
        <v>9810.4051221599984</v>
      </c>
      <c r="I98" s="557">
        <f>SUM('5.  2015-2020 LRAM'!Y570:AL570)</f>
        <v>8742.9105135000009</v>
      </c>
      <c r="J98" s="556">
        <f>SUM('5.  2015-2020 LRAM'!Y753:AL753)</f>
        <v>7039.4619181599992</v>
      </c>
      <c r="K98" s="556">
        <f>SUM('5.  2015-2020 LRAM'!Y936:AL936)</f>
        <v>0</v>
      </c>
      <c r="L98" s="556">
        <f>SUM('5.  2015-2020 LRAM'!Y1119:AL1119)</f>
        <v>0</v>
      </c>
      <c r="M98" s="556">
        <f>SUM(H98:L98)</f>
        <v>25592.77755382</v>
      </c>
      <c r="T98" s="197"/>
      <c r="U98" s="197"/>
    </row>
    <row r="99" spans="2:21" s="90" customFormat="1" ht="23.25" hidden="1" customHeight="1">
      <c r="B99" s="198">
        <v>2017</v>
      </c>
      <c r="C99" s="559"/>
      <c r="D99" s="559"/>
      <c r="E99" s="559"/>
      <c r="F99" s="559"/>
      <c r="G99" s="559"/>
      <c r="H99" s="559"/>
      <c r="I99" s="556">
        <f>SUM('5.  2015-2020 LRAM'!Y571:AL571)</f>
        <v>5969.635596000001</v>
      </c>
      <c r="J99" s="556">
        <f>SUM('5.  2015-2020 LRAM'!Y754:AL754)</f>
        <v>2891.6766480000006</v>
      </c>
      <c r="K99" s="556">
        <f>SUM('5.  2015-2020 LRAM'!Y937:AL937)</f>
        <v>0</v>
      </c>
      <c r="L99" s="556">
        <f>SUM('5.  2015-2020 LRAM'!Y1120:AL1120)</f>
        <v>0</v>
      </c>
      <c r="M99" s="556">
        <f>SUM(I99:L99)</f>
        <v>8861.3122440000006</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0</v>
      </c>
      <c r="L100" s="556">
        <f>SUM('5.  2015-2020 LRAM'!Y1121:AL1121)</f>
        <v>0</v>
      </c>
      <c r="M100" s="556">
        <f>SUM(J100:L100)</f>
        <v>0</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522</v>
      </c>
      <c r="C103" s="555">
        <f>C93</f>
        <v>0</v>
      </c>
      <c r="D103" s="556">
        <f>D93+D94</f>
        <v>0</v>
      </c>
      <c r="E103" s="556">
        <f>E93+E94+E95</f>
        <v>0</v>
      </c>
      <c r="F103" s="556">
        <f>F93+F94+F95+F96</f>
        <v>10680.106495359032</v>
      </c>
      <c r="G103" s="556">
        <f>G93+G94+G95+G96+G97</f>
        <v>17804.894943963664</v>
      </c>
      <c r="H103" s="556">
        <f>H93+H94+H95+H96+H97+H98</f>
        <v>26151.900786696722</v>
      </c>
      <c r="I103" s="556">
        <f>I93+I94+I95+I96+I97+I98+I99</f>
        <v>25413.972235814166</v>
      </c>
      <c r="J103" s="556">
        <f>J93+J94+J95+J96+J97+J98+J99+J100</f>
        <v>17969.690667070536</v>
      </c>
      <c r="K103" s="556">
        <f>K93+K94+K95+K96+K97+K98+K99+K100+K101</f>
        <v>0</v>
      </c>
      <c r="L103" s="556">
        <f>SUM(L93:L102)</f>
        <v>0</v>
      </c>
      <c r="M103" s="556">
        <f>SUM(M93:M102)</f>
        <v>98020.565128904127</v>
      </c>
      <c r="T103" s="199"/>
      <c r="U103" s="199"/>
    </row>
    <row r="104" spans="2:21" s="27" customFormat="1" ht="24.75" hidden="1" customHeight="1">
      <c r="B104" s="572" t="s">
        <v>521</v>
      </c>
      <c r="C104" s="554">
        <f>'4.  2011-2014 LRAM'!AM132</f>
        <v>0</v>
      </c>
      <c r="D104" s="554">
        <f>'4.  2011-2014 LRAM'!AM262</f>
        <v>0</v>
      </c>
      <c r="E104" s="554">
        <f>'4.  2011-2014 LRAM'!AM392</f>
        <v>0</v>
      </c>
      <c r="F104" s="554">
        <f>'4.  2011-2014 LRAM'!AM522</f>
        <v>7739.9849699999995</v>
      </c>
      <c r="G104" s="554">
        <f>'5.  2015-2020 LRAM'!AM205</f>
        <v>7425.266662</v>
      </c>
      <c r="H104" s="554">
        <f>'5.  2015-2020 LRAM'!AM389</f>
        <v>7272.3562060000004</v>
      </c>
      <c r="I104" s="554">
        <f>'5.  2015-2020 LRAM'!AM573</f>
        <v>6897.0457470000001</v>
      </c>
      <c r="J104" s="554">
        <f>'5.  2015-2020 LRAM'!AM757</f>
        <v>0</v>
      </c>
      <c r="K104" s="554">
        <f>'5.  2015-2020 LRAM'!AM941</f>
        <v>0</v>
      </c>
      <c r="L104" s="554">
        <f>'5.  2015-2020 LRAM'!AM1125</f>
        <v>0</v>
      </c>
      <c r="M104" s="556">
        <f>SUM(C104:L104)</f>
        <v>29334.653585</v>
      </c>
      <c r="T104" s="89"/>
      <c r="U104" s="89"/>
    </row>
    <row r="105" spans="2:21" ht="24.75" hidden="1" customHeight="1">
      <c r="B105" s="572" t="s">
        <v>43</v>
      </c>
      <c r="C105" s="554">
        <f>'6.  Carrying Charges'!W27</f>
        <v>0</v>
      </c>
      <c r="D105" s="554">
        <f>'6.  Carrying Charges'!W42</f>
        <v>0</v>
      </c>
      <c r="E105" s="554">
        <f>'6.  Carrying Charges'!W57</f>
        <v>0</v>
      </c>
      <c r="F105" s="554">
        <f>'6.  Carrying Charges'!W72</f>
        <v>19.809068777106489</v>
      </c>
      <c r="G105" s="554">
        <f>'6.  Carrying Charges'!W87</f>
        <v>108.0007402353145</v>
      </c>
      <c r="H105" s="554">
        <f>'6.  Carrying Charges'!W102</f>
        <v>349.70235871021009</v>
      </c>
      <c r="I105" s="554">
        <f>'6.  Carrying Charges'!W117</f>
        <v>844.88083448822613</v>
      </c>
      <c r="J105" s="554">
        <f>'6.  Carrying Charges'!W132</f>
        <v>1597.7817010976385</v>
      </c>
      <c r="K105" s="554">
        <f>'6.  Carrying Charges'!W147</f>
        <v>1597.7817010976385</v>
      </c>
      <c r="L105" s="554">
        <f>'6.  Carrying Charges'!W162</f>
        <v>1597.7817010976385</v>
      </c>
      <c r="M105" s="556">
        <f>SUM(C105:L105)</f>
        <v>6115.7381055037731</v>
      </c>
    </row>
    <row r="106" spans="2:21" ht="23.25" hidden="1" customHeight="1">
      <c r="B106" s="571" t="s">
        <v>26</v>
      </c>
      <c r="C106" s="554">
        <f>C103-C104+C105</f>
        <v>0</v>
      </c>
      <c r="D106" s="554">
        <f t="shared" ref="D106:J106" si="4">D103-D104+D105</f>
        <v>0</v>
      </c>
      <c r="E106" s="554">
        <f t="shared" si="4"/>
        <v>0</v>
      </c>
      <c r="F106" s="554">
        <f t="shared" si="4"/>
        <v>2959.930594136139</v>
      </c>
      <c r="G106" s="554">
        <f t="shared" si="4"/>
        <v>10487.629022198978</v>
      </c>
      <c r="H106" s="554">
        <f t="shared" si="4"/>
        <v>19229.24693940693</v>
      </c>
      <c r="I106" s="554">
        <f t="shared" si="4"/>
        <v>19361.807323302393</v>
      </c>
      <c r="J106" s="554">
        <f t="shared" si="4"/>
        <v>19567.472368168175</v>
      </c>
      <c r="K106" s="554">
        <f>K103-K104+K105</f>
        <v>1597.7817010976385</v>
      </c>
      <c r="L106" s="554">
        <f>L103-L104+L105</f>
        <v>1597.7817010976385</v>
      </c>
      <c r="M106" s="554">
        <f>M103-M104+M105</f>
        <v>74801.649649407904</v>
      </c>
    </row>
    <row r="107" spans="2:21" hidden="1"/>
    <row r="108" spans="2:21">
      <c r="B108" s="589" t="s">
        <v>529</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opLeftCell="A25" zoomScale="80" zoomScaleNormal="80" workbookViewId="0">
      <selection activeCell="E16" sqref="E16"/>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407</v>
      </c>
    </row>
    <row r="16" spans="2:3" ht="27" customHeight="1" thickBot="1">
      <c r="C16" s="569" t="s">
        <v>554</v>
      </c>
    </row>
    <row r="19" spans="2:8" ht="15.75">
      <c r="B19" s="537" t="s">
        <v>618</v>
      </c>
    </row>
    <row r="20" spans="2:8" ht="13.5" customHeight="1"/>
    <row r="21" spans="2:8" ht="40.9" customHeight="1">
      <c r="B21" s="775" t="s">
        <v>684</v>
      </c>
      <c r="C21" s="775"/>
      <c r="D21" s="775"/>
      <c r="E21" s="775"/>
      <c r="F21" s="775"/>
      <c r="G21" s="775"/>
      <c r="H21" s="775"/>
    </row>
    <row r="23" spans="2:8" s="609" customFormat="1" ht="15.75">
      <c r="B23" s="619" t="s">
        <v>549</v>
      </c>
      <c r="C23" s="619" t="s">
        <v>564</v>
      </c>
      <c r="D23" s="619" t="s">
        <v>548</v>
      </c>
      <c r="E23" s="782" t="s">
        <v>34</v>
      </c>
      <c r="F23" s="783"/>
      <c r="G23" s="782" t="s">
        <v>547</v>
      </c>
      <c r="H23" s="783"/>
    </row>
    <row r="24" spans="2:8">
      <c r="B24" s="608">
        <v>1</v>
      </c>
      <c r="C24" s="644"/>
      <c r="D24" s="607"/>
      <c r="E24" s="780"/>
      <c r="F24" s="781"/>
      <c r="G24" s="784"/>
      <c r="H24" s="785"/>
    </row>
    <row r="25" spans="2:8">
      <c r="B25" s="608">
        <v>2</v>
      </c>
      <c r="C25" s="644"/>
      <c r="D25" s="607"/>
      <c r="E25" s="780"/>
      <c r="F25" s="781"/>
      <c r="G25" s="784"/>
      <c r="H25" s="785"/>
    </row>
    <row r="26" spans="2:8">
      <c r="B26" s="608">
        <v>3</v>
      </c>
      <c r="C26" s="644"/>
      <c r="D26" s="607"/>
      <c r="E26" s="780"/>
      <c r="F26" s="781"/>
      <c r="G26" s="784"/>
      <c r="H26" s="785"/>
    </row>
    <row r="27" spans="2:8">
      <c r="B27" s="608">
        <v>4</v>
      </c>
      <c r="C27" s="644"/>
      <c r="D27" s="607"/>
      <c r="E27" s="780"/>
      <c r="F27" s="781"/>
      <c r="G27" s="784"/>
      <c r="H27" s="785"/>
    </row>
    <row r="28" spans="2:8">
      <c r="B28" s="608">
        <v>5</v>
      </c>
      <c r="C28" s="644"/>
      <c r="D28" s="607"/>
      <c r="E28" s="780"/>
      <c r="F28" s="781"/>
      <c r="G28" s="784"/>
      <c r="H28" s="785"/>
    </row>
    <row r="29" spans="2:8">
      <c r="B29" s="608">
        <v>6</v>
      </c>
      <c r="C29" s="644"/>
      <c r="D29" s="607"/>
      <c r="E29" s="780"/>
      <c r="F29" s="781"/>
      <c r="G29" s="784"/>
      <c r="H29" s="785"/>
    </row>
    <row r="30" spans="2:8">
      <c r="B30" s="608">
        <v>7</v>
      </c>
      <c r="C30" s="644"/>
      <c r="D30" s="607"/>
      <c r="E30" s="780"/>
      <c r="F30" s="781"/>
      <c r="G30" s="784"/>
      <c r="H30" s="785"/>
    </row>
    <row r="31" spans="2:8">
      <c r="B31" s="608">
        <v>8</v>
      </c>
      <c r="C31" s="644"/>
      <c r="D31" s="607"/>
      <c r="E31" s="780"/>
      <c r="F31" s="781"/>
      <c r="G31" s="784"/>
      <c r="H31" s="785"/>
    </row>
    <row r="32" spans="2:8">
      <c r="B32" s="608">
        <v>9</v>
      </c>
      <c r="C32" s="644"/>
      <c r="D32" s="607"/>
      <c r="E32" s="780"/>
      <c r="F32" s="781"/>
      <c r="G32" s="784"/>
      <c r="H32" s="785"/>
    </row>
    <row r="33" spans="2:8">
      <c r="B33" s="608">
        <v>10</v>
      </c>
      <c r="C33" s="644"/>
      <c r="D33" s="607"/>
      <c r="E33" s="780"/>
      <c r="F33" s="781"/>
      <c r="G33" s="784"/>
      <c r="H33" s="785"/>
    </row>
    <row r="34" spans="2:8">
      <c r="B34" s="608" t="s">
        <v>481</v>
      </c>
      <c r="C34" s="644"/>
      <c r="D34" s="607"/>
      <c r="E34" s="780"/>
      <c r="F34" s="781"/>
      <c r="G34" s="784"/>
      <c r="H34" s="785"/>
    </row>
    <row r="36" spans="2:8" ht="30.75" customHeight="1">
      <c r="B36" s="537" t="s">
        <v>614</v>
      </c>
    </row>
    <row r="37" spans="2:8" ht="23.25" customHeight="1">
      <c r="B37" s="568" t="s">
        <v>619</v>
      </c>
      <c r="C37" s="605"/>
      <c r="D37" s="605"/>
      <c r="E37" s="605"/>
      <c r="F37" s="605"/>
      <c r="G37" s="605"/>
      <c r="H37" s="605"/>
    </row>
    <row r="39" spans="2:8" s="90" customFormat="1" ht="15.75">
      <c r="B39" s="619" t="s">
        <v>549</v>
      </c>
      <c r="C39" s="619" t="s">
        <v>564</v>
      </c>
      <c r="D39" s="619" t="s">
        <v>548</v>
      </c>
      <c r="E39" s="782" t="s">
        <v>34</v>
      </c>
      <c r="F39" s="783"/>
      <c r="G39" s="782" t="s">
        <v>547</v>
      </c>
      <c r="H39" s="783"/>
    </row>
    <row r="40" spans="2:8">
      <c r="B40" s="608">
        <v>1</v>
      </c>
      <c r="C40" s="644"/>
      <c r="D40" s="607"/>
      <c r="E40" s="780"/>
      <c r="F40" s="781"/>
      <c r="G40" s="784"/>
      <c r="H40" s="785"/>
    </row>
    <row r="41" spans="2:8">
      <c r="B41" s="608">
        <v>2</v>
      </c>
      <c r="C41" s="644"/>
      <c r="D41" s="607"/>
      <c r="E41" s="780"/>
      <c r="F41" s="781"/>
      <c r="G41" s="784"/>
      <c r="H41" s="785"/>
    </row>
    <row r="42" spans="2:8">
      <c r="B42" s="608">
        <v>3</v>
      </c>
      <c r="C42" s="644"/>
      <c r="D42" s="607"/>
      <c r="E42" s="780"/>
      <c r="F42" s="781"/>
      <c r="G42" s="784"/>
      <c r="H42" s="785"/>
    </row>
    <row r="43" spans="2:8">
      <c r="B43" s="608">
        <v>4</v>
      </c>
      <c r="C43" s="644"/>
      <c r="D43" s="607"/>
      <c r="E43" s="780"/>
      <c r="F43" s="781"/>
      <c r="G43" s="784"/>
      <c r="H43" s="785"/>
    </row>
    <row r="44" spans="2:8">
      <c r="B44" s="608">
        <v>5</v>
      </c>
      <c r="C44" s="644"/>
      <c r="D44" s="607"/>
      <c r="E44" s="780"/>
      <c r="F44" s="781"/>
      <c r="G44" s="784"/>
      <c r="H44" s="785"/>
    </row>
    <row r="45" spans="2:8">
      <c r="B45" s="608">
        <v>6</v>
      </c>
      <c r="C45" s="644"/>
      <c r="D45" s="607"/>
      <c r="E45" s="780"/>
      <c r="F45" s="781"/>
      <c r="G45" s="784"/>
      <c r="H45" s="785"/>
    </row>
    <row r="46" spans="2:8">
      <c r="B46" s="608">
        <v>7</v>
      </c>
      <c r="C46" s="644"/>
      <c r="D46" s="607"/>
      <c r="E46" s="780"/>
      <c r="F46" s="781"/>
      <c r="G46" s="784"/>
      <c r="H46" s="785"/>
    </row>
    <row r="47" spans="2:8">
      <c r="B47" s="608">
        <v>8</v>
      </c>
      <c r="C47" s="644"/>
      <c r="D47" s="607"/>
      <c r="E47" s="780"/>
      <c r="F47" s="781"/>
      <c r="G47" s="784"/>
      <c r="H47" s="785"/>
    </row>
    <row r="48" spans="2:8">
      <c r="B48" s="608">
        <v>9</v>
      </c>
      <c r="C48" s="644"/>
      <c r="D48" s="607"/>
      <c r="E48" s="780"/>
      <c r="F48" s="781"/>
      <c r="G48" s="784"/>
      <c r="H48" s="785"/>
    </row>
    <row r="49" spans="2:8">
      <c r="B49" s="608">
        <v>10</v>
      </c>
      <c r="C49" s="644"/>
      <c r="D49" s="607"/>
      <c r="E49" s="780"/>
      <c r="F49" s="781"/>
      <c r="G49" s="784"/>
      <c r="H49" s="785"/>
    </row>
    <row r="50" spans="2:8">
      <c r="B50" s="608" t="s">
        <v>481</v>
      </c>
      <c r="C50" s="644"/>
      <c r="D50" s="607"/>
      <c r="E50" s="780"/>
      <c r="F50" s="781"/>
      <c r="G50" s="784"/>
      <c r="H50" s="785"/>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zoomScale="80" zoomScaleNormal="80" workbookViewId="0">
      <selection activeCell="I16" sqref="I16"/>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407</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554</v>
      </c>
      <c r="P7" s="105"/>
      <c r="Q7" s="105"/>
    </row>
    <row r="8" spans="2:17" s="104" customFormat="1" ht="30" customHeight="1">
      <c r="D8" s="574"/>
      <c r="P8" s="105"/>
      <c r="Q8" s="105"/>
    </row>
    <row r="9" spans="2:17" s="2" customFormat="1" ht="24.75" customHeight="1">
      <c r="B9" s="118" t="s">
        <v>412</v>
      </c>
      <c r="C9" s="17"/>
      <c r="D9" s="455">
        <v>2015</v>
      </c>
    </row>
    <row r="10" spans="2:17" s="17" customFormat="1" ht="16.5" customHeight="1"/>
    <row r="11" spans="2:17" s="17" customFormat="1" ht="36.75" customHeight="1">
      <c r="B11" s="786" t="s">
        <v>566</v>
      </c>
      <c r="C11" s="786"/>
      <c r="D11" s="786"/>
      <c r="E11" s="786"/>
      <c r="F11" s="786"/>
      <c r="G11" s="786"/>
      <c r="H11" s="786"/>
      <c r="I11" s="786"/>
      <c r="J11" s="786"/>
      <c r="K11" s="786"/>
      <c r="L11" s="786"/>
      <c r="M11" s="786"/>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50-1499 KW</v>
      </c>
      <c r="G13" s="243" t="str">
        <f>'1.  LRAMVA Summary'!G52</f>
        <v>Intermediate</v>
      </c>
      <c r="H13" s="243" t="str">
        <f>'1.  LRAMVA Summary'!H52</f>
        <v>Sentinel</v>
      </c>
      <c r="I13" s="243" t="str">
        <f>'1.  LRAMVA Summary'!I52</f>
        <v xml:space="preserve">Street Lighting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657976</v>
      </c>
      <c r="D15" s="451">
        <v>162365</v>
      </c>
      <c r="E15" s="451">
        <v>74389</v>
      </c>
      <c r="F15" s="451">
        <v>150829</v>
      </c>
      <c r="G15" s="451">
        <v>142265</v>
      </c>
      <c r="H15" s="451">
        <v>128</v>
      </c>
      <c r="I15" s="451">
        <v>128000</v>
      </c>
      <c r="J15" s="451"/>
      <c r="K15" s="451"/>
      <c r="L15" s="451"/>
      <c r="M15" s="451"/>
      <c r="N15" s="451"/>
      <c r="O15" s="451"/>
      <c r="P15" s="452"/>
      <c r="Q15" s="452"/>
    </row>
    <row r="16" spans="2:17" s="456" customFormat="1" ht="15.75" customHeight="1">
      <c r="B16" s="461" t="s">
        <v>28</v>
      </c>
      <c r="C16" s="626">
        <f>SUM(D16:Q16)</f>
        <v>2244.7399999999998</v>
      </c>
      <c r="D16" s="450"/>
      <c r="E16" s="450"/>
      <c r="F16" s="450">
        <v>432.56</v>
      </c>
      <c r="G16" s="450">
        <v>406.65</v>
      </c>
      <c r="H16" s="450">
        <v>0.46</v>
      </c>
      <c r="I16" s="450">
        <v>1405.07</v>
      </c>
      <c r="J16" s="450"/>
      <c r="K16" s="452"/>
      <c r="L16" s="452"/>
      <c r="M16" s="452"/>
      <c r="N16" s="452"/>
      <c r="O16" s="452"/>
      <c r="P16" s="452"/>
      <c r="Q16" s="452"/>
    </row>
    <row r="17" spans="2:17" s="17" customFormat="1" ht="15.75" customHeight="1"/>
    <row r="18" spans="2:17" s="25" customFormat="1" ht="15.75" customHeight="1">
      <c r="B18" s="191" t="s">
        <v>452</v>
      </c>
      <c r="C18" s="192"/>
      <c r="D18" s="192">
        <f t="shared" ref="D18:E18" si="0">IF(D14="kw",HLOOKUP(D14,D14:D16,3,FALSE),HLOOKUP(D14,D14:D16,2,FALSE))</f>
        <v>162365</v>
      </c>
      <c r="E18" s="192">
        <f t="shared" si="0"/>
        <v>74389</v>
      </c>
      <c r="F18" s="192">
        <f>IF(F14="kw",HLOOKUP(F14,F14:F16,3,FALSE),HLOOKUP(F14,F14:F16,2,FALSE))</f>
        <v>432.56</v>
      </c>
      <c r="G18" s="192">
        <f t="shared" ref="G18:Q18" si="1">IF(G14="kw",HLOOKUP(G14,G14:G16,3,FALSE),HLOOKUP(G14,G14:G16,2,FALSE))</f>
        <v>406.65</v>
      </c>
      <c r="H18" s="192">
        <f t="shared" si="1"/>
        <v>0.46</v>
      </c>
      <c r="I18" s="192">
        <f t="shared" si="1"/>
        <v>1405.07</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678</v>
      </c>
      <c r="C20" s="453"/>
      <c r="D20" s="454"/>
    </row>
    <row r="21" spans="2:17" s="438" customFormat="1" ht="21" customHeight="1">
      <c r="B21" s="460" t="s">
        <v>367</v>
      </c>
      <c r="C21" s="453" t="s">
        <v>414</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413</v>
      </c>
      <c r="C24" s="118"/>
      <c r="D24" s="455"/>
    </row>
    <row r="25" spans="2:17" s="2" customFormat="1" ht="15.75" customHeight="1">
      <c r="D25" s="20"/>
    </row>
    <row r="26" spans="2:17" s="2" customFormat="1" ht="42" customHeight="1">
      <c r="B26" s="786" t="s">
        <v>565</v>
      </c>
      <c r="C26" s="786"/>
      <c r="D26" s="786"/>
      <c r="E26" s="786"/>
      <c r="F26" s="786"/>
      <c r="G26" s="786"/>
      <c r="H26" s="786"/>
      <c r="I26" s="786"/>
      <c r="J26" s="786"/>
      <c r="K26" s="786"/>
      <c r="L26" s="786"/>
      <c r="M26" s="786"/>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50-1499 KW</v>
      </c>
      <c r="G28" s="243" t="str">
        <f>'1.  LRAMVA Summary'!G52</f>
        <v>Intermediate</v>
      </c>
      <c r="H28" s="243" t="str">
        <f>'1.  LRAMVA Summary'!H52</f>
        <v>Sentinel</v>
      </c>
      <c r="I28" s="243" t="str">
        <f>'1.  LRAMVA Summary'!I52</f>
        <v xml:space="preserve">Street Lighting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452</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678</v>
      </c>
      <c r="C35" s="453"/>
      <c r="D35" s="454"/>
      <c r="E35" s="93"/>
      <c r="F35" s="93"/>
      <c r="G35" s="93"/>
      <c r="H35" s="93"/>
      <c r="I35" s="93"/>
      <c r="J35" s="93"/>
      <c r="K35" s="93"/>
      <c r="L35" s="93"/>
      <c r="M35" s="93"/>
      <c r="N35" s="93"/>
      <c r="O35" s="93"/>
      <c r="P35" s="93"/>
      <c r="Q35" s="93"/>
    </row>
    <row r="36" spans="2:32" s="438" customFormat="1" ht="21" customHeight="1">
      <c r="B36" s="460" t="s">
        <v>367</v>
      </c>
      <c r="C36" s="453" t="s">
        <v>414</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454</v>
      </c>
      <c r="C39" s="35"/>
      <c r="D39" s="34"/>
      <c r="E39" s="39"/>
      <c r="F39" s="40"/>
    </row>
    <row r="40" spans="2:32" s="70" customFormat="1" ht="39" customHeight="1">
      <c r="B40" s="786" t="s">
        <v>612</v>
      </c>
      <c r="C40" s="786"/>
      <c r="D40" s="786"/>
      <c r="E40" s="786"/>
      <c r="F40" s="786"/>
      <c r="G40" s="786"/>
      <c r="H40" s="786"/>
      <c r="I40" s="786"/>
      <c r="J40" s="786"/>
      <c r="K40" s="786"/>
      <c r="L40" s="786"/>
      <c r="M40" s="786"/>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609</v>
      </c>
      <c r="D42" s="243" t="str">
        <f>'1.  LRAMVA Summary'!D52</f>
        <v>Residential</v>
      </c>
      <c r="E42" s="243" t="str">
        <f>'1.  LRAMVA Summary'!E52</f>
        <v>GS&lt;50 kW</v>
      </c>
      <c r="F42" s="243" t="str">
        <f>'1.  LRAMVA Summary'!F52</f>
        <v>GS 50-1499 KW</v>
      </c>
      <c r="G42" s="243" t="str">
        <f>'1.  LRAMVA Summary'!G52</f>
        <v>Intermediate</v>
      </c>
      <c r="H42" s="243" t="str">
        <f>'1.  LRAMVA Summary'!H52</f>
        <v>Sentinel</v>
      </c>
      <c r="I42" s="243" t="str">
        <f>'1.  LRAMVA Summary'!I52</f>
        <v xml:space="preserve">Street Lighting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v>2015</v>
      </c>
      <c r="D47" s="190">
        <f t="shared" ref="D47:Q47" si="6">IF(ISBLANK($C$47),0,IF($C$47=$D$9,HLOOKUP(D43,D14:D18,5,FALSE),HLOOKUP(D43,D29:D33,5,FALSE)))</f>
        <v>162365</v>
      </c>
      <c r="E47" s="190">
        <f t="shared" si="6"/>
        <v>74389</v>
      </c>
      <c r="F47" s="190">
        <f t="shared" si="6"/>
        <v>432.56</v>
      </c>
      <c r="G47" s="190">
        <f t="shared" si="6"/>
        <v>406.65</v>
      </c>
      <c r="H47" s="190">
        <f t="shared" si="6"/>
        <v>0.46</v>
      </c>
      <c r="I47" s="190">
        <f t="shared" si="6"/>
        <v>1405.07</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2015</v>
      </c>
      <c r="D48" s="190">
        <f t="shared" ref="D48:Q48" si="7">IF(ISBLANK($C$48),0,IF($C$48=$D$9,HLOOKUP(D43,D14:D18,5,FALSE),HLOOKUP(D43,D29:D33,5,FALSE)))</f>
        <v>162365</v>
      </c>
      <c r="E48" s="190">
        <f t="shared" si="7"/>
        <v>74389</v>
      </c>
      <c r="F48" s="190">
        <f t="shared" si="7"/>
        <v>432.56</v>
      </c>
      <c r="G48" s="190">
        <f t="shared" si="7"/>
        <v>406.65</v>
      </c>
      <c r="H48" s="190">
        <f t="shared" si="7"/>
        <v>0.46</v>
      </c>
      <c r="I48" s="190">
        <f t="shared" si="7"/>
        <v>1405.07</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2015</v>
      </c>
      <c r="D49" s="190">
        <f t="shared" ref="D49:Q49" si="8">IF(ISBLANK($C$49),0,IF($C$49=$D$9,HLOOKUP(D43,D14:D18,5,FALSE),HLOOKUP(D43,D29:D33,5,FALSE)))</f>
        <v>162365</v>
      </c>
      <c r="E49" s="190">
        <f t="shared" si="8"/>
        <v>74389</v>
      </c>
      <c r="F49" s="190">
        <f t="shared" si="8"/>
        <v>432.56</v>
      </c>
      <c r="G49" s="190">
        <f t="shared" si="8"/>
        <v>406.65</v>
      </c>
      <c r="H49" s="190">
        <f t="shared" si="8"/>
        <v>0.46</v>
      </c>
      <c r="I49" s="190">
        <f t="shared" si="8"/>
        <v>1405.07</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2015</v>
      </c>
      <c r="D50" s="190">
        <f t="shared" ref="D50:I50" si="9">IF(ISBLANK($C$50),0,IF($C$50=$D$9,HLOOKUP(D43,D14:D18,5,FALSE),HLOOKUP(D43,D29:D33,5,FALSE)))</f>
        <v>162365</v>
      </c>
      <c r="E50" s="190">
        <f t="shared" si="9"/>
        <v>74389</v>
      </c>
      <c r="F50" s="190">
        <f t="shared" si="9"/>
        <v>432.56</v>
      </c>
      <c r="G50" s="190">
        <f t="shared" si="9"/>
        <v>406.65</v>
      </c>
      <c r="H50" s="190">
        <f t="shared" si="9"/>
        <v>0.46</v>
      </c>
      <c r="I50" s="190">
        <f t="shared" si="9"/>
        <v>1405.07</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hidden="1">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539</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70" zoomScaleNormal="70" workbookViewId="0">
      <pane ySplit="14" topLeftCell="A15" activePane="bottomLeft" state="frozen"/>
      <selection pane="bottomLeft" activeCell="I141" sqref="I141"/>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787" t="s">
        <v>171</v>
      </c>
      <c r="C4" s="85" t="s">
        <v>175</v>
      </c>
      <c r="D4" s="85"/>
      <c r="E4" s="49"/>
    </row>
    <row r="5" spans="1:26" s="18" customFormat="1" ht="26.25" hidden="1" customHeight="1" outlineLevel="1" thickBot="1">
      <c r="A5" s="4"/>
      <c r="B5" s="787"/>
      <c r="C5" s="86" t="s">
        <v>172</v>
      </c>
      <c r="D5" s="86"/>
      <c r="E5" s="49"/>
    </row>
    <row r="6" spans="1:26" ht="26.25" hidden="1" customHeight="1" outlineLevel="1" thickBot="1">
      <c r="B6" s="787"/>
      <c r="C6" s="793" t="s">
        <v>554</v>
      </c>
      <c r="D6" s="794"/>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530</v>
      </c>
      <c r="C8" s="594" t="s">
        <v>483</v>
      </c>
      <c r="D8" s="593"/>
      <c r="M8" s="6"/>
      <c r="N8" s="6"/>
      <c r="O8" s="6"/>
      <c r="P8" s="6"/>
      <c r="Q8" s="6"/>
      <c r="R8" s="6"/>
      <c r="S8" s="6"/>
      <c r="T8" s="6"/>
      <c r="U8" s="6"/>
      <c r="V8" s="6"/>
      <c r="W8" s="6"/>
      <c r="X8" s="6"/>
      <c r="Y8" s="6"/>
      <c r="Z8" s="6"/>
    </row>
    <row r="9" spans="1:26" s="18" customFormat="1" ht="19.5" hidden="1" customHeight="1" outlineLevel="1">
      <c r="A9" s="4"/>
      <c r="B9" s="540"/>
      <c r="C9" s="594" t="s">
        <v>531</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484</v>
      </c>
      <c r="O11" s="552"/>
    </row>
    <row r="12" spans="1:26" ht="58.5" customHeight="1">
      <c r="B12" s="795" t="s">
        <v>620</v>
      </c>
      <c r="C12" s="795"/>
      <c r="D12" s="795"/>
      <c r="E12" s="795"/>
      <c r="F12" s="795"/>
      <c r="G12" s="795"/>
      <c r="H12" s="795"/>
      <c r="I12" s="795"/>
      <c r="J12" s="795"/>
      <c r="K12" s="795"/>
      <c r="L12" s="795"/>
      <c r="M12" s="795"/>
      <c r="N12" s="795"/>
      <c r="O12" s="795"/>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694</v>
      </c>
      <c r="E14" s="472" t="s">
        <v>694</v>
      </c>
      <c r="F14" s="472" t="s">
        <v>695</v>
      </c>
      <c r="G14" s="472" t="s">
        <v>696</v>
      </c>
      <c r="H14" s="472" t="s">
        <v>697</v>
      </c>
      <c r="I14" s="472" t="s">
        <v>698</v>
      </c>
      <c r="J14" s="472" t="s">
        <v>698</v>
      </c>
      <c r="K14" s="472" t="s">
        <v>699</v>
      </c>
      <c r="L14" s="472" t="s">
        <v>693</v>
      </c>
      <c r="M14" s="472" t="s">
        <v>568</v>
      </c>
      <c r="N14" s="472" t="s">
        <v>569</v>
      </c>
      <c r="O14" s="472" t="s">
        <v>570</v>
      </c>
      <c r="P14" s="7"/>
    </row>
    <row r="15" spans="1:26" s="7" customFormat="1" ht="18.75" customHeight="1">
      <c r="B15" s="473" t="s">
        <v>188</v>
      </c>
      <c r="C15" s="788"/>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562</v>
      </c>
      <c r="C16" s="789"/>
      <c r="D16" s="477">
        <v>4</v>
      </c>
      <c r="E16" s="477">
        <v>4</v>
      </c>
      <c r="F16" s="477">
        <v>4</v>
      </c>
      <c r="G16" s="477">
        <v>4</v>
      </c>
      <c r="H16" s="477">
        <v>4</v>
      </c>
      <c r="I16" s="477">
        <v>4</v>
      </c>
      <c r="J16" s="477">
        <v>4</v>
      </c>
      <c r="K16" s="477">
        <v>4</v>
      </c>
      <c r="L16" s="477">
        <v>4</v>
      </c>
      <c r="M16" s="477"/>
      <c r="N16" s="477"/>
      <c r="O16" s="478"/>
    </row>
    <row r="17" spans="1:15" s="111" customFormat="1" ht="17.25" customHeight="1">
      <c r="B17" s="479" t="s">
        <v>563</v>
      </c>
      <c r="C17" s="790"/>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12</v>
      </c>
      <c r="N17" s="112">
        <f t="shared" si="1"/>
        <v>12</v>
      </c>
      <c r="O17" s="113">
        <f t="shared" si="1"/>
        <v>12</v>
      </c>
    </row>
    <row r="18" spans="1:15" s="7" customFormat="1" ht="17.25" customHeight="1">
      <c r="B18" s="480" t="str">
        <f>'1.  LRAMVA Summary'!B29</f>
        <v>Residential</v>
      </c>
      <c r="C18" s="791" t="str">
        <f>'2. LRAMVA Threshold'!D43</f>
        <v>kWh</v>
      </c>
      <c r="D18" s="46">
        <v>1.5599999999999999E-2</v>
      </c>
      <c r="E18" s="46">
        <v>1.5599999999999999E-2</v>
      </c>
      <c r="F18" s="46">
        <v>1.5900000000000001E-2</v>
      </c>
      <c r="G18" s="46">
        <v>1.6E-2</v>
      </c>
      <c r="H18" s="46">
        <v>1.6E-2</v>
      </c>
      <c r="I18" s="46">
        <v>1.26E-2</v>
      </c>
      <c r="J18" s="46">
        <v>1.26E-2</v>
      </c>
      <c r="K18" s="46">
        <v>8.5000000000000006E-3</v>
      </c>
      <c r="L18" s="46">
        <v>4.3E-3</v>
      </c>
      <c r="M18" s="46"/>
      <c r="N18" s="46"/>
      <c r="O18" s="69"/>
    </row>
    <row r="19" spans="1:15" s="7" customFormat="1" ht="15" customHeight="1" outlineLevel="1">
      <c r="B19" s="536" t="s">
        <v>514</v>
      </c>
      <c r="C19" s="789"/>
      <c r="D19" s="46"/>
      <c r="E19" s="46"/>
      <c r="F19" s="46"/>
      <c r="G19" s="46"/>
      <c r="H19" s="46"/>
      <c r="I19" s="46"/>
      <c r="J19" s="46"/>
      <c r="K19" s="46"/>
      <c r="L19" s="46"/>
      <c r="M19" s="46"/>
      <c r="N19" s="46"/>
      <c r="O19" s="69"/>
    </row>
    <row r="20" spans="1:15" s="7" customFormat="1" ht="15" customHeight="1" outlineLevel="1">
      <c r="B20" s="536" t="s">
        <v>515</v>
      </c>
      <c r="C20" s="789"/>
      <c r="D20" s="46"/>
      <c r="E20" s="46"/>
      <c r="F20" s="46"/>
      <c r="G20" s="46"/>
      <c r="H20" s="46"/>
      <c r="I20" s="46"/>
      <c r="J20" s="46"/>
      <c r="K20" s="46"/>
      <c r="L20" s="46"/>
      <c r="M20" s="46"/>
      <c r="N20" s="46"/>
      <c r="O20" s="69"/>
    </row>
    <row r="21" spans="1:15" s="7" customFormat="1" ht="15" customHeight="1" outlineLevel="1">
      <c r="B21" s="536" t="s">
        <v>491</v>
      </c>
      <c r="C21" s="789"/>
      <c r="D21" s="46"/>
      <c r="E21" s="46"/>
      <c r="F21" s="46"/>
      <c r="G21" s="46"/>
      <c r="H21" s="46"/>
      <c r="I21" s="46"/>
      <c r="J21" s="46"/>
      <c r="K21" s="46"/>
      <c r="L21" s="46"/>
      <c r="M21" s="46"/>
      <c r="N21" s="46"/>
      <c r="O21" s="69"/>
    </row>
    <row r="22" spans="1:15" s="7" customFormat="1" ht="14.25" customHeight="1">
      <c r="B22" s="536" t="s">
        <v>516</v>
      </c>
      <c r="C22" s="792"/>
      <c r="D22" s="65">
        <f>SUM(D18:D21)</f>
        <v>1.5599999999999999E-2</v>
      </c>
      <c r="E22" s="65">
        <f>SUM(E18:E21)</f>
        <v>1.5599999999999999E-2</v>
      </c>
      <c r="F22" s="65">
        <f>SUM(F18:F21)</f>
        <v>1.5900000000000001E-2</v>
      </c>
      <c r="G22" s="65">
        <f t="shared" ref="G22:N22" si="2">SUM(G18:G21)</f>
        <v>1.6E-2</v>
      </c>
      <c r="H22" s="65">
        <f t="shared" si="2"/>
        <v>1.6E-2</v>
      </c>
      <c r="I22" s="65">
        <f t="shared" si="2"/>
        <v>1.26E-2</v>
      </c>
      <c r="J22" s="65">
        <f t="shared" si="2"/>
        <v>1.26E-2</v>
      </c>
      <c r="K22" s="65">
        <f t="shared" si="2"/>
        <v>8.5000000000000006E-3</v>
      </c>
      <c r="L22" s="65">
        <f t="shared" si="2"/>
        <v>4.3E-3</v>
      </c>
      <c r="M22" s="65">
        <f t="shared" si="2"/>
        <v>0</v>
      </c>
      <c r="N22" s="65">
        <f t="shared" si="2"/>
        <v>0</v>
      </c>
      <c r="O22" s="76"/>
    </row>
    <row r="23" spans="1:15" s="63" customFormat="1">
      <c r="A23" s="62"/>
      <c r="B23" s="492" t="s">
        <v>517</v>
      </c>
      <c r="C23" s="482"/>
      <c r="D23" s="483"/>
      <c r="E23" s="484">
        <f>ROUND(SUM(D22*E16+E22*E17)/12,4)</f>
        <v>1.5599999999999999E-2</v>
      </c>
      <c r="F23" s="484">
        <f>ROUND(SUM(E22*F16+F22*F17)/12,4)</f>
        <v>1.5800000000000002E-2</v>
      </c>
      <c r="G23" s="484">
        <f>ROUND(SUM(F22*G16+G22*G17)/12,4)</f>
        <v>1.6E-2</v>
      </c>
      <c r="H23" s="484">
        <f>ROUND(SUM(G22*H16+H22*H17)/12,4)</f>
        <v>1.6E-2</v>
      </c>
      <c r="I23" s="484">
        <f>ROUND(SUM(H22*I16+I22*I17)/12,4)</f>
        <v>1.37E-2</v>
      </c>
      <c r="J23" s="484">
        <f t="shared" ref="J23:N23" si="3">ROUND(SUM(I22*J16+J22*J17)/12,4)</f>
        <v>1.26E-2</v>
      </c>
      <c r="K23" s="484">
        <f t="shared" si="3"/>
        <v>9.9000000000000008E-3</v>
      </c>
      <c r="L23" s="484">
        <f t="shared" si="3"/>
        <v>5.7000000000000002E-3</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791" t="str">
        <f>'2. LRAMVA Threshold'!E43</f>
        <v>kWh</v>
      </c>
      <c r="D25" s="46">
        <v>6.6E-3</v>
      </c>
      <c r="E25" s="46">
        <v>6.6E-3</v>
      </c>
      <c r="F25" s="46">
        <v>6.7000000000000002E-3</v>
      </c>
      <c r="G25" s="46">
        <v>6.7000000000000002E-3</v>
      </c>
      <c r="H25" s="46">
        <v>6.7000000000000002E-3</v>
      </c>
      <c r="I25" s="46">
        <v>6.1999999999999998E-3</v>
      </c>
      <c r="J25" s="46">
        <v>6.1999999999999998E-3</v>
      </c>
      <c r="K25" s="46">
        <v>6.3E-3</v>
      </c>
      <c r="L25" s="46">
        <v>6.4000000000000003E-3</v>
      </c>
      <c r="M25" s="46"/>
      <c r="N25" s="46"/>
      <c r="O25" s="69"/>
    </row>
    <row r="26" spans="1:15" s="18" customFormat="1" outlineLevel="1">
      <c r="A26" s="4"/>
      <c r="B26" s="536" t="s">
        <v>514</v>
      </c>
      <c r="C26" s="789"/>
      <c r="D26" s="46"/>
      <c r="E26" s="46"/>
      <c r="F26" s="46"/>
      <c r="G26" s="46"/>
      <c r="H26" s="46"/>
      <c r="I26" s="46"/>
      <c r="J26" s="46"/>
      <c r="K26" s="46"/>
      <c r="L26" s="46"/>
      <c r="M26" s="46"/>
      <c r="N26" s="46"/>
      <c r="O26" s="69"/>
    </row>
    <row r="27" spans="1:15" s="18" customFormat="1" outlineLevel="1">
      <c r="A27" s="4"/>
      <c r="B27" s="536" t="s">
        <v>515</v>
      </c>
      <c r="C27" s="789"/>
      <c r="D27" s="46"/>
      <c r="E27" s="46"/>
      <c r="F27" s="46"/>
      <c r="G27" s="46"/>
      <c r="H27" s="46"/>
      <c r="I27" s="46"/>
      <c r="J27" s="46"/>
      <c r="K27" s="46"/>
      <c r="L27" s="46"/>
      <c r="M27" s="46"/>
      <c r="N27" s="46"/>
      <c r="O27" s="69"/>
    </row>
    <row r="28" spans="1:15" s="18" customFormat="1" outlineLevel="1">
      <c r="A28" s="4"/>
      <c r="B28" s="536" t="s">
        <v>491</v>
      </c>
      <c r="C28" s="789"/>
      <c r="D28" s="46"/>
      <c r="E28" s="46"/>
      <c r="F28" s="46"/>
      <c r="G28" s="46"/>
      <c r="H28" s="46"/>
      <c r="I28" s="46"/>
      <c r="J28" s="46"/>
      <c r="K28" s="46"/>
      <c r="L28" s="46"/>
      <c r="M28" s="46"/>
      <c r="N28" s="46"/>
      <c r="O28" s="69"/>
    </row>
    <row r="29" spans="1:15" s="18" customFormat="1">
      <c r="A29" s="4"/>
      <c r="B29" s="536" t="s">
        <v>516</v>
      </c>
      <c r="C29" s="792"/>
      <c r="D29" s="65">
        <f>SUM(D25:D28)</f>
        <v>6.6E-3</v>
      </c>
      <c r="E29" s="65">
        <f t="shared" ref="E29:N29" si="4">SUM(E25:E28)</f>
        <v>6.6E-3</v>
      </c>
      <c r="F29" s="65">
        <f t="shared" si="4"/>
        <v>6.7000000000000002E-3</v>
      </c>
      <c r="G29" s="65">
        <f t="shared" si="4"/>
        <v>6.7000000000000002E-3</v>
      </c>
      <c r="H29" s="65">
        <f t="shared" si="4"/>
        <v>6.7000000000000002E-3</v>
      </c>
      <c r="I29" s="65">
        <f t="shared" si="4"/>
        <v>6.1999999999999998E-3</v>
      </c>
      <c r="J29" s="65">
        <f t="shared" si="4"/>
        <v>6.1999999999999998E-3</v>
      </c>
      <c r="K29" s="65">
        <f t="shared" si="4"/>
        <v>6.3E-3</v>
      </c>
      <c r="L29" s="65">
        <f t="shared" si="4"/>
        <v>6.4000000000000003E-3</v>
      </c>
      <c r="M29" s="65">
        <f t="shared" si="4"/>
        <v>0</v>
      </c>
      <c r="N29" s="65">
        <f t="shared" si="4"/>
        <v>0</v>
      </c>
      <c r="O29" s="76"/>
    </row>
    <row r="30" spans="1:15" s="18" customFormat="1">
      <c r="A30" s="4"/>
      <c r="B30" s="492" t="s">
        <v>517</v>
      </c>
      <c r="C30" s="488"/>
      <c r="D30" s="71"/>
      <c r="E30" s="484">
        <f>ROUND(SUM(D29*E16+E29*E17)/12,4)</f>
        <v>6.6E-3</v>
      </c>
      <c r="F30" s="484">
        <f t="shared" ref="F30:N30" si="5">ROUND(SUM(E29*F16+F29*F17)/12,4)</f>
        <v>6.7000000000000002E-3</v>
      </c>
      <c r="G30" s="484">
        <f t="shared" si="5"/>
        <v>6.7000000000000002E-3</v>
      </c>
      <c r="H30" s="484">
        <f t="shared" si="5"/>
        <v>6.7000000000000002E-3</v>
      </c>
      <c r="I30" s="484">
        <f t="shared" si="5"/>
        <v>6.4000000000000003E-3</v>
      </c>
      <c r="J30" s="484">
        <f>ROUND(SUM(I29*J16+J29*J17)/12,4)</f>
        <v>6.1999999999999998E-3</v>
      </c>
      <c r="K30" s="484">
        <f t="shared" si="5"/>
        <v>6.3E-3</v>
      </c>
      <c r="L30" s="484">
        <f t="shared" si="5"/>
        <v>6.4000000000000003E-3</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 50-1499 KW</v>
      </c>
      <c r="C32" s="791" t="str">
        <f>'2. LRAMVA Threshold'!F43</f>
        <v>kW</v>
      </c>
      <c r="D32" s="46">
        <v>2.7945000000000002</v>
      </c>
      <c r="E32" s="46">
        <v>2.7945000000000002</v>
      </c>
      <c r="F32" s="46">
        <v>2.3102</v>
      </c>
      <c r="G32" s="46">
        <v>2.3212999999999999</v>
      </c>
      <c r="H32" s="46">
        <v>2.3212999999999999</v>
      </c>
      <c r="I32" s="46">
        <v>1.7252000000000001</v>
      </c>
      <c r="J32" s="46">
        <v>1.7252000000000001</v>
      </c>
      <c r="K32" s="46">
        <v>1.7554000000000001</v>
      </c>
      <c r="L32" s="46">
        <v>1.7738</v>
      </c>
      <c r="M32" s="46"/>
      <c r="N32" s="46"/>
      <c r="O32" s="69"/>
    </row>
    <row r="33" spans="1:15" s="18" customFormat="1" outlineLevel="1">
      <c r="A33" s="4"/>
      <c r="B33" s="536" t="s">
        <v>514</v>
      </c>
      <c r="C33" s="789"/>
      <c r="D33" s="46"/>
      <c r="E33" s="46"/>
      <c r="F33" s="46"/>
      <c r="G33" s="46"/>
      <c r="H33" s="46"/>
      <c r="I33" s="46"/>
      <c r="J33" s="46"/>
      <c r="K33" s="46"/>
      <c r="L33" s="46"/>
      <c r="M33" s="46"/>
      <c r="N33" s="46"/>
      <c r="O33" s="69"/>
    </row>
    <row r="34" spans="1:15" s="18" customFormat="1" outlineLevel="1">
      <c r="A34" s="4"/>
      <c r="B34" s="536" t="s">
        <v>515</v>
      </c>
      <c r="C34" s="789"/>
      <c r="D34" s="46"/>
      <c r="E34" s="46"/>
      <c r="F34" s="46"/>
      <c r="G34" s="46"/>
      <c r="H34" s="46"/>
      <c r="I34" s="46"/>
      <c r="J34" s="46"/>
      <c r="K34" s="46"/>
      <c r="L34" s="46"/>
      <c r="M34" s="46"/>
      <c r="N34" s="46"/>
      <c r="O34" s="69"/>
    </row>
    <row r="35" spans="1:15" s="18" customFormat="1" outlineLevel="1">
      <c r="A35" s="4"/>
      <c r="B35" s="536" t="s">
        <v>491</v>
      </c>
      <c r="C35" s="789"/>
      <c r="D35" s="46"/>
      <c r="E35" s="46"/>
      <c r="F35" s="46"/>
      <c r="G35" s="46"/>
      <c r="H35" s="46"/>
      <c r="I35" s="46"/>
      <c r="J35" s="46"/>
      <c r="K35" s="46"/>
      <c r="L35" s="46"/>
      <c r="M35" s="46"/>
      <c r="N35" s="46"/>
      <c r="O35" s="69"/>
    </row>
    <row r="36" spans="1:15" s="18" customFormat="1">
      <c r="A36" s="4"/>
      <c r="B36" s="536" t="s">
        <v>516</v>
      </c>
      <c r="C36" s="792"/>
      <c r="D36" s="65">
        <f>SUM(D32:D35)</f>
        <v>2.7945000000000002</v>
      </c>
      <c r="E36" s="65">
        <f>SUM(E32:E35)</f>
        <v>2.7945000000000002</v>
      </c>
      <c r="F36" s="65">
        <f t="shared" ref="F36:M36" si="6">SUM(F32:F35)</f>
        <v>2.3102</v>
      </c>
      <c r="G36" s="65">
        <f t="shared" si="6"/>
        <v>2.3212999999999999</v>
      </c>
      <c r="H36" s="65">
        <f t="shared" si="6"/>
        <v>2.3212999999999999</v>
      </c>
      <c r="I36" s="65">
        <f t="shared" si="6"/>
        <v>1.7252000000000001</v>
      </c>
      <c r="J36" s="65">
        <f t="shared" si="6"/>
        <v>1.7252000000000001</v>
      </c>
      <c r="K36" s="65">
        <f t="shared" si="6"/>
        <v>1.7554000000000001</v>
      </c>
      <c r="L36" s="65">
        <f t="shared" si="6"/>
        <v>1.7738</v>
      </c>
      <c r="M36" s="65">
        <f t="shared" si="6"/>
        <v>0</v>
      </c>
      <c r="N36" s="65">
        <f>SUM(N32:N35)</f>
        <v>0</v>
      </c>
      <c r="O36" s="76"/>
    </row>
    <row r="37" spans="1:15" s="18" customFormat="1">
      <c r="A37" s="4"/>
      <c r="B37" s="492" t="s">
        <v>517</v>
      </c>
      <c r="C37" s="488"/>
      <c r="D37" s="71"/>
      <c r="E37" s="484">
        <f t="shared" ref="E37:N37" si="7">ROUND(SUM(D36*E16+E36*E17)/12,4)</f>
        <v>2.7945000000000002</v>
      </c>
      <c r="F37" s="484">
        <f t="shared" si="7"/>
        <v>2.4716</v>
      </c>
      <c r="G37" s="484">
        <f t="shared" si="7"/>
        <v>2.3176000000000001</v>
      </c>
      <c r="H37" s="484">
        <f t="shared" si="7"/>
        <v>2.3212999999999999</v>
      </c>
      <c r="I37" s="484">
        <f t="shared" si="7"/>
        <v>1.9238999999999999</v>
      </c>
      <c r="J37" s="484">
        <f t="shared" si="7"/>
        <v>1.7252000000000001</v>
      </c>
      <c r="K37" s="484">
        <f t="shared" si="7"/>
        <v>1.7453000000000001</v>
      </c>
      <c r="L37" s="484">
        <f t="shared" si="7"/>
        <v>1.7677</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Intermediate</v>
      </c>
      <c r="C39" s="791" t="str">
        <f>'2. LRAMVA Threshold'!G43</f>
        <v>kW</v>
      </c>
      <c r="D39" s="46">
        <v>1.0077</v>
      </c>
      <c r="E39" s="46">
        <v>1.0077</v>
      </c>
      <c r="F39" s="46">
        <v>1.0165999999999999</v>
      </c>
      <c r="G39" s="46">
        <v>1.0215000000000001</v>
      </c>
      <c r="H39" s="46">
        <v>1.0215000000000001</v>
      </c>
      <c r="I39" s="46">
        <v>1.1460999999999999</v>
      </c>
      <c r="J39" s="46">
        <v>1.1460999999999999</v>
      </c>
      <c r="K39" s="46">
        <v>1.1661999999999999</v>
      </c>
      <c r="L39" s="46">
        <v>1.1783999999999999</v>
      </c>
      <c r="M39" s="46"/>
      <c r="N39" s="46"/>
      <c r="O39" s="69"/>
    </row>
    <row r="40" spans="1:15" s="18" customFormat="1" outlineLevel="1">
      <c r="A40" s="4"/>
      <c r="B40" s="536" t="s">
        <v>514</v>
      </c>
      <c r="C40" s="789"/>
      <c r="D40" s="46"/>
      <c r="E40" s="46"/>
      <c r="F40" s="46"/>
      <c r="G40" s="46"/>
      <c r="H40" s="46"/>
      <c r="I40" s="46"/>
      <c r="J40" s="46"/>
      <c r="K40" s="46"/>
      <c r="L40" s="46"/>
      <c r="M40" s="46"/>
      <c r="N40" s="46"/>
      <c r="O40" s="69"/>
    </row>
    <row r="41" spans="1:15" s="18" customFormat="1" outlineLevel="1">
      <c r="A41" s="4"/>
      <c r="B41" s="536" t="s">
        <v>515</v>
      </c>
      <c r="C41" s="789"/>
      <c r="D41" s="46"/>
      <c r="E41" s="46"/>
      <c r="F41" s="46"/>
      <c r="G41" s="46"/>
      <c r="H41" s="46"/>
      <c r="I41" s="46"/>
      <c r="J41" s="46"/>
      <c r="K41" s="46"/>
      <c r="L41" s="46"/>
      <c r="M41" s="46"/>
      <c r="N41" s="46"/>
      <c r="O41" s="69"/>
    </row>
    <row r="42" spans="1:15" s="18" customFormat="1" outlineLevel="1">
      <c r="A42" s="4"/>
      <c r="B42" s="536" t="s">
        <v>491</v>
      </c>
      <c r="C42" s="789"/>
      <c r="D42" s="46"/>
      <c r="E42" s="46"/>
      <c r="F42" s="46"/>
      <c r="G42" s="46"/>
      <c r="H42" s="46"/>
      <c r="I42" s="46"/>
      <c r="J42" s="46"/>
      <c r="K42" s="46"/>
      <c r="L42" s="46"/>
      <c r="M42" s="46"/>
      <c r="N42" s="46"/>
      <c r="O42" s="69"/>
    </row>
    <row r="43" spans="1:15" s="18" customFormat="1">
      <c r="A43" s="4"/>
      <c r="B43" s="536" t="s">
        <v>516</v>
      </c>
      <c r="C43" s="792"/>
      <c r="D43" s="65">
        <f>SUM(D39:D42)</f>
        <v>1.0077</v>
      </c>
      <c r="E43" s="65">
        <f t="shared" ref="E43:N43" si="8">SUM(E39:E42)</f>
        <v>1.0077</v>
      </c>
      <c r="F43" s="65">
        <f t="shared" si="8"/>
        <v>1.0165999999999999</v>
      </c>
      <c r="G43" s="65">
        <f t="shared" si="8"/>
        <v>1.0215000000000001</v>
      </c>
      <c r="H43" s="65">
        <f t="shared" si="8"/>
        <v>1.0215000000000001</v>
      </c>
      <c r="I43" s="65">
        <f t="shared" si="8"/>
        <v>1.1460999999999999</v>
      </c>
      <c r="J43" s="65">
        <f t="shared" si="8"/>
        <v>1.1460999999999999</v>
      </c>
      <c r="K43" s="65">
        <f t="shared" si="8"/>
        <v>1.1661999999999999</v>
      </c>
      <c r="L43" s="65">
        <f t="shared" si="8"/>
        <v>1.1783999999999999</v>
      </c>
      <c r="M43" s="65">
        <f t="shared" si="8"/>
        <v>0</v>
      </c>
      <c r="N43" s="65">
        <f t="shared" si="8"/>
        <v>0</v>
      </c>
      <c r="O43" s="76"/>
    </row>
    <row r="44" spans="1:15" s="14" customFormat="1">
      <c r="A44" s="72"/>
      <c r="B44" s="492" t="s">
        <v>517</v>
      </c>
      <c r="C44" s="488"/>
      <c r="D44" s="71"/>
      <c r="E44" s="484">
        <f t="shared" ref="E44:N44" si="9">ROUND(SUM(D43*E16+E43*E17)/12,4)</f>
        <v>1.0077</v>
      </c>
      <c r="F44" s="484">
        <f t="shared" si="9"/>
        <v>1.0136000000000001</v>
      </c>
      <c r="G44" s="484">
        <f t="shared" si="9"/>
        <v>1.0199</v>
      </c>
      <c r="H44" s="484">
        <f t="shared" si="9"/>
        <v>1.0215000000000001</v>
      </c>
      <c r="I44" s="484">
        <f t="shared" si="9"/>
        <v>1.1046</v>
      </c>
      <c r="J44" s="484">
        <f t="shared" si="9"/>
        <v>1.1460999999999999</v>
      </c>
      <c r="K44" s="484">
        <f t="shared" si="9"/>
        <v>1.1595</v>
      </c>
      <c r="L44" s="484">
        <f t="shared" si="9"/>
        <v>1.1742999999999999</v>
      </c>
      <c r="M44" s="484">
        <f t="shared" si="9"/>
        <v>0</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Sentinel</v>
      </c>
      <c r="C46" s="791" t="str">
        <f>'2. LRAMVA Threshold'!H43</f>
        <v>kW</v>
      </c>
      <c r="D46" s="46">
        <v>3.0777999999999999</v>
      </c>
      <c r="E46" s="46">
        <v>3.0777999999999999</v>
      </c>
      <c r="F46" s="46">
        <v>3.1049000000000002</v>
      </c>
      <c r="G46" s="46">
        <v>3.1198000000000001</v>
      </c>
      <c r="H46" s="46">
        <v>3.1198000000000001</v>
      </c>
      <c r="I46" s="46">
        <v>8.0086999999999993</v>
      </c>
      <c r="J46" s="46">
        <v>8.0086999999999993</v>
      </c>
      <c r="K46" s="46">
        <v>8.1488999999999994</v>
      </c>
      <c r="L46" s="46">
        <v>8.2345000000000006</v>
      </c>
      <c r="M46" s="46"/>
      <c r="N46" s="46"/>
      <c r="O46" s="69"/>
    </row>
    <row r="47" spans="1:15" s="18" customFormat="1" outlineLevel="1">
      <c r="A47" s="4"/>
      <c r="B47" s="536" t="s">
        <v>514</v>
      </c>
      <c r="C47" s="789"/>
      <c r="D47" s="46"/>
      <c r="E47" s="46"/>
      <c r="F47" s="46"/>
      <c r="G47" s="46"/>
      <c r="H47" s="46"/>
      <c r="I47" s="46"/>
      <c r="J47" s="46"/>
      <c r="K47" s="46"/>
      <c r="L47" s="46"/>
      <c r="M47" s="46"/>
      <c r="N47" s="46"/>
      <c r="O47" s="69"/>
    </row>
    <row r="48" spans="1:15" s="18" customFormat="1" outlineLevel="1">
      <c r="A48" s="4"/>
      <c r="B48" s="536" t="s">
        <v>515</v>
      </c>
      <c r="C48" s="789"/>
      <c r="D48" s="46"/>
      <c r="E48" s="46"/>
      <c r="F48" s="46"/>
      <c r="G48" s="46"/>
      <c r="H48" s="46"/>
      <c r="I48" s="46"/>
      <c r="J48" s="46"/>
      <c r="K48" s="46"/>
      <c r="L48" s="46"/>
      <c r="M48" s="46"/>
      <c r="N48" s="46"/>
      <c r="O48" s="69"/>
    </row>
    <row r="49" spans="1:15" s="18" customFormat="1" outlineLevel="1">
      <c r="A49" s="4"/>
      <c r="B49" s="536" t="s">
        <v>491</v>
      </c>
      <c r="C49" s="789"/>
      <c r="D49" s="46"/>
      <c r="E49" s="46"/>
      <c r="F49" s="46"/>
      <c r="G49" s="46"/>
      <c r="H49" s="46"/>
      <c r="I49" s="46"/>
      <c r="J49" s="46"/>
      <c r="K49" s="46"/>
      <c r="L49" s="46"/>
      <c r="M49" s="46"/>
      <c r="N49" s="46"/>
      <c r="O49" s="69"/>
    </row>
    <row r="50" spans="1:15" s="18" customFormat="1">
      <c r="A50" s="4"/>
      <c r="B50" s="536" t="s">
        <v>516</v>
      </c>
      <c r="C50" s="792"/>
      <c r="D50" s="65">
        <f>SUM(D46:D49)</f>
        <v>3.0777999999999999</v>
      </c>
      <c r="E50" s="65">
        <f t="shared" ref="E50:N50" si="10">SUM(E46:E49)</f>
        <v>3.0777999999999999</v>
      </c>
      <c r="F50" s="65">
        <f t="shared" si="10"/>
        <v>3.1049000000000002</v>
      </c>
      <c r="G50" s="65">
        <f t="shared" si="10"/>
        <v>3.1198000000000001</v>
      </c>
      <c r="H50" s="65">
        <f t="shared" si="10"/>
        <v>3.1198000000000001</v>
      </c>
      <c r="I50" s="65">
        <f t="shared" si="10"/>
        <v>8.0086999999999993</v>
      </c>
      <c r="J50" s="65">
        <f t="shared" si="10"/>
        <v>8.0086999999999993</v>
      </c>
      <c r="K50" s="65">
        <f t="shared" si="10"/>
        <v>8.1488999999999994</v>
      </c>
      <c r="L50" s="65">
        <f t="shared" si="10"/>
        <v>8.2345000000000006</v>
      </c>
      <c r="M50" s="65">
        <f t="shared" si="10"/>
        <v>0</v>
      </c>
      <c r="N50" s="65">
        <f t="shared" si="10"/>
        <v>0</v>
      </c>
      <c r="O50" s="76"/>
    </row>
    <row r="51" spans="1:15" s="14" customFormat="1">
      <c r="A51" s="72"/>
      <c r="B51" s="492" t="s">
        <v>517</v>
      </c>
      <c r="C51" s="488"/>
      <c r="D51" s="71"/>
      <c r="E51" s="484">
        <f t="shared" ref="E51:N51" si="11">ROUND(SUM(D50*E16+E50*E17)/12,4)</f>
        <v>3.0777999999999999</v>
      </c>
      <c r="F51" s="484">
        <f t="shared" si="11"/>
        <v>3.0958999999999999</v>
      </c>
      <c r="G51" s="484">
        <f t="shared" si="11"/>
        <v>3.1147999999999998</v>
      </c>
      <c r="H51" s="484">
        <f t="shared" si="11"/>
        <v>3.1198000000000001</v>
      </c>
      <c r="I51" s="484">
        <f t="shared" si="11"/>
        <v>6.3791000000000002</v>
      </c>
      <c r="J51" s="484">
        <f t="shared" si="11"/>
        <v>8.0086999999999993</v>
      </c>
      <c r="K51" s="484">
        <f t="shared" si="11"/>
        <v>8.1021999999999998</v>
      </c>
      <c r="L51" s="484">
        <f t="shared" si="11"/>
        <v>8.2059999999999995</v>
      </c>
      <c r="M51" s="484">
        <f t="shared" si="11"/>
        <v>0</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 xml:space="preserve">Street Lighting </v>
      </c>
      <c r="C53" s="791" t="str">
        <f>'2. LRAMVA Threshold'!I43</f>
        <v>kW</v>
      </c>
      <c r="D53" s="46">
        <v>1.6027</v>
      </c>
      <c r="E53" s="46">
        <v>1.6027</v>
      </c>
      <c r="F53" s="46">
        <v>2.2827000000000002</v>
      </c>
      <c r="G53" s="46">
        <v>2.2936999999999999</v>
      </c>
      <c r="H53" s="46">
        <v>2.2936999999999999</v>
      </c>
      <c r="I53" s="46">
        <v>2.5261</v>
      </c>
      <c r="J53" s="46">
        <v>2.5261</v>
      </c>
      <c r="K53" s="46">
        <v>2.5703</v>
      </c>
      <c r="L53" s="46">
        <v>2.5973000000000002</v>
      </c>
      <c r="M53" s="46"/>
      <c r="N53" s="46"/>
      <c r="O53" s="69"/>
    </row>
    <row r="54" spans="1:15" s="18" customFormat="1" outlineLevel="1">
      <c r="A54" s="4"/>
      <c r="B54" s="536" t="s">
        <v>514</v>
      </c>
      <c r="C54" s="789"/>
      <c r="D54" s="46"/>
      <c r="E54" s="46"/>
      <c r="F54" s="46"/>
      <c r="G54" s="46"/>
      <c r="H54" s="46"/>
      <c r="I54" s="46"/>
      <c r="J54" s="46"/>
      <c r="K54" s="46"/>
      <c r="L54" s="46"/>
      <c r="M54" s="46"/>
      <c r="N54" s="46"/>
      <c r="O54" s="69"/>
    </row>
    <row r="55" spans="1:15" s="18" customFormat="1" outlineLevel="1">
      <c r="A55" s="4"/>
      <c r="B55" s="536" t="s">
        <v>515</v>
      </c>
      <c r="C55" s="789"/>
      <c r="D55" s="46"/>
      <c r="E55" s="46"/>
      <c r="F55" s="46"/>
      <c r="G55" s="46"/>
      <c r="H55" s="46"/>
      <c r="I55" s="46"/>
      <c r="J55" s="46"/>
      <c r="K55" s="46"/>
      <c r="L55" s="46"/>
      <c r="M55" s="46"/>
      <c r="N55" s="46"/>
      <c r="O55" s="69"/>
    </row>
    <row r="56" spans="1:15" s="18" customFormat="1" outlineLevel="1">
      <c r="A56" s="4"/>
      <c r="B56" s="536" t="s">
        <v>491</v>
      </c>
      <c r="C56" s="789"/>
      <c r="D56" s="46"/>
      <c r="E56" s="46"/>
      <c r="F56" s="46"/>
      <c r="G56" s="46"/>
      <c r="H56" s="46"/>
      <c r="I56" s="46"/>
      <c r="J56" s="46"/>
      <c r="K56" s="46"/>
      <c r="L56" s="46"/>
      <c r="M56" s="46"/>
      <c r="N56" s="46"/>
      <c r="O56" s="69"/>
    </row>
    <row r="57" spans="1:15" s="18" customFormat="1">
      <c r="A57" s="4"/>
      <c r="B57" s="536" t="s">
        <v>516</v>
      </c>
      <c r="C57" s="792"/>
      <c r="D57" s="65">
        <f>SUM(D53:D56)</f>
        <v>1.6027</v>
      </c>
      <c r="E57" s="65">
        <f t="shared" ref="E57:N57" si="12">SUM(E53:E56)</f>
        <v>1.6027</v>
      </c>
      <c r="F57" s="65">
        <f t="shared" si="12"/>
        <v>2.2827000000000002</v>
      </c>
      <c r="G57" s="65">
        <f t="shared" si="12"/>
        <v>2.2936999999999999</v>
      </c>
      <c r="H57" s="65">
        <f t="shared" si="12"/>
        <v>2.2936999999999999</v>
      </c>
      <c r="I57" s="65">
        <f t="shared" si="12"/>
        <v>2.5261</v>
      </c>
      <c r="J57" s="65">
        <f t="shared" si="12"/>
        <v>2.5261</v>
      </c>
      <c r="K57" s="65">
        <f t="shared" si="12"/>
        <v>2.5703</v>
      </c>
      <c r="L57" s="65">
        <f t="shared" si="12"/>
        <v>2.5973000000000002</v>
      </c>
      <c r="M57" s="65">
        <f t="shared" si="12"/>
        <v>0</v>
      </c>
      <c r="N57" s="65">
        <f t="shared" si="12"/>
        <v>0</v>
      </c>
      <c r="O57" s="77"/>
    </row>
    <row r="58" spans="1:15" s="14" customFormat="1">
      <c r="A58" s="72"/>
      <c r="B58" s="492" t="s">
        <v>517</v>
      </c>
      <c r="C58" s="488"/>
      <c r="D58" s="71"/>
      <c r="E58" s="484">
        <f t="shared" ref="E58:N58" si="13">ROUND(SUM(D57*E16+E57*E17)/12,4)</f>
        <v>1.6027</v>
      </c>
      <c r="F58" s="484">
        <f t="shared" si="13"/>
        <v>2.056</v>
      </c>
      <c r="G58" s="484">
        <f t="shared" si="13"/>
        <v>2.29</v>
      </c>
      <c r="H58" s="484">
        <f t="shared" si="13"/>
        <v>2.2936999999999999</v>
      </c>
      <c r="I58" s="484">
        <f t="shared" si="13"/>
        <v>2.4485999999999999</v>
      </c>
      <c r="J58" s="484">
        <f t="shared" si="13"/>
        <v>2.5261</v>
      </c>
      <c r="K58" s="484">
        <f t="shared" si="13"/>
        <v>2.5556000000000001</v>
      </c>
      <c r="L58" s="484">
        <f t="shared" si="13"/>
        <v>2.5882999999999998</v>
      </c>
      <c r="M58" s="484">
        <f t="shared" si="13"/>
        <v>0</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f>'1.  LRAMVA Summary'!B35</f>
        <v>0</v>
      </c>
      <c r="C60" s="791">
        <f>'2. LRAMVA Threshold'!J43</f>
        <v>0</v>
      </c>
      <c r="D60" s="46"/>
      <c r="E60" s="46"/>
      <c r="F60" s="46"/>
      <c r="G60" s="46"/>
      <c r="H60" s="46"/>
      <c r="I60" s="46"/>
      <c r="J60" s="46"/>
      <c r="K60" s="46"/>
      <c r="L60" s="46"/>
      <c r="M60" s="46"/>
      <c r="N60" s="46"/>
      <c r="O60" s="69"/>
    </row>
    <row r="61" spans="1:15" s="18" customFormat="1" outlineLevel="1">
      <c r="A61" s="4"/>
      <c r="B61" s="536" t="s">
        <v>514</v>
      </c>
      <c r="C61" s="789"/>
      <c r="D61" s="46"/>
      <c r="E61" s="46"/>
      <c r="F61" s="46"/>
      <c r="G61" s="46"/>
      <c r="H61" s="46"/>
      <c r="I61" s="46"/>
      <c r="J61" s="46"/>
      <c r="K61" s="46"/>
      <c r="L61" s="46"/>
      <c r="M61" s="46"/>
      <c r="N61" s="46"/>
      <c r="O61" s="69"/>
    </row>
    <row r="62" spans="1:15" s="18" customFormat="1" outlineLevel="1">
      <c r="A62" s="4"/>
      <c r="B62" s="536" t="s">
        <v>515</v>
      </c>
      <c r="C62" s="789"/>
      <c r="D62" s="46"/>
      <c r="E62" s="46"/>
      <c r="F62" s="46"/>
      <c r="G62" s="46"/>
      <c r="H62" s="46"/>
      <c r="I62" s="46"/>
      <c r="J62" s="46"/>
      <c r="K62" s="46"/>
      <c r="L62" s="46"/>
      <c r="M62" s="46"/>
      <c r="N62" s="46"/>
      <c r="O62" s="69"/>
    </row>
    <row r="63" spans="1:15" s="18" customFormat="1" outlineLevel="1">
      <c r="A63" s="4"/>
      <c r="B63" s="536" t="s">
        <v>491</v>
      </c>
      <c r="C63" s="789"/>
      <c r="D63" s="46"/>
      <c r="E63" s="46"/>
      <c r="F63" s="46"/>
      <c r="G63" s="46"/>
      <c r="H63" s="46"/>
      <c r="I63" s="46"/>
      <c r="J63" s="46"/>
      <c r="K63" s="46"/>
      <c r="L63" s="46"/>
      <c r="M63" s="46"/>
      <c r="N63" s="46"/>
      <c r="O63" s="69"/>
    </row>
    <row r="64" spans="1:15" s="18" customFormat="1">
      <c r="A64" s="4"/>
      <c r="B64" s="536" t="s">
        <v>516</v>
      </c>
      <c r="C64" s="792"/>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517</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791">
        <f>'2. LRAMVA Threshold'!K43</f>
        <v>0</v>
      </c>
      <c r="D67" s="46"/>
      <c r="E67" s="46"/>
      <c r="F67" s="46"/>
      <c r="G67" s="46"/>
      <c r="H67" s="46"/>
      <c r="I67" s="46"/>
      <c r="J67" s="46"/>
      <c r="K67" s="46"/>
      <c r="L67" s="46"/>
      <c r="M67" s="46"/>
      <c r="N67" s="46"/>
      <c r="O67" s="69"/>
    </row>
    <row r="68" spans="1:15" s="18" customFormat="1" outlineLevel="1">
      <c r="A68" s="4"/>
      <c r="B68" s="536" t="s">
        <v>514</v>
      </c>
      <c r="C68" s="789"/>
      <c r="D68" s="46"/>
      <c r="E68" s="46"/>
      <c r="F68" s="46"/>
      <c r="G68" s="46"/>
      <c r="H68" s="46"/>
      <c r="I68" s="46"/>
      <c r="J68" s="46"/>
      <c r="K68" s="46"/>
      <c r="L68" s="46"/>
      <c r="M68" s="46"/>
      <c r="N68" s="46"/>
      <c r="O68" s="69"/>
    </row>
    <row r="69" spans="1:15" s="18" customFormat="1" outlineLevel="1">
      <c r="A69" s="4"/>
      <c r="B69" s="536" t="s">
        <v>515</v>
      </c>
      <c r="C69" s="789"/>
      <c r="D69" s="46"/>
      <c r="E69" s="46"/>
      <c r="F69" s="46"/>
      <c r="G69" s="46"/>
      <c r="H69" s="46"/>
      <c r="I69" s="46"/>
      <c r="J69" s="46"/>
      <c r="K69" s="46"/>
      <c r="L69" s="46"/>
      <c r="M69" s="46"/>
      <c r="N69" s="46"/>
      <c r="O69" s="69"/>
    </row>
    <row r="70" spans="1:15" s="18" customFormat="1" outlineLevel="1">
      <c r="A70" s="4"/>
      <c r="B70" s="536" t="s">
        <v>491</v>
      </c>
      <c r="C70" s="789"/>
      <c r="D70" s="46"/>
      <c r="E70" s="46"/>
      <c r="F70" s="46"/>
      <c r="G70" s="46"/>
      <c r="H70" s="46"/>
      <c r="I70" s="46"/>
      <c r="J70" s="46"/>
      <c r="K70" s="46"/>
      <c r="L70" s="46"/>
      <c r="M70" s="46"/>
      <c r="N70" s="46"/>
      <c r="O70" s="69"/>
    </row>
    <row r="71" spans="1:15" s="18" customFormat="1">
      <c r="A71" s="4"/>
      <c r="B71" s="536" t="s">
        <v>516</v>
      </c>
      <c r="C71" s="792"/>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517</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791">
        <f>'2. LRAMVA Threshold'!L43</f>
        <v>0</v>
      </c>
      <c r="D74" s="46"/>
      <c r="E74" s="46"/>
      <c r="F74" s="46"/>
      <c r="G74" s="46"/>
      <c r="H74" s="46"/>
      <c r="I74" s="46"/>
      <c r="J74" s="46"/>
      <c r="K74" s="46"/>
      <c r="L74" s="46"/>
      <c r="M74" s="46"/>
      <c r="N74" s="46"/>
      <c r="O74" s="69"/>
    </row>
    <row r="75" spans="1:15" s="18" customFormat="1" outlineLevel="1">
      <c r="A75" s="4"/>
      <c r="B75" s="536" t="s">
        <v>514</v>
      </c>
      <c r="C75" s="789"/>
      <c r="D75" s="46"/>
      <c r="E75" s="46"/>
      <c r="F75" s="46"/>
      <c r="G75" s="46"/>
      <c r="H75" s="46"/>
      <c r="I75" s="46"/>
      <c r="J75" s="46"/>
      <c r="K75" s="46"/>
      <c r="L75" s="46"/>
      <c r="M75" s="46"/>
      <c r="N75" s="46"/>
      <c r="O75" s="69"/>
    </row>
    <row r="76" spans="1:15" s="18" customFormat="1" outlineLevel="1">
      <c r="A76" s="4"/>
      <c r="B76" s="536" t="s">
        <v>515</v>
      </c>
      <c r="C76" s="789"/>
      <c r="D76" s="46"/>
      <c r="E76" s="46"/>
      <c r="F76" s="46"/>
      <c r="G76" s="46"/>
      <c r="H76" s="46"/>
      <c r="I76" s="46"/>
      <c r="J76" s="46"/>
      <c r="K76" s="46"/>
      <c r="L76" s="46"/>
      <c r="M76" s="46"/>
      <c r="N76" s="46"/>
      <c r="O76" s="69"/>
    </row>
    <row r="77" spans="1:15" s="18" customFormat="1" outlineLevel="1">
      <c r="A77" s="4"/>
      <c r="B77" s="536" t="s">
        <v>491</v>
      </c>
      <c r="C77" s="789"/>
      <c r="D77" s="46"/>
      <c r="E77" s="46"/>
      <c r="F77" s="46"/>
      <c r="G77" s="46"/>
      <c r="H77" s="46"/>
      <c r="I77" s="46"/>
      <c r="J77" s="46"/>
      <c r="K77" s="46"/>
      <c r="L77" s="46"/>
      <c r="M77" s="46"/>
      <c r="N77" s="46"/>
      <c r="O77" s="69"/>
    </row>
    <row r="78" spans="1:15" s="18" customFormat="1">
      <c r="A78" s="4"/>
      <c r="B78" s="536" t="s">
        <v>516</v>
      </c>
      <c r="C78" s="792"/>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517</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791">
        <f>'2. LRAMVA Threshold'!M43</f>
        <v>0</v>
      </c>
      <c r="D81" s="46"/>
      <c r="E81" s="46"/>
      <c r="F81" s="46"/>
      <c r="G81" s="46"/>
      <c r="H81" s="46"/>
      <c r="I81" s="46"/>
      <c r="J81" s="46"/>
      <c r="K81" s="46"/>
      <c r="L81" s="46"/>
      <c r="M81" s="46"/>
      <c r="N81" s="46"/>
      <c r="O81" s="69"/>
    </row>
    <row r="82" spans="1:15" s="18" customFormat="1" outlineLevel="1">
      <c r="A82" s="4"/>
      <c r="B82" s="536" t="s">
        <v>514</v>
      </c>
      <c r="C82" s="789"/>
      <c r="D82" s="46"/>
      <c r="E82" s="46"/>
      <c r="F82" s="46"/>
      <c r="G82" s="46"/>
      <c r="H82" s="46"/>
      <c r="I82" s="46"/>
      <c r="J82" s="46"/>
      <c r="K82" s="46"/>
      <c r="L82" s="46"/>
      <c r="M82" s="46"/>
      <c r="N82" s="46"/>
      <c r="O82" s="69"/>
    </row>
    <row r="83" spans="1:15" s="18" customFormat="1" outlineLevel="1">
      <c r="A83" s="4"/>
      <c r="B83" s="536" t="s">
        <v>515</v>
      </c>
      <c r="C83" s="789"/>
      <c r="D83" s="46"/>
      <c r="E83" s="46"/>
      <c r="F83" s="46"/>
      <c r="G83" s="46"/>
      <c r="H83" s="46"/>
      <c r="I83" s="46"/>
      <c r="J83" s="46"/>
      <c r="K83" s="46"/>
      <c r="L83" s="46"/>
      <c r="M83" s="46"/>
      <c r="N83" s="46"/>
      <c r="O83" s="69"/>
    </row>
    <row r="84" spans="1:15" s="18" customFormat="1" outlineLevel="1">
      <c r="A84" s="4"/>
      <c r="B84" s="536" t="s">
        <v>491</v>
      </c>
      <c r="C84" s="789"/>
      <c r="D84" s="46"/>
      <c r="E84" s="46"/>
      <c r="F84" s="46"/>
      <c r="G84" s="46"/>
      <c r="H84" s="46"/>
      <c r="I84" s="46"/>
      <c r="J84" s="46"/>
      <c r="K84" s="46"/>
      <c r="L84" s="46"/>
      <c r="M84" s="46"/>
      <c r="N84" s="46"/>
      <c r="O84" s="69"/>
    </row>
    <row r="85" spans="1:15" s="18" customFormat="1">
      <c r="A85" s="4"/>
      <c r="B85" s="536" t="s">
        <v>516</v>
      </c>
      <c r="C85" s="792"/>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517</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791">
        <f>'2. LRAMVA Threshold'!N43</f>
        <v>0</v>
      </c>
      <c r="D88" s="46"/>
      <c r="E88" s="46"/>
      <c r="F88" s="46"/>
      <c r="G88" s="46"/>
      <c r="H88" s="46"/>
      <c r="I88" s="46"/>
      <c r="J88" s="46"/>
      <c r="K88" s="46"/>
      <c r="L88" s="46"/>
      <c r="M88" s="46"/>
      <c r="N88" s="46"/>
      <c r="O88" s="69"/>
    </row>
    <row r="89" spans="1:15" s="18" customFormat="1" outlineLevel="1">
      <c r="A89" s="4"/>
      <c r="B89" s="536" t="s">
        <v>514</v>
      </c>
      <c r="C89" s="789"/>
      <c r="D89" s="46"/>
      <c r="E89" s="46"/>
      <c r="F89" s="46"/>
      <c r="G89" s="46"/>
      <c r="H89" s="46"/>
      <c r="I89" s="46"/>
      <c r="J89" s="46"/>
      <c r="K89" s="46"/>
      <c r="L89" s="46"/>
      <c r="M89" s="46"/>
      <c r="N89" s="46"/>
      <c r="O89" s="69"/>
    </row>
    <row r="90" spans="1:15" s="18" customFormat="1" outlineLevel="1">
      <c r="A90" s="4"/>
      <c r="B90" s="536" t="s">
        <v>515</v>
      </c>
      <c r="C90" s="789"/>
      <c r="D90" s="46"/>
      <c r="E90" s="46"/>
      <c r="F90" s="46"/>
      <c r="G90" s="46"/>
      <c r="H90" s="46"/>
      <c r="I90" s="46"/>
      <c r="J90" s="46"/>
      <c r="K90" s="46"/>
      <c r="L90" s="46"/>
      <c r="M90" s="46"/>
      <c r="N90" s="46"/>
      <c r="O90" s="69"/>
    </row>
    <row r="91" spans="1:15" s="18" customFormat="1" outlineLevel="1">
      <c r="A91" s="4"/>
      <c r="B91" s="536" t="s">
        <v>491</v>
      </c>
      <c r="C91" s="789"/>
      <c r="D91" s="46"/>
      <c r="E91" s="46"/>
      <c r="F91" s="46"/>
      <c r="G91" s="46"/>
      <c r="H91" s="46"/>
      <c r="I91" s="46"/>
      <c r="J91" s="46"/>
      <c r="K91" s="46"/>
      <c r="L91" s="46"/>
      <c r="M91" s="46"/>
      <c r="N91" s="46"/>
      <c r="O91" s="69"/>
    </row>
    <row r="92" spans="1:15" s="18" customFormat="1">
      <c r="A92" s="4"/>
      <c r="B92" s="536" t="s">
        <v>516</v>
      </c>
      <c r="C92" s="792"/>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517</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791">
        <f>'2. LRAMVA Threshold'!O43</f>
        <v>0</v>
      </c>
      <c r="D95" s="46"/>
      <c r="E95" s="46"/>
      <c r="F95" s="46"/>
      <c r="G95" s="46"/>
      <c r="H95" s="46"/>
      <c r="I95" s="46"/>
      <c r="J95" s="46"/>
      <c r="K95" s="46"/>
      <c r="L95" s="46"/>
      <c r="M95" s="46"/>
      <c r="N95" s="46"/>
      <c r="O95" s="69"/>
    </row>
    <row r="96" spans="1:15" s="18" customFormat="1" outlineLevel="1">
      <c r="A96" s="4"/>
      <c r="B96" s="536" t="s">
        <v>514</v>
      </c>
      <c r="C96" s="789"/>
      <c r="D96" s="46"/>
      <c r="E96" s="46"/>
      <c r="F96" s="46"/>
      <c r="G96" s="46"/>
      <c r="H96" s="46"/>
      <c r="I96" s="46"/>
      <c r="J96" s="46"/>
      <c r="K96" s="46"/>
      <c r="L96" s="46"/>
      <c r="M96" s="46"/>
      <c r="N96" s="46"/>
      <c r="O96" s="69"/>
    </row>
    <row r="97" spans="1:15" s="18" customFormat="1" outlineLevel="1">
      <c r="A97" s="4"/>
      <c r="B97" s="536" t="s">
        <v>515</v>
      </c>
      <c r="C97" s="789"/>
      <c r="D97" s="46"/>
      <c r="E97" s="46"/>
      <c r="F97" s="46"/>
      <c r="G97" s="46"/>
      <c r="H97" s="46"/>
      <c r="I97" s="46"/>
      <c r="J97" s="46"/>
      <c r="K97" s="46"/>
      <c r="L97" s="46"/>
      <c r="M97" s="46"/>
      <c r="N97" s="46"/>
      <c r="O97" s="69"/>
    </row>
    <row r="98" spans="1:15" s="18" customFormat="1" outlineLevel="1">
      <c r="A98" s="4"/>
      <c r="B98" s="536" t="s">
        <v>491</v>
      </c>
      <c r="C98" s="789"/>
      <c r="D98" s="46"/>
      <c r="E98" s="46"/>
      <c r="F98" s="46"/>
      <c r="G98" s="46"/>
      <c r="H98" s="46"/>
      <c r="I98" s="46"/>
      <c r="J98" s="46"/>
      <c r="K98" s="46"/>
      <c r="L98" s="46"/>
      <c r="M98" s="46"/>
      <c r="N98" s="46"/>
      <c r="O98" s="69"/>
    </row>
    <row r="99" spans="1:15" s="18" customFormat="1">
      <c r="A99" s="4"/>
      <c r="B99" s="536" t="s">
        <v>516</v>
      </c>
      <c r="C99" s="792"/>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517</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791">
        <f>'2. LRAMVA Threshold'!P43</f>
        <v>0</v>
      </c>
      <c r="D102" s="46"/>
      <c r="E102" s="46"/>
      <c r="F102" s="46"/>
      <c r="G102" s="46"/>
      <c r="H102" s="46"/>
      <c r="I102" s="46"/>
      <c r="J102" s="46"/>
      <c r="K102" s="46"/>
      <c r="L102" s="46"/>
      <c r="M102" s="46"/>
      <c r="N102" s="46"/>
      <c r="O102" s="69"/>
    </row>
    <row r="103" spans="1:15" s="18" customFormat="1" outlineLevel="1">
      <c r="A103" s="4"/>
      <c r="B103" s="536" t="s">
        <v>514</v>
      </c>
      <c r="C103" s="789"/>
      <c r="D103" s="46"/>
      <c r="E103" s="46"/>
      <c r="F103" s="46"/>
      <c r="G103" s="46"/>
      <c r="H103" s="46"/>
      <c r="I103" s="46"/>
      <c r="J103" s="46"/>
      <c r="K103" s="46"/>
      <c r="L103" s="46"/>
      <c r="M103" s="46"/>
      <c r="N103" s="46"/>
      <c r="O103" s="69"/>
    </row>
    <row r="104" spans="1:15" s="18" customFormat="1" outlineLevel="1">
      <c r="A104" s="4"/>
      <c r="B104" s="536" t="s">
        <v>515</v>
      </c>
      <c r="C104" s="789"/>
      <c r="D104" s="46"/>
      <c r="E104" s="46"/>
      <c r="F104" s="46"/>
      <c r="G104" s="46"/>
      <c r="H104" s="46"/>
      <c r="I104" s="46"/>
      <c r="J104" s="46"/>
      <c r="K104" s="46"/>
      <c r="L104" s="46"/>
      <c r="M104" s="46"/>
      <c r="N104" s="46"/>
      <c r="O104" s="69"/>
    </row>
    <row r="105" spans="1:15" s="18" customFormat="1" outlineLevel="1">
      <c r="A105" s="4"/>
      <c r="B105" s="536" t="s">
        <v>491</v>
      </c>
      <c r="C105" s="789"/>
      <c r="D105" s="46"/>
      <c r="E105" s="46"/>
      <c r="F105" s="46"/>
      <c r="G105" s="46"/>
      <c r="H105" s="46"/>
      <c r="I105" s="46"/>
      <c r="J105" s="46"/>
      <c r="K105" s="46"/>
      <c r="L105" s="46"/>
      <c r="M105" s="46"/>
      <c r="N105" s="46"/>
      <c r="O105" s="69"/>
    </row>
    <row r="106" spans="1:15" s="18" customFormat="1">
      <c r="A106" s="4"/>
      <c r="B106" s="536" t="s">
        <v>516</v>
      </c>
      <c r="C106" s="792"/>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517</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791">
        <f>'2. LRAMVA Threshold'!Q43</f>
        <v>0</v>
      </c>
      <c r="D109" s="46"/>
      <c r="E109" s="46"/>
      <c r="F109" s="46"/>
      <c r="G109" s="46"/>
      <c r="H109" s="46"/>
      <c r="I109" s="46"/>
      <c r="J109" s="46"/>
      <c r="K109" s="46"/>
      <c r="L109" s="46"/>
      <c r="M109" s="46"/>
      <c r="N109" s="46"/>
      <c r="O109" s="69"/>
    </row>
    <row r="110" spans="1:15" s="18" customFormat="1" outlineLevel="1">
      <c r="A110" s="4"/>
      <c r="B110" s="536" t="s">
        <v>514</v>
      </c>
      <c r="C110" s="789"/>
      <c r="D110" s="46"/>
      <c r="E110" s="46"/>
      <c r="F110" s="46"/>
      <c r="G110" s="46"/>
      <c r="H110" s="46"/>
      <c r="I110" s="46"/>
      <c r="J110" s="46"/>
      <c r="K110" s="46"/>
      <c r="L110" s="46"/>
      <c r="M110" s="46"/>
      <c r="N110" s="46"/>
      <c r="O110" s="69"/>
    </row>
    <row r="111" spans="1:15" s="18" customFormat="1" outlineLevel="1">
      <c r="A111" s="4"/>
      <c r="B111" s="536" t="s">
        <v>515</v>
      </c>
      <c r="C111" s="789"/>
      <c r="D111" s="46"/>
      <c r="E111" s="46"/>
      <c r="F111" s="46"/>
      <c r="G111" s="46"/>
      <c r="H111" s="46"/>
      <c r="I111" s="46"/>
      <c r="J111" s="46"/>
      <c r="K111" s="46"/>
      <c r="L111" s="46"/>
      <c r="M111" s="46"/>
      <c r="N111" s="46"/>
      <c r="O111" s="69"/>
    </row>
    <row r="112" spans="1:15" s="18" customFormat="1" outlineLevel="1">
      <c r="A112" s="4"/>
      <c r="B112" s="536" t="s">
        <v>491</v>
      </c>
      <c r="C112" s="789"/>
      <c r="D112" s="46"/>
      <c r="E112" s="46"/>
      <c r="F112" s="46"/>
      <c r="G112" s="46"/>
      <c r="H112" s="46"/>
      <c r="I112" s="46"/>
      <c r="J112" s="46"/>
      <c r="K112" s="46"/>
      <c r="L112" s="46"/>
      <c r="M112" s="46"/>
      <c r="N112" s="46"/>
      <c r="O112" s="69"/>
    </row>
    <row r="113" spans="1:17" s="18" customFormat="1">
      <c r="A113" s="4"/>
      <c r="B113" s="536" t="s">
        <v>516</v>
      </c>
      <c r="C113" s="792"/>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517</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616</v>
      </c>
      <c r="C116" s="98"/>
      <c r="D116" s="499"/>
      <c r="E116" s="499"/>
      <c r="F116" s="499"/>
      <c r="G116" s="499"/>
      <c r="H116" s="499"/>
      <c r="I116" s="499"/>
      <c r="J116" s="499"/>
      <c r="K116" s="499"/>
      <c r="L116" s="499"/>
      <c r="M116" s="499"/>
      <c r="N116" s="499"/>
      <c r="O116" s="499"/>
    </row>
    <row r="119" spans="1:17" ht="15.75">
      <c r="B119" s="118" t="s">
        <v>485</v>
      </c>
      <c r="J119" s="18"/>
    </row>
    <row r="120" spans="1:17" s="14" customFormat="1" ht="75.599999999999994" customHeight="1">
      <c r="A120" s="72"/>
      <c r="B120" s="796" t="s">
        <v>680</v>
      </c>
      <c r="C120" s="796"/>
      <c r="D120" s="796"/>
      <c r="E120" s="796"/>
      <c r="F120" s="796"/>
      <c r="G120" s="796"/>
      <c r="H120" s="796"/>
      <c r="I120" s="796"/>
      <c r="J120" s="796"/>
      <c r="K120" s="796"/>
      <c r="L120" s="796"/>
      <c r="M120" s="796"/>
      <c r="N120" s="796"/>
      <c r="O120" s="796"/>
      <c r="P120" s="796"/>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50-1499 KW</v>
      </c>
      <c r="F122" s="244" t="str">
        <f>'1.  LRAMVA Summary'!G52</f>
        <v>Intermediate</v>
      </c>
      <c r="G122" s="244" t="str">
        <f>'1.  LRAMVA Summary'!H52</f>
        <v>Sentinel</v>
      </c>
      <c r="H122" s="244" t="str">
        <f>'1.  LRAMVA Summary'!I52</f>
        <v xml:space="preserve">Street Lighting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c r="D124" s="682"/>
      <c r="E124" s="683"/>
      <c r="F124" s="682"/>
      <c r="G124" s="683"/>
      <c r="H124" s="682"/>
      <c r="I124" s="683"/>
      <c r="J124" s="683"/>
      <c r="K124" s="683"/>
      <c r="L124" s="683"/>
      <c r="M124" s="683"/>
      <c r="N124" s="683"/>
      <c r="O124" s="683"/>
      <c r="P124" s="683"/>
    </row>
    <row r="125" spans="1:17">
      <c r="B125" s="501">
        <v>2012</v>
      </c>
      <c r="C125" s="684"/>
      <c r="D125" s="685"/>
      <c r="E125" s="686"/>
      <c r="F125" s="685"/>
      <c r="G125" s="686"/>
      <c r="H125" s="685"/>
      <c r="I125" s="686"/>
      <c r="J125" s="686"/>
      <c r="K125" s="686"/>
      <c r="L125" s="686"/>
      <c r="M125" s="686"/>
      <c r="N125" s="686"/>
      <c r="O125" s="686"/>
      <c r="P125" s="686"/>
    </row>
    <row r="126" spans="1:17">
      <c r="B126" s="501">
        <v>2013</v>
      </c>
      <c r="C126" s="684"/>
      <c r="D126" s="685"/>
      <c r="E126" s="686"/>
      <c r="F126" s="685"/>
      <c r="G126" s="686"/>
      <c r="H126" s="685"/>
      <c r="I126" s="686"/>
      <c r="J126" s="686"/>
      <c r="K126" s="686"/>
      <c r="L126" s="686"/>
      <c r="M126" s="686"/>
      <c r="N126" s="686"/>
      <c r="O126" s="686"/>
      <c r="P126" s="686"/>
    </row>
    <row r="127" spans="1:17">
      <c r="B127" s="501">
        <v>2014</v>
      </c>
      <c r="C127" s="684">
        <f t="shared" ref="C127:C129" si="30">HLOOKUP(B127,$E$15:$O$114,9,FALSE)</f>
        <v>1.6E-2</v>
      </c>
      <c r="D127" s="685">
        <f>HLOOKUP(B127,$E$15:$O$114,16,FALSE)</f>
        <v>6.7000000000000002E-3</v>
      </c>
      <c r="E127" s="686">
        <f>HLOOKUP(B127,$E$15:$O$114,23,FALSE)</f>
        <v>2.3212999999999999</v>
      </c>
      <c r="F127" s="685">
        <f>HLOOKUP(B127,$E$15:$O$114,30,FALSE)</f>
        <v>1.0215000000000001</v>
      </c>
      <c r="G127" s="686">
        <f>HLOOKUP(B127,$E$15:$O$114,37,FALSE)</f>
        <v>3.1198000000000001</v>
      </c>
      <c r="H127" s="685">
        <f>HLOOKUP(B127,$E$15:$O$114,44,FALSE)</f>
        <v>2.2936999999999999</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1.37E-2</v>
      </c>
      <c r="D128" s="685">
        <f t="shared" ref="D128:D133" si="31">HLOOKUP(B128,$E$15:$O$114,16,FALSE)</f>
        <v>6.4000000000000003E-3</v>
      </c>
      <c r="E128" s="686">
        <f t="shared" ref="E128:E133" si="32">HLOOKUP(B128,$E$15:$O$114,23,FALSE)</f>
        <v>1.9238999999999999</v>
      </c>
      <c r="F128" s="685">
        <f t="shared" ref="F128:F133" si="33">HLOOKUP(B128,$E$15:$O$114,30,FALSE)</f>
        <v>1.1046</v>
      </c>
      <c r="G128" s="686">
        <f t="shared" ref="G128:G132" si="34">HLOOKUP(B128,$E$15:$O$114,37,FALSE)</f>
        <v>6.3791000000000002</v>
      </c>
      <c r="H128" s="685">
        <f t="shared" ref="H128:H133" si="35">HLOOKUP(B128,$E$15:$O$114,44,FALSE)</f>
        <v>2.4485999999999999</v>
      </c>
      <c r="I128" s="686">
        <f t="shared" ref="I128:I133" si="36">HLOOKUP(B128,$E$15:$O$114,51,FALSE)</f>
        <v>0</v>
      </c>
      <c r="J128" s="686">
        <f t="shared" ref="J128:J133" si="37">HLOOKUP(B128,$E$15:$O$114,58,FALSE)</f>
        <v>0</v>
      </c>
      <c r="K128" s="686">
        <f t="shared" ref="K128:K133" si="38">HLOOKUP(B128,$E$15:$O$114,65,FALSE)</f>
        <v>0</v>
      </c>
      <c r="L128" s="686">
        <f t="shared" ref="L128:L133" si="39">HLOOKUP(B128,$E$15:$O$114,72,FALSE)</f>
        <v>0</v>
      </c>
      <c r="M128" s="686">
        <f t="shared" ref="M128:M133" si="40">HLOOKUP(B128,$E$15:$O$114,79,FALSE)</f>
        <v>0</v>
      </c>
      <c r="N128" s="686">
        <f t="shared" ref="N128:N133" si="41">HLOOKUP(B128,$E$15:$O$114,86,FALSE)</f>
        <v>0</v>
      </c>
      <c r="O128" s="686">
        <f t="shared" ref="O128:O133" si="42">HLOOKUP(B128,$E$15:$O$114,93,FALSE)</f>
        <v>0</v>
      </c>
      <c r="P128" s="686">
        <f t="shared" ref="P128:P133" si="43">HLOOKUP(B128,$E$15:$O$114,100,FALSE)</f>
        <v>0</v>
      </c>
    </row>
    <row r="129" spans="2:16">
      <c r="B129" s="501">
        <v>2016</v>
      </c>
      <c r="C129" s="684">
        <f t="shared" si="30"/>
        <v>1.26E-2</v>
      </c>
      <c r="D129" s="685">
        <f t="shared" si="31"/>
        <v>6.1999999999999998E-3</v>
      </c>
      <c r="E129" s="686">
        <f t="shared" si="32"/>
        <v>1.7252000000000001</v>
      </c>
      <c r="F129" s="685">
        <f t="shared" si="33"/>
        <v>1.1460999999999999</v>
      </c>
      <c r="G129" s="686">
        <f t="shared" si="34"/>
        <v>8.0086999999999993</v>
      </c>
      <c r="H129" s="685">
        <f t="shared" si="35"/>
        <v>2.5261</v>
      </c>
      <c r="I129" s="686">
        <f t="shared" si="36"/>
        <v>0</v>
      </c>
      <c r="J129" s="686">
        <f t="shared" si="37"/>
        <v>0</v>
      </c>
      <c r="K129" s="686">
        <f t="shared" si="38"/>
        <v>0</v>
      </c>
      <c r="L129" s="686">
        <f t="shared" si="39"/>
        <v>0</v>
      </c>
      <c r="M129" s="686">
        <f t="shared" si="40"/>
        <v>0</v>
      </c>
      <c r="N129" s="686">
        <f t="shared" si="41"/>
        <v>0</v>
      </c>
      <c r="O129" s="686">
        <f t="shared" si="42"/>
        <v>0</v>
      </c>
      <c r="P129" s="686">
        <f t="shared" si="43"/>
        <v>0</v>
      </c>
    </row>
    <row r="130" spans="2:16">
      <c r="B130" s="501">
        <v>2017</v>
      </c>
      <c r="C130" s="684">
        <f>HLOOKUP(B130,$E$15:$O$114,9,FALSE)</f>
        <v>9.9000000000000008E-3</v>
      </c>
      <c r="D130" s="685">
        <f t="shared" si="31"/>
        <v>6.3E-3</v>
      </c>
      <c r="E130" s="686">
        <f t="shared" si="32"/>
        <v>1.7453000000000001</v>
      </c>
      <c r="F130" s="685">
        <f t="shared" si="33"/>
        <v>1.1595</v>
      </c>
      <c r="G130" s="686">
        <f t="shared" si="34"/>
        <v>8.1021999999999998</v>
      </c>
      <c r="H130" s="685">
        <f t="shared" si="35"/>
        <v>2.5556000000000001</v>
      </c>
      <c r="I130" s="686">
        <f t="shared" si="36"/>
        <v>0</v>
      </c>
      <c r="J130" s="686">
        <f t="shared" si="37"/>
        <v>0</v>
      </c>
      <c r="K130" s="686">
        <f t="shared" si="38"/>
        <v>0</v>
      </c>
      <c r="L130" s="686">
        <f t="shared" si="39"/>
        <v>0</v>
      </c>
      <c r="M130" s="686">
        <f t="shared" si="40"/>
        <v>0</v>
      </c>
      <c r="N130" s="686">
        <f t="shared" si="41"/>
        <v>0</v>
      </c>
      <c r="O130" s="686">
        <f t="shared" si="42"/>
        <v>0</v>
      </c>
      <c r="P130" s="686">
        <f t="shared" si="43"/>
        <v>0</v>
      </c>
    </row>
    <row r="131" spans="2:16" hidden="1">
      <c r="B131" s="501">
        <v>2018</v>
      </c>
      <c r="C131" s="684">
        <f t="shared" ref="C131:C133" si="44">HLOOKUP(B131,$E$15:$O$114,9,FALSE)</f>
        <v>5.7000000000000002E-3</v>
      </c>
      <c r="D131" s="685">
        <f t="shared" si="31"/>
        <v>6.4000000000000003E-3</v>
      </c>
      <c r="E131" s="686">
        <f t="shared" si="32"/>
        <v>1.7677</v>
      </c>
      <c r="F131" s="685">
        <f t="shared" si="33"/>
        <v>1.1742999999999999</v>
      </c>
      <c r="G131" s="686">
        <f t="shared" si="34"/>
        <v>8.2059999999999995</v>
      </c>
      <c r="H131" s="685">
        <f t="shared" si="35"/>
        <v>2.5882999999999998</v>
      </c>
      <c r="I131" s="686">
        <f t="shared" si="36"/>
        <v>0</v>
      </c>
      <c r="J131" s="686">
        <f t="shared" si="37"/>
        <v>0</v>
      </c>
      <c r="K131" s="686">
        <f t="shared" si="38"/>
        <v>0</v>
      </c>
      <c r="L131" s="686">
        <f t="shared" si="39"/>
        <v>0</v>
      </c>
      <c r="M131" s="686">
        <f t="shared" si="40"/>
        <v>0</v>
      </c>
      <c r="N131" s="686">
        <f t="shared" si="41"/>
        <v>0</v>
      </c>
      <c r="O131" s="686">
        <f t="shared" si="42"/>
        <v>0</v>
      </c>
      <c r="P131" s="686">
        <f t="shared" si="43"/>
        <v>0</v>
      </c>
    </row>
    <row r="132" spans="2:16" hidden="1">
      <c r="B132" s="501">
        <v>2019</v>
      </c>
      <c r="C132" s="684">
        <f t="shared" si="44"/>
        <v>0</v>
      </c>
      <c r="D132" s="685">
        <f t="shared" si="31"/>
        <v>0</v>
      </c>
      <c r="E132" s="686">
        <f t="shared" si="32"/>
        <v>0</v>
      </c>
      <c r="F132" s="685">
        <f t="shared" si="33"/>
        <v>0</v>
      </c>
      <c r="G132" s="686">
        <f t="shared" si="34"/>
        <v>0</v>
      </c>
      <c r="H132" s="685">
        <f t="shared" si="35"/>
        <v>0</v>
      </c>
      <c r="I132" s="686">
        <f t="shared" si="36"/>
        <v>0</v>
      </c>
      <c r="J132" s="686">
        <f t="shared" si="37"/>
        <v>0</v>
      </c>
      <c r="K132" s="686">
        <f t="shared" si="38"/>
        <v>0</v>
      </c>
      <c r="L132" s="686">
        <f t="shared" si="39"/>
        <v>0</v>
      </c>
      <c r="M132" s="686">
        <f t="shared" si="40"/>
        <v>0</v>
      </c>
      <c r="N132" s="686">
        <f t="shared" si="41"/>
        <v>0</v>
      </c>
      <c r="O132" s="686">
        <f t="shared" si="42"/>
        <v>0</v>
      </c>
      <c r="P132" s="686">
        <f t="shared" si="43"/>
        <v>0</v>
      </c>
    </row>
    <row r="133" spans="2:16" hidden="1">
      <c r="B133" s="502">
        <v>2020</v>
      </c>
      <c r="C133" s="687">
        <f t="shared" si="44"/>
        <v>0</v>
      </c>
      <c r="D133" s="688">
        <f t="shared" si="31"/>
        <v>0</v>
      </c>
      <c r="E133" s="689">
        <f t="shared" si="32"/>
        <v>0</v>
      </c>
      <c r="F133" s="688">
        <f t="shared" si="33"/>
        <v>0</v>
      </c>
      <c r="G133" s="689">
        <f>HLOOKUP(B133,$E$15:$O$114,37,FALSE)</f>
        <v>0</v>
      </c>
      <c r="H133" s="688">
        <f t="shared" si="35"/>
        <v>0</v>
      </c>
      <c r="I133" s="689">
        <f t="shared" si="36"/>
        <v>0</v>
      </c>
      <c r="J133" s="689">
        <f t="shared" si="37"/>
        <v>0</v>
      </c>
      <c r="K133" s="689">
        <f t="shared" si="38"/>
        <v>0</v>
      </c>
      <c r="L133" s="689">
        <f t="shared" si="39"/>
        <v>0</v>
      </c>
      <c r="M133" s="689">
        <f t="shared" si="40"/>
        <v>0</v>
      </c>
      <c r="N133" s="689">
        <f t="shared" si="41"/>
        <v>0</v>
      </c>
      <c r="O133" s="689">
        <f t="shared" si="42"/>
        <v>0</v>
      </c>
      <c r="P133" s="689">
        <f t="shared" si="43"/>
        <v>0</v>
      </c>
    </row>
    <row r="134" spans="2:16" ht="18.75" customHeight="1">
      <c r="B134" s="498" t="s">
        <v>633</v>
      </c>
      <c r="C134" s="598"/>
      <c r="D134" s="599"/>
      <c r="E134" s="600"/>
      <c r="F134" s="599"/>
      <c r="G134" s="599"/>
      <c r="H134" s="599"/>
      <c r="I134" s="599"/>
      <c r="J134" s="599"/>
      <c r="K134" s="599"/>
      <c r="L134" s="599"/>
      <c r="M134" s="599"/>
      <c r="N134" s="599"/>
      <c r="O134" s="599"/>
      <c r="P134" s="599"/>
    </row>
    <row r="136" spans="2:16">
      <c r="B136" s="592" t="s">
        <v>529</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P534"/>
  <sheetViews>
    <sheetView topLeftCell="A397" zoomScale="70" zoomScaleNormal="70" zoomScaleSheetLayoutView="80" zoomScalePageLayoutView="85" workbookViewId="0">
      <selection activeCell="O233" sqref="O233"/>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13" width="13.5703125" style="253" customWidth="1" outlineLevel="1"/>
    <col min="14" max="14" width="12.42578125" style="253" customWidth="1" outlineLevel="1"/>
    <col min="15" max="15" width="17.5703125" style="253" customWidth="1"/>
    <col min="16" max="24" width="9.42578125" style="253" customWidth="1" outlineLevel="1"/>
    <col min="25" max="25" width="18.28515625" style="255" bestFit="1" customWidth="1"/>
    <col min="26" max="26" width="18.7109375" style="255" bestFit="1"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10"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10"/>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793" t="s">
        <v>554</v>
      </c>
      <c r="D5" s="794"/>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10" t="s">
        <v>507</v>
      </c>
      <c r="C7" s="809" t="s">
        <v>634</v>
      </c>
      <c r="D7" s="809"/>
      <c r="E7" s="809"/>
      <c r="F7" s="809"/>
      <c r="G7" s="809"/>
      <c r="H7" s="809"/>
      <c r="I7" s="809"/>
      <c r="J7" s="809"/>
      <c r="K7" s="809"/>
      <c r="L7" s="809"/>
      <c r="M7" s="809"/>
      <c r="N7" s="809"/>
      <c r="O7" s="809"/>
      <c r="P7" s="809"/>
      <c r="Q7" s="809"/>
      <c r="R7" s="809"/>
      <c r="S7" s="809"/>
      <c r="T7" s="809"/>
      <c r="U7" s="809"/>
      <c r="V7" s="809"/>
      <c r="W7" s="809"/>
      <c r="X7" s="809"/>
      <c r="Y7" s="606"/>
      <c r="Z7" s="606"/>
      <c r="AA7" s="606"/>
      <c r="AB7" s="606"/>
      <c r="AC7" s="606"/>
      <c r="AD7" s="606"/>
      <c r="AE7" s="270"/>
      <c r="AF7" s="270"/>
      <c r="AG7" s="270"/>
      <c r="AH7" s="270"/>
      <c r="AI7" s="270"/>
      <c r="AJ7" s="270"/>
      <c r="AK7" s="270"/>
      <c r="AL7" s="270"/>
    </row>
    <row r="8" spans="1:39" s="271" customFormat="1" ht="58.5" customHeight="1">
      <c r="A8" s="509"/>
      <c r="B8" s="810"/>
      <c r="C8" s="809" t="s">
        <v>572</v>
      </c>
      <c r="D8" s="809"/>
      <c r="E8" s="809"/>
      <c r="F8" s="809"/>
      <c r="G8" s="809"/>
      <c r="H8" s="809"/>
      <c r="I8" s="809"/>
      <c r="J8" s="809"/>
      <c r="K8" s="809"/>
      <c r="L8" s="809"/>
      <c r="M8" s="809"/>
      <c r="N8" s="809"/>
      <c r="O8" s="809"/>
      <c r="P8" s="809"/>
      <c r="Q8" s="809"/>
      <c r="R8" s="809"/>
      <c r="S8" s="809"/>
      <c r="T8" s="809"/>
      <c r="U8" s="809"/>
      <c r="V8" s="809"/>
      <c r="W8" s="809"/>
      <c r="X8" s="809"/>
      <c r="Y8" s="606"/>
      <c r="Z8" s="606"/>
      <c r="AA8" s="606"/>
      <c r="AB8" s="606"/>
      <c r="AC8" s="606"/>
      <c r="AD8" s="606"/>
      <c r="AE8" s="272"/>
      <c r="AF8" s="255"/>
      <c r="AG8" s="255"/>
      <c r="AH8" s="255"/>
      <c r="AI8" s="255"/>
      <c r="AJ8" s="255"/>
      <c r="AK8" s="255"/>
      <c r="AL8" s="255"/>
      <c r="AM8" s="256"/>
    </row>
    <row r="9" spans="1:39" s="271" customFormat="1" ht="57.75" customHeight="1">
      <c r="A9" s="509"/>
      <c r="B9" s="273"/>
      <c r="C9" s="809" t="s">
        <v>571</v>
      </c>
      <c r="D9" s="809"/>
      <c r="E9" s="809"/>
      <c r="F9" s="809"/>
      <c r="G9" s="809"/>
      <c r="H9" s="809"/>
      <c r="I9" s="809"/>
      <c r="J9" s="809"/>
      <c r="K9" s="809"/>
      <c r="L9" s="809"/>
      <c r="M9" s="809"/>
      <c r="N9" s="809"/>
      <c r="O9" s="809"/>
      <c r="P9" s="809"/>
      <c r="Q9" s="809"/>
      <c r="R9" s="809"/>
      <c r="S9" s="809"/>
      <c r="T9" s="809"/>
      <c r="U9" s="809"/>
      <c r="V9" s="809"/>
      <c r="W9" s="809"/>
      <c r="X9" s="809"/>
      <c r="Y9" s="606"/>
      <c r="Z9" s="606"/>
      <c r="AA9" s="606"/>
      <c r="AB9" s="606"/>
      <c r="AC9" s="606"/>
      <c r="AD9" s="606"/>
      <c r="AE9" s="272"/>
      <c r="AF9" s="255"/>
      <c r="AG9" s="255"/>
      <c r="AH9" s="255"/>
      <c r="AI9" s="255"/>
      <c r="AJ9" s="255"/>
      <c r="AK9" s="255"/>
      <c r="AL9" s="255"/>
      <c r="AM9" s="256"/>
    </row>
    <row r="10" spans="1:39" ht="41.25" customHeight="1">
      <c r="B10" s="275"/>
      <c r="C10" s="809" t="s">
        <v>637</v>
      </c>
      <c r="D10" s="809"/>
      <c r="E10" s="809"/>
      <c r="F10" s="809"/>
      <c r="G10" s="809"/>
      <c r="H10" s="809"/>
      <c r="I10" s="809"/>
      <c r="J10" s="809"/>
      <c r="K10" s="809"/>
      <c r="L10" s="809"/>
      <c r="M10" s="809"/>
      <c r="N10" s="809"/>
      <c r="O10" s="809"/>
      <c r="P10" s="809"/>
      <c r="Q10" s="809"/>
      <c r="R10" s="809"/>
      <c r="S10" s="809"/>
      <c r="T10" s="809"/>
      <c r="U10" s="809"/>
      <c r="V10" s="809"/>
      <c r="W10" s="809"/>
      <c r="X10" s="809"/>
      <c r="Y10" s="606"/>
      <c r="Z10" s="606"/>
      <c r="AA10" s="606"/>
      <c r="AB10" s="606"/>
      <c r="AC10" s="606"/>
      <c r="AD10" s="606"/>
      <c r="AE10" s="272"/>
      <c r="AF10" s="276"/>
      <c r="AG10" s="276"/>
      <c r="AH10" s="276"/>
      <c r="AI10" s="276"/>
      <c r="AJ10" s="276"/>
      <c r="AK10" s="276"/>
      <c r="AL10" s="276"/>
    </row>
    <row r="11" spans="1:39" ht="53.25" customHeight="1">
      <c r="C11" s="809" t="s">
        <v>622</v>
      </c>
      <c r="D11" s="809"/>
      <c r="E11" s="809"/>
      <c r="F11" s="809"/>
      <c r="G11" s="809"/>
      <c r="H11" s="809"/>
      <c r="I11" s="809"/>
      <c r="J11" s="809"/>
      <c r="K11" s="809"/>
      <c r="L11" s="809"/>
      <c r="M11" s="809"/>
      <c r="N11" s="809"/>
      <c r="O11" s="809"/>
      <c r="P11" s="809"/>
      <c r="Q11" s="809"/>
      <c r="R11" s="809"/>
      <c r="S11" s="809"/>
      <c r="T11" s="809"/>
      <c r="U11" s="809"/>
      <c r="V11" s="809"/>
      <c r="W11" s="809"/>
      <c r="X11" s="809"/>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10" t="s">
        <v>530</v>
      </c>
      <c r="C13" s="591" t="s">
        <v>525</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10"/>
      <c r="C14" s="591" t="s">
        <v>526</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527</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528</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242</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00" t="s">
        <v>211</v>
      </c>
      <c r="C19" s="802" t="s">
        <v>33</v>
      </c>
      <c r="D19" s="284" t="s">
        <v>423</v>
      </c>
      <c r="E19" s="804" t="s">
        <v>209</v>
      </c>
      <c r="F19" s="805"/>
      <c r="G19" s="805"/>
      <c r="H19" s="805"/>
      <c r="I19" s="805"/>
      <c r="J19" s="805"/>
      <c r="K19" s="805"/>
      <c r="L19" s="805"/>
      <c r="M19" s="806"/>
      <c r="N19" s="807" t="s">
        <v>213</v>
      </c>
      <c r="O19" s="284" t="s">
        <v>424</v>
      </c>
      <c r="P19" s="804" t="s">
        <v>212</v>
      </c>
      <c r="Q19" s="805"/>
      <c r="R19" s="805"/>
      <c r="S19" s="805"/>
      <c r="T19" s="805"/>
      <c r="U19" s="805"/>
      <c r="V19" s="805"/>
      <c r="W19" s="805"/>
      <c r="X19" s="806"/>
      <c r="Y19" s="797" t="s">
        <v>244</v>
      </c>
      <c r="Z19" s="798"/>
      <c r="AA19" s="798"/>
      <c r="AB19" s="798"/>
      <c r="AC19" s="798"/>
      <c r="AD19" s="798"/>
      <c r="AE19" s="798"/>
      <c r="AF19" s="798"/>
      <c r="AG19" s="798"/>
      <c r="AH19" s="798"/>
      <c r="AI19" s="798"/>
      <c r="AJ19" s="798"/>
      <c r="AK19" s="798"/>
      <c r="AL19" s="798"/>
      <c r="AM19" s="799"/>
    </row>
    <row r="20" spans="1:39" s="283" customFormat="1" ht="59.25" customHeight="1">
      <c r="A20" s="509"/>
      <c r="B20" s="801"/>
      <c r="C20" s="803"/>
      <c r="D20" s="285">
        <v>2011</v>
      </c>
      <c r="E20" s="285">
        <v>2012</v>
      </c>
      <c r="F20" s="285">
        <v>2013</v>
      </c>
      <c r="G20" s="285">
        <v>2014</v>
      </c>
      <c r="H20" s="285">
        <v>2015</v>
      </c>
      <c r="I20" s="285">
        <v>2016</v>
      </c>
      <c r="J20" s="285">
        <v>2017</v>
      </c>
      <c r="K20" s="285">
        <v>2018</v>
      </c>
      <c r="L20" s="285">
        <v>2019</v>
      </c>
      <c r="M20" s="285">
        <v>2020</v>
      </c>
      <c r="N20" s="808"/>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50-1499 KW</v>
      </c>
      <c r="AB20" s="286" t="str">
        <f>'1.  LRAMVA Summary'!G52</f>
        <v>Intermediate</v>
      </c>
      <c r="AC20" s="286" t="str">
        <f>'1.  LRAMVA Summary'!H52</f>
        <v>Sentinel</v>
      </c>
      <c r="AD20" s="286" t="str">
        <f>'1.  LRAMVA Summary'!I52</f>
        <v xml:space="preserve">Street Lighting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89.662310043779797</v>
      </c>
      <c r="E22" s="295">
        <v>89.662310043779797</v>
      </c>
      <c r="F22" s="295">
        <v>89.662310043779797</v>
      </c>
      <c r="G22" s="295">
        <v>38.000978848726405</v>
      </c>
      <c r="H22" s="295">
        <v>0</v>
      </c>
      <c r="I22" s="295">
        <v>0</v>
      </c>
      <c r="J22" s="295">
        <v>0</v>
      </c>
      <c r="K22" s="295">
        <v>0</v>
      </c>
      <c r="L22" s="295">
        <v>0</v>
      </c>
      <c r="M22" s="295">
        <v>0</v>
      </c>
      <c r="N22" s="291"/>
      <c r="O22" s="295">
        <v>7.9082488725544298E-2</v>
      </c>
      <c r="P22" s="295">
        <v>7.9082488725544298E-2</v>
      </c>
      <c r="Q22" s="295">
        <v>7.9082488725544298E-2</v>
      </c>
      <c r="R22" s="295">
        <v>2.1312205435742998E-2</v>
      </c>
      <c r="S22" s="295">
        <v>0</v>
      </c>
      <c r="T22" s="295">
        <v>0</v>
      </c>
      <c r="U22" s="295">
        <v>0</v>
      </c>
      <c r="V22" s="295">
        <v>0</v>
      </c>
      <c r="W22" s="295">
        <v>0</v>
      </c>
      <c r="X22" s="295">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6300.4453146756196</v>
      </c>
      <c r="E25" s="295">
        <v>6300.4453146756196</v>
      </c>
      <c r="F25" s="295">
        <v>6300.4453146756196</v>
      </c>
      <c r="G25" s="295">
        <v>6300.3106705643204</v>
      </c>
      <c r="H25" s="295">
        <v>5473.5411082419205</v>
      </c>
      <c r="I25" s="295">
        <v>0</v>
      </c>
      <c r="J25" s="295">
        <v>0</v>
      </c>
      <c r="K25" s="295">
        <v>0</v>
      </c>
      <c r="L25" s="295">
        <v>0</v>
      </c>
      <c r="M25" s="295">
        <v>0</v>
      </c>
      <c r="N25" s="291"/>
      <c r="O25" s="295">
        <v>0.83221762985553194</v>
      </c>
      <c r="P25" s="295">
        <v>0.83221762985553194</v>
      </c>
      <c r="Q25" s="295">
        <v>0.83221762985553194</v>
      </c>
      <c r="R25" s="295">
        <v>0.83206706407890896</v>
      </c>
      <c r="S25" s="295">
        <v>0.71965967064496894</v>
      </c>
      <c r="T25" s="295">
        <v>0</v>
      </c>
      <c r="U25" s="295">
        <v>0</v>
      </c>
      <c r="V25" s="295">
        <v>0</v>
      </c>
      <c r="W25" s="295">
        <v>0</v>
      </c>
      <c r="X25" s="295">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514.73504046029097</v>
      </c>
      <c r="E28" s="295">
        <v>514.73504046029097</v>
      </c>
      <c r="F28" s="295">
        <v>514.73504046029097</v>
      </c>
      <c r="G28" s="295">
        <v>514.73504046029097</v>
      </c>
      <c r="H28" s="295">
        <v>514.73504046029097</v>
      </c>
      <c r="I28" s="295">
        <v>514.73504046029097</v>
      </c>
      <c r="J28" s="295">
        <v>514.73504046029097</v>
      </c>
      <c r="K28" s="295">
        <v>514.73504046029097</v>
      </c>
      <c r="L28" s="295">
        <v>514.73504046029097</v>
      </c>
      <c r="M28" s="295">
        <v>514.73504046029097</v>
      </c>
      <c r="N28" s="291"/>
      <c r="O28" s="295">
        <v>0.27490942809743096</v>
      </c>
      <c r="P28" s="295">
        <v>0.27490942809743096</v>
      </c>
      <c r="Q28" s="295">
        <v>0.27490942809743096</v>
      </c>
      <c r="R28" s="295">
        <v>0.27490942809743096</v>
      </c>
      <c r="S28" s="295">
        <v>0.27490942809743096</v>
      </c>
      <c r="T28" s="295">
        <v>0.27490942809743096</v>
      </c>
      <c r="U28" s="295">
        <v>0.27490942809743096</v>
      </c>
      <c r="V28" s="295">
        <v>0.27490942809743096</v>
      </c>
      <c r="W28" s="295">
        <v>0.27490942809743096</v>
      </c>
      <c r="X28" s="295">
        <v>0.27490942809743096</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v>-115.718406076834</v>
      </c>
      <c r="E29" s="295">
        <v>-115.718406076834</v>
      </c>
      <c r="F29" s="295">
        <v>-115.718406076834</v>
      </c>
      <c r="G29" s="295">
        <v>-115.718406076834</v>
      </c>
      <c r="H29" s="295">
        <v>-115.718406076834</v>
      </c>
      <c r="I29" s="295">
        <v>-115.718406076834</v>
      </c>
      <c r="J29" s="295">
        <v>-115.718406076834</v>
      </c>
      <c r="K29" s="295">
        <v>-115.718406076834</v>
      </c>
      <c r="L29" s="295">
        <v>-115.718406076834</v>
      </c>
      <c r="M29" s="295">
        <v>-115.718406076834</v>
      </c>
      <c r="N29" s="468"/>
      <c r="O29" s="295">
        <v>-6.2458855382740604E-2</v>
      </c>
      <c r="P29" s="295">
        <v>-6.2458855382740604E-2</v>
      </c>
      <c r="Q29" s="295">
        <v>-6.2458855382740604E-2</v>
      </c>
      <c r="R29" s="295">
        <v>-6.2458855382740604E-2</v>
      </c>
      <c r="S29" s="295">
        <v>-6.2458855382740604E-2</v>
      </c>
      <c r="T29" s="295">
        <v>-6.2458855382740604E-2</v>
      </c>
      <c r="U29" s="295">
        <v>-6.2458855382740604E-2</v>
      </c>
      <c r="V29" s="295">
        <v>-6.2458855382740604E-2</v>
      </c>
      <c r="W29" s="295">
        <v>-6.2458855382740604E-2</v>
      </c>
      <c r="X29" s="295">
        <v>-6.2458855382740604E-2</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12421.444800261101</v>
      </c>
      <c r="E31" s="295">
        <v>12421.444800261101</v>
      </c>
      <c r="F31" s="295">
        <v>12421.444800261101</v>
      </c>
      <c r="G31" s="295">
        <v>12421.444800261101</v>
      </c>
      <c r="H31" s="295">
        <v>11427.4971567554</v>
      </c>
      <c r="I31" s="295">
        <v>10341.651224229001</v>
      </c>
      <c r="J31" s="295">
        <v>8090.4994593118399</v>
      </c>
      <c r="K31" s="295">
        <v>8038.13249768279</v>
      </c>
      <c r="L31" s="295">
        <v>10117.926073714902</v>
      </c>
      <c r="M31" s="295">
        <v>3875.62117839032</v>
      </c>
      <c r="N31" s="291"/>
      <c r="O31" s="295">
        <v>0.765443479163185</v>
      </c>
      <c r="P31" s="295">
        <v>0.765443479163185</v>
      </c>
      <c r="Q31" s="295">
        <v>0.765443479163185</v>
      </c>
      <c r="R31" s="295">
        <v>0.765443479163185</v>
      </c>
      <c r="S31" s="295">
        <v>0.71942077102095903</v>
      </c>
      <c r="T31" s="295">
        <v>0.66914290098766194</v>
      </c>
      <c r="U31" s="295">
        <v>0.56490793314245691</v>
      </c>
      <c r="V31" s="295">
        <v>0.55892996948617202</v>
      </c>
      <c r="W31" s="295">
        <v>0.65523054766169497</v>
      </c>
      <c r="X31" s="295">
        <v>0.36619341556586399</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v>183.95870463343499</v>
      </c>
      <c r="E32" s="295">
        <v>183.95870463343499</v>
      </c>
      <c r="F32" s="295">
        <v>183.95870463343499</v>
      </c>
      <c r="G32" s="295">
        <v>183.95870463343499</v>
      </c>
      <c r="H32" s="295">
        <v>168.07953254315498</v>
      </c>
      <c r="I32" s="295">
        <v>103.11534020842099</v>
      </c>
      <c r="J32" s="295">
        <v>102.974946209416</v>
      </c>
      <c r="K32" s="295">
        <v>102.974946209416</v>
      </c>
      <c r="L32" s="295">
        <v>36.4752326695234</v>
      </c>
      <c r="M32" s="295">
        <v>16.473718849064298</v>
      </c>
      <c r="N32" s="468"/>
      <c r="O32" s="295">
        <v>1.07436767013597E-2</v>
      </c>
      <c r="P32" s="295">
        <v>1.07436767013597E-2</v>
      </c>
      <c r="Q32" s="295">
        <v>1.07436767013597E-2</v>
      </c>
      <c r="R32" s="295">
        <v>1.07436767013597E-2</v>
      </c>
      <c r="S32" s="295">
        <v>1.0008424188386799E-2</v>
      </c>
      <c r="T32" s="295">
        <v>7.0003904322308895E-3</v>
      </c>
      <c r="U32" s="295">
        <v>6.9843637200156499E-3</v>
      </c>
      <c r="V32" s="295">
        <v>6.9843637200156499E-3</v>
      </c>
      <c r="W32" s="295">
        <v>3.9052308021152202E-3</v>
      </c>
      <c r="X32" s="295">
        <v>5.1621851543212909E-4</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19611.7536881058</v>
      </c>
      <c r="E34" s="295">
        <v>19611.7536881058</v>
      </c>
      <c r="F34" s="295">
        <v>19611.7536881058</v>
      </c>
      <c r="G34" s="295">
        <v>19611.7536881058</v>
      </c>
      <c r="H34" s="295">
        <v>17923.698566979598</v>
      </c>
      <c r="I34" s="295">
        <v>16079.569453005201</v>
      </c>
      <c r="J34" s="295">
        <v>12122.970320599699</v>
      </c>
      <c r="K34" s="295">
        <v>12078.746210913001</v>
      </c>
      <c r="L34" s="295">
        <v>15610.930446013501</v>
      </c>
      <c r="M34" s="295">
        <v>5009.4115279572507</v>
      </c>
      <c r="N34" s="291"/>
      <c r="O34" s="295">
        <v>1.1221359297668201</v>
      </c>
      <c r="P34" s="295">
        <v>1.1221359297668201</v>
      </c>
      <c r="Q34" s="295">
        <v>1.1221359297668201</v>
      </c>
      <c r="R34" s="295">
        <v>1.1221359297668201</v>
      </c>
      <c r="S34" s="295">
        <v>1.04397399772223</v>
      </c>
      <c r="T34" s="295">
        <v>0.95858537937441202</v>
      </c>
      <c r="U34" s="295">
        <v>0.77538316716912803</v>
      </c>
      <c r="V34" s="295">
        <v>0.77033475282132702</v>
      </c>
      <c r="W34" s="295">
        <v>0.93388530321373608</v>
      </c>
      <c r="X34" s="295">
        <v>0.44300370173512799</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v>1457.0878090516999</v>
      </c>
      <c r="E35" s="295">
        <v>1457.0878090516999</v>
      </c>
      <c r="F35" s="295">
        <v>1457.0878090516999</v>
      </c>
      <c r="G35" s="295">
        <v>1457.0878090516999</v>
      </c>
      <c r="H35" s="295">
        <v>1324.0751645983901</v>
      </c>
      <c r="I35" s="295">
        <v>714.85382231964002</v>
      </c>
      <c r="J35" s="295">
        <v>714.70818892136299</v>
      </c>
      <c r="K35" s="295">
        <v>714.70818892136299</v>
      </c>
      <c r="L35" s="295">
        <v>157.67015803163599</v>
      </c>
      <c r="M35" s="295">
        <v>132.46049316679401</v>
      </c>
      <c r="N35" s="468"/>
      <c r="O35" s="295">
        <v>7.1983185636938202E-2</v>
      </c>
      <c r="P35" s="295">
        <v>7.1983185636938202E-2</v>
      </c>
      <c r="Q35" s="295">
        <v>7.1983185636938202E-2</v>
      </c>
      <c r="R35" s="295">
        <v>7.1983185636938202E-2</v>
      </c>
      <c r="S35" s="295">
        <v>6.5824307797750503E-2</v>
      </c>
      <c r="T35" s="295">
        <v>3.7615562384543999E-2</v>
      </c>
      <c r="U35" s="295">
        <v>3.7598937567389197E-2</v>
      </c>
      <c r="V35" s="295">
        <v>3.7598937567389197E-2</v>
      </c>
      <c r="W35" s="295">
        <v>1.18064334176373E-2</v>
      </c>
      <c r="X35" s="295">
        <v>4.9054267489316798E-3</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486</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v>100177.132444085</v>
      </c>
      <c r="E53" s="295">
        <v>100177.132444085</v>
      </c>
      <c r="F53" s="295">
        <v>100177.132444085</v>
      </c>
      <c r="G53" s="295">
        <v>90092.000166050697</v>
      </c>
      <c r="H53" s="295">
        <v>90092.000166050697</v>
      </c>
      <c r="I53" s="295">
        <v>90092.000166050697</v>
      </c>
      <c r="J53" s="295">
        <v>9602.2510798277399</v>
      </c>
      <c r="K53" s="295">
        <v>9602.2510798277399</v>
      </c>
      <c r="L53" s="295">
        <v>9602.2510798277399</v>
      </c>
      <c r="M53" s="295">
        <v>9602.2510798277399</v>
      </c>
      <c r="N53" s="295">
        <v>12</v>
      </c>
      <c r="O53" s="295">
        <v>41.142340087214798</v>
      </c>
      <c r="P53" s="295">
        <v>41.142340087214798</v>
      </c>
      <c r="Q53" s="295">
        <v>41.142340087214798</v>
      </c>
      <c r="R53" s="295">
        <v>37.212335829534901</v>
      </c>
      <c r="S53" s="295">
        <v>37.212335829534901</v>
      </c>
      <c r="T53" s="295">
        <v>37.212335829534901</v>
      </c>
      <c r="U53" s="295">
        <v>3.9806991235074403</v>
      </c>
      <c r="V53" s="295">
        <v>3.9806991235074403</v>
      </c>
      <c r="W53" s="295">
        <v>3.9806991235074403</v>
      </c>
      <c r="X53" s="295">
        <v>3.9806991235074403</v>
      </c>
      <c r="Y53" s="415"/>
      <c r="Z53" s="744">
        <v>1</v>
      </c>
      <c r="AA53" s="744">
        <v>0</v>
      </c>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v>229.06169106981199</v>
      </c>
      <c r="E59" s="295">
        <v>229.06169106981199</v>
      </c>
      <c r="F59" s="295">
        <v>229.06169106981199</v>
      </c>
      <c r="G59" s="295">
        <v>229.06169106981199</v>
      </c>
      <c r="H59" s="295">
        <v>229.06169106981199</v>
      </c>
      <c r="I59" s="295">
        <v>229.06169106981199</v>
      </c>
      <c r="J59" s="295">
        <v>229.06169106981199</v>
      </c>
      <c r="K59" s="295">
        <v>229.06169106981199</v>
      </c>
      <c r="L59" s="295">
        <v>229.06169106981199</v>
      </c>
      <c r="M59" s="295">
        <v>229.06169106981199</v>
      </c>
      <c r="N59" s="295">
        <v>12</v>
      </c>
      <c r="O59" s="295">
        <v>4.45992389154619E-2</v>
      </c>
      <c r="P59" s="295">
        <v>4.45992389154619E-2</v>
      </c>
      <c r="Q59" s="295">
        <v>4.45992389154619E-2</v>
      </c>
      <c r="R59" s="295">
        <v>4.45992389154619E-2</v>
      </c>
      <c r="S59" s="295">
        <v>4.45992389154619E-2</v>
      </c>
      <c r="T59" s="295">
        <v>4.45992389154619E-2</v>
      </c>
      <c r="U59" s="295">
        <v>4.45992389154619E-2</v>
      </c>
      <c r="V59" s="295">
        <v>4.45992389154619E-2</v>
      </c>
      <c r="W59" s="295">
        <v>4.45992389154619E-2</v>
      </c>
      <c r="X59" s="295">
        <v>4.45992389154619E-2</v>
      </c>
      <c r="Y59" s="415"/>
      <c r="Z59" s="741">
        <v>0.9</v>
      </c>
      <c r="AA59" s="741">
        <v>0.1</v>
      </c>
      <c r="AB59" s="415"/>
      <c r="AC59" s="415"/>
      <c r="AD59" s="415"/>
      <c r="AE59" s="415"/>
      <c r="AF59" s="415"/>
      <c r="AG59" s="415"/>
      <c r="AH59" s="415"/>
      <c r="AI59" s="415"/>
      <c r="AJ59" s="415"/>
      <c r="AK59" s="415"/>
      <c r="AL59" s="415"/>
      <c r="AM59" s="296">
        <f>SUM(Y59:AL59)</f>
        <v>1</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0.9</v>
      </c>
      <c r="AA60" s="411">
        <f t="shared" ref="AA60:AL60" si="12">AA59</f>
        <v>0.1</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487</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488</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489</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490</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492</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493</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494</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140869.56339630971</v>
      </c>
      <c r="E127" s="328"/>
      <c r="F127" s="328"/>
      <c r="G127" s="328"/>
      <c r="H127" s="328"/>
      <c r="I127" s="328"/>
      <c r="J127" s="328"/>
      <c r="K127" s="328"/>
      <c r="L127" s="328"/>
      <c r="M127" s="328"/>
      <c r="N127" s="328"/>
      <c r="O127" s="328">
        <f>SUM(O22:O125)</f>
        <v>44.280996288694325</v>
      </c>
      <c r="P127" s="328"/>
      <c r="Q127" s="328"/>
      <c r="R127" s="328"/>
      <c r="S127" s="328"/>
      <c r="T127" s="328"/>
      <c r="U127" s="328"/>
      <c r="V127" s="328"/>
      <c r="W127" s="328"/>
      <c r="X127" s="328"/>
      <c r="Y127" s="329">
        <f>IF(Y21="kWh",SUMPRODUCT(D22:D125,Y22:Y125))</f>
        <v>40463.369261154898</v>
      </c>
      <c r="Z127" s="329">
        <f>IF(Z21="kWh",SUMPRODUCT(D22:D125,Z22:Z125))</f>
        <v>100383.28796604784</v>
      </c>
      <c r="AA127" s="329">
        <f>IF(AA21="kW",SUMPRODUCT(N22:N125,O22:O125,AA22:AA125),SUMPRODUCT(D22:D125,AA22:AA125))</f>
        <v>5.3519086698554277E-2</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254</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257</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40463.369261154898</v>
      </c>
      <c r="Z135" s="291">
        <f>SUMPRODUCT(E22:E125,Z22:Z125)</f>
        <v>100383.28796604784</v>
      </c>
      <c r="AA135" s="291">
        <f>IF(AA21="kW",SUMPRODUCT(N22:N125,P22:P125,AA22:AA125),SUMPRODUCT(E22:E125,AA22:AA125))</f>
        <v>5.3519086698554277E-2</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40463.369261154898</v>
      </c>
      <c r="Z136" s="291">
        <f>SUMPRODUCT(F22:F125,Z22:Z125)</f>
        <v>100383.28796604784</v>
      </c>
      <c r="AA136" s="291">
        <f>IF(AA21="kW",SUMPRODUCT(N22:N125,Q22:Q125,AA22:AA125),SUMPRODUCT(F22:F125,AA22:AA125))</f>
        <v>5.3519086698554277E-2</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40411.573285848535</v>
      </c>
      <c r="Z137" s="291">
        <f>SUMPRODUCT(G22:G125,Z22:Z125)</f>
        <v>90298.155688013532</v>
      </c>
      <c r="AA137" s="291">
        <f>IF(AA21="kW",SUMPRODUCT(N22:N125,R22:R125,AA22:AA125),SUMPRODUCT(G22:G125,AA22:AA125))</f>
        <v>5.3519086698554277E-2</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36715.908163501917</v>
      </c>
      <c r="Z138" s="291">
        <f>SUMPRODUCT(H22:H125,Z22:Z125)</f>
        <v>90298.155688013532</v>
      </c>
      <c r="AA138" s="291">
        <f>IF(AA21="kW",SUMPRODUCT(N22:N125,S22:S125,AA22:AA125),SUMPRODUCT(H22:H125,AA22:AA125))</f>
        <v>5.3519086698554277E-2</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27638.206474145718</v>
      </c>
      <c r="Z139" s="291">
        <f>SUMPRODUCT(I22:I125,Z22:Z125)</f>
        <v>90298.155688013532</v>
      </c>
      <c r="AA139" s="291">
        <f>IF(AA21="kW",SUMPRODUCT(N22:N125,T22:T125,AA22:AA125),SUMPRODUCT(I22:I125,AA22:AA125))</f>
        <v>5.3519086698554277E-2</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21430.169549425776</v>
      </c>
      <c r="Z140" s="291">
        <f>SUMPRODUCT(J22:J125,Z22:Z125)</f>
        <v>9808.4066017905716</v>
      </c>
      <c r="AA140" s="291">
        <f>IF(AA21="kW",SUMPRODUCT(N22:N125,U22:U125,AA22:AA125),SUMPRODUCT(J22:J125,AA22:AA125))</f>
        <v>5.3519086698554277E-2</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21333.578478110026</v>
      </c>
      <c r="Z141" s="291">
        <f>SUMPRODUCT(K22:K125,Z22:Z125)</f>
        <v>9808.4066017905716</v>
      </c>
      <c r="AA141" s="291">
        <f>IF(AA21="kW",SUMPRODUCT(N22:N125,V22:V125,AA22:AA125),SUMPRODUCT(K22:K125,AA22:AA125))</f>
        <v>5.3519086698554277E-2</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26322.018544813021</v>
      </c>
      <c r="Z142" s="291">
        <f>SUMPRODUCT(L22:L125,Z22:Z125)</f>
        <v>9808.4066017905716</v>
      </c>
      <c r="AA142" s="291">
        <f>IF(AA21="kW",SUMPRODUCT(N22:N125,W22:W125,AA22:AA125),SUMPRODUCT(L22:L125,AA22:AA125))</f>
        <v>5.3519086698554277E-2</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9432.9835527468877</v>
      </c>
      <c r="Z143" s="326">
        <f>SUMPRODUCT(M22:M125,Z22:Z125)</f>
        <v>9808.4066017905716</v>
      </c>
      <c r="AA143" s="326">
        <f>IF(AA21="kW",SUMPRODUCT(N22:N125,X22:X125,AA22:AA125),SUMPRODUCT(M22:M125,AA22:AA125))</f>
        <v>5.3519086698554277E-2</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590</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243</v>
      </c>
      <c r="C146" s="281"/>
      <c r="D146" s="590" t="s">
        <v>529</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00" t="s">
        <v>211</v>
      </c>
      <c r="C147" s="802" t="s">
        <v>33</v>
      </c>
      <c r="D147" s="284" t="s">
        <v>423</v>
      </c>
      <c r="E147" s="804" t="s">
        <v>209</v>
      </c>
      <c r="F147" s="805"/>
      <c r="G147" s="805"/>
      <c r="H147" s="805"/>
      <c r="I147" s="805"/>
      <c r="J147" s="805"/>
      <c r="K147" s="805"/>
      <c r="L147" s="805"/>
      <c r="M147" s="806"/>
      <c r="N147" s="807" t="s">
        <v>213</v>
      </c>
      <c r="O147" s="284" t="s">
        <v>424</v>
      </c>
      <c r="P147" s="804" t="s">
        <v>212</v>
      </c>
      <c r="Q147" s="805"/>
      <c r="R147" s="805"/>
      <c r="S147" s="805"/>
      <c r="T147" s="805"/>
      <c r="U147" s="805"/>
      <c r="V147" s="805"/>
      <c r="W147" s="805"/>
      <c r="X147" s="806"/>
      <c r="Y147" s="797" t="s">
        <v>244</v>
      </c>
      <c r="Z147" s="798"/>
      <c r="AA147" s="798"/>
      <c r="AB147" s="798"/>
      <c r="AC147" s="798"/>
      <c r="AD147" s="798"/>
      <c r="AE147" s="798"/>
      <c r="AF147" s="798"/>
      <c r="AG147" s="798"/>
      <c r="AH147" s="798"/>
      <c r="AI147" s="798"/>
      <c r="AJ147" s="798"/>
      <c r="AK147" s="798"/>
      <c r="AL147" s="798"/>
      <c r="AM147" s="799"/>
    </row>
    <row r="148" spans="1:39" ht="60.75" customHeight="1">
      <c r="B148" s="801"/>
      <c r="C148" s="803"/>
      <c r="D148" s="285">
        <v>2012</v>
      </c>
      <c r="E148" s="285">
        <v>2013</v>
      </c>
      <c r="F148" s="285">
        <v>2014</v>
      </c>
      <c r="G148" s="285">
        <v>2015</v>
      </c>
      <c r="H148" s="285">
        <v>2016</v>
      </c>
      <c r="I148" s="285">
        <v>2017</v>
      </c>
      <c r="J148" s="285">
        <v>2018</v>
      </c>
      <c r="K148" s="285">
        <v>2019</v>
      </c>
      <c r="L148" s="285">
        <v>2020</v>
      </c>
      <c r="M148" s="285">
        <v>2021</v>
      </c>
      <c r="N148" s="808"/>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50-1499 KW</v>
      </c>
      <c r="AB148" s="285" t="str">
        <f>'1.  LRAMVA Summary'!G52</f>
        <v>Intermediate</v>
      </c>
      <c r="AC148" s="285" t="str">
        <f>'1.  LRAMVA Summary'!H52</f>
        <v>Sentinel</v>
      </c>
      <c r="AD148" s="285" t="str">
        <f>'1.  LRAMVA Summary'!I52</f>
        <v xml:space="preserve">Street Lighting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v>4123.5693970782104</v>
      </c>
      <c r="E150" s="295">
        <v>4123.5693970782104</v>
      </c>
      <c r="F150" s="295">
        <v>4123.5693970782104</v>
      </c>
      <c r="G150" s="295">
        <v>4123.5693970782104</v>
      </c>
      <c r="H150" s="295">
        <v>2769.8293670113903</v>
      </c>
      <c r="I150" s="295">
        <v>0</v>
      </c>
      <c r="J150" s="295">
        <v>0</v>
      </c>
      <c r="K150" s="295">
        <v>0</v>
      </c>
      <c r="L150" s="295">
        <v>0</v>
      </c>
      <c r="M150" s="295">
        <v>0</v>
      </c>
      <c r="N150" s="291"/>
      <c r="O150" s="295">
        <v>0.54798582918453098</v>
      </c>
      <c r="P150" s="295">
        <v>0.54798582918453098</v>
      </c>
      <c r="Q150" s="295">
        <v>0.54798582918453098</v>
      </c>
      <c r="R150" s="295">
        <v>0.54798582918453098</v>
      </c>
      <c r="S150" s="295">
        <v>0.364176398895529</v>
      </c>
      <c r="T150" s="295">
        <v>0</v>
      </c>
      <c r="U150" s="295">
        <v>0</v>
      </c>
      <c r="V150" s="295">
        <v>0</v>
      </c>
      <c r="W150" s="295">
        <v>0</v>
      </c>
      <c r="X150" s="295">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245</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64.7214939790138</v>
      </c>
      <c r="E153" s="295">
        <v>64.7214939790138</v>
      </c>
      <c r="F153" s="295">
        <v>64.7214939790138</v>
      </c>
      <c r="G153" s="295">
        <v>63.452797240431899</v>
      </c>
      <c r="H153" s="295">
        <v>0</v>
      </c>
      <c r="I153" s="295">
        <v>0</v>
      </c>
      <c r="J153" s="295">
        <v>0</v>
      </c>
      <c r="K153" s="295">
        <v>0</v>
      </c>
      <c r="L153" s="295">
        <v>0</v>
      </c>
      <c r="M153" s="295">
        <v>0</v>
      </c>
      <c r="N153" s="291"/>
      <c r="O153" s="295">
        <v>3.7005146870929199E-2</v>
      </c>
      <c r="P153" s="295">
        <v>3.7005146870929199E-2</v>
      </c>
      <c r="Q153" s="295">
        <v>3.7005146870929199E-2</v>
      </c>
      <c r="R153" s="295">
        <v>3.5586426750845702E-2</v>
      </c>
      <c r="S153" s="295">
        <v>0</v>
      </c>
      <c r="T153" s="295">
        <v>0</v>
      </c>
      <c r="U153" s="295">
        <v>0</v>
      </c>
      <c r="V153" s="295">
        <v>0</v>
      </c>
      <c r="W153" s="295">
        <v>0</v>
      </c>
      <c r="X153" s="295">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245</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1337.4431037776201</v>
      </c>
      <c r="E156" s="295">
        <v>1337.4431037776201</v>
      </c>
      <c r="F156" s="295">
        <v>1337.4431037776201</v>
      </c>
      <c r="G156" s="295">
        <v>1337.4431037776201</v>
      </c>
      <c r="H156" s="295">
        <v>1337.4431037776201</v>
      </c>
      <c r="I156" s="295">
        <v>1337.4431037776201</v>
      </c>
      <c r="J156" s="295">
        <v>1337.4431037776201</v>
      </c>
      <c r="K156" s="295">
        <v>1337.4431037776201</v>
      </c>
      <c r="L156" s="295">
        <v>1337.4431037776201</v>
      </c>
      <c r="M156" s="295">
        <v>1337.4431037776201</v>
      </c>
      <c r="N156" s="291"/>
      <c r="O156" s="295">
        <v>0.70730334078572998</v>
      </c>
      <c r="P156" s="295">
        <v>0.70730334078572998</v>
      </c>
      <c r="Q156" s="295">
        <v>0.70730334078572998</v>
      </c>
      <c r="R156" s="295">
        <v>0.70730334078572998</v>
      </c>
      <c r="S156" s="295">
        <v>0.70730334078572998</v>
      </c>
      <c r="T156" s="295">
        <v>0.70730334078572998</v>
      </c>
      <c r="U156" s="295">
        <v>0.70730334078572998</v>
      </c>
      <c r="V156" s="295">
        <v>0.70730334078572998</v>
      </c>
      <c r="W156" s="295">
        <v>0.70730334078572998</v>
      </c>
      <c r="X156" s="295">
        <v>0.70730334078572998</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245</v>
      </c>
      <c r="C157" s="291" t="s">
        <v>163</v>
      </c>
      <c r="D157" s="295">
        <v>5.5389758029343703</v>
      </c>
      <c r="E157" s="295">
        <v>5.5389758029343703</v>
      </c>
      <c r="F157" s="295">
        <v>5.5389758029343703</v>
      </c>
      <c r="G157" s="295">
        <v>5.5389758029343703</v>
      </c>
      <c r="H157" s="295">
        <v>5.5389758029343703</v>
      </c>
      <c r="I157" s="295">
        <v>5.5389758029343703</v>
      </c>
      <c r="J157" s="295">
        <v>5.5389758029343703</v>
      </c>
      <c r="K157" s="295">
        <v>5.5389758029343703</v>
      </c>
      <c r="L157" s="295">
        <v>5.5389758029343703</v>
      </c>
      <c r="M157" s="295">
        <v>5.5389758029343703</v>
      </c>
      <c r="N157" s="468"/>
      <c r="O157" s="295">
        <v>2.72435664808909E-3</v>
      </c>
      <c r="P157" s="295">
        <v>2.72435664808909E-3</v>
      </c>
      <c r="Q157" s="295">
        <v>2.72435664808909E-3</v>
      </c>
      <c r="R157" s="295">
        <v>2.72435664808909E-3</v>
      </c>
      <c r="S157" s="295">
        <v>2.72435664808909E-3</v>
      </c>
      <c r="T157" s="295">
        <v>2.72435664808909E-3</v>
      </c>
      <c r="U157" s="295">
        <v>2.72435664808909E-3</v>
      </c>
      <c r="V157" s="295">
        <v>2.72435664808909E-3</v>
      </c>
      <c r="W157" s="295">
        <v>2.72435664808909E-3</v>
      </c>
      <c r="X157" s="295">
        <v>2.72435664808909E-3</v>
      </c>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933.09127312754299</v>
      </c>
      <c r="E159" s="295">
        <v>933.09127312754299</v>
      </c>
      <c r="F159" s="295">
        <v>933.09127312754299</v>
      </c>
      <c r="G159" s="295">
        <v>933.09127312754299</v>
      </c>
      <c r="H159" s="295">
        <v>919.07298624804605</v>
      </c>
      <c r="I159" s="295">
        <v>919.07298624804605</v>
      </c>
      <c r="J159" s="295">
        <v>432.78834491058103</v>
      </c>
      <c r="K159" s="295">
        <v>430.39977291546001</v>
      </c>
      <c r="L159" s="295">
        <v>430.39977291546001</v>
      </c>
      <c r="M159" s="295">
        <v>430.39977291546001</v>
      </c>
      <c r="N159" s="291"/>
      <c r="O159" s="295">
        <v>0.15376803641141701</v>
      </c>
      <c r="P159" s="295">
        <v>0.15376803641141701</v>
      </c>
      <c r="Q159" s="295">
        <v>0.15376803641141701</v>
      </c>
      <c r="R159" s="295">
        <v>0.15376803641141701</v>
      </c>
      <c r="S159" s="295">
        <v>0.15311894837350701</v>
      </c>
      <c r="T159" s="295">
        <v>0.15311894837350701</v>
      </c>
      <c r="U159" s="295">
        <v>0.13060253488981</v>
      </c>
      <c r="V159" s="295">
        <v>0.13032986685383802</v>
      </c>
      <c r="W159" s="295">
        <v>0.13032986685383802</v>
      </c>
      <c r="X159" s="295">
        <v>0.13032986685383802</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245</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17872.774573987397</v>
      </c>
      <c r="E162" s="295">
        <v>17872.774573987397</v>
      </c>
      <c r="F162" s="295">
        <v>17872.774573987397</v>
      </c>
      <c r="G162" s="295">
        <v>17872.774573987397</v>
      </c>
      <c r="H162" s="295">
        <v>16066.4873555672</v>
      </c>
      <c r="I162" s="295">
        <v>13064.349063301999</v>
      </c>
      <c r="J162" s="295">
        <v>8911.2259863929685</v>
      </c>
      <c r="K162" s="295">
        <v>8892.7023668389811</v>
      </c>
      <c r="L162" s="295">
        <v>8892.7023668389811</v>
      </c>
      <c r="M162" s="295">
        <v>4516.8160950230204</v>
      </c>
      <c r="N162" s="291"/>
      <c r="O162" s="295">
        <v>0.98766824509427709</v>
      </c>
      <c r="P162" s="295">
        <v>0.98766824509427709</v>
      </c>
      <c r="Q162" s="295">
        <v>0.98766824509427709</v>
      </c>
      <c r="R162" s="295">
        <v>0.98766824509427709</v>
      </c>
      <c r="S162" s="295">
        <v>0.90403181814810607</v>
      </c>
      <c r="T162" s="295">
        <v>0.765023958599089</v>
      </c>
      <c r="U162" s="295">
        <v>0.57272210799741696</v>
      </c>
      <c r="V162" s="295">
        <v>0.57060753955517896</v>
      </c>
      <c r="W162" s="295">
        <v>0.57060753955517896</v>
      </c>
      <c r="X162" s="295">
        <v>0.36799109585494999</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245</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245</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245</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486</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245</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245</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245</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v>192927.094924987</v>
      </c>
      <c r="E181" s="295">
        <v>192927.094924987</v>
      </c>
      <c r="F181" s="295">
        <v>192927.094924987</v>
      </c>
      <c r="G181" s="295">
        <v>172822.02076800598</v>
      </c>
      <c r="H181" s="295">
        <v>172822.02076800598</v>
      </c>
      <c r="I181" s="295">
        <v>12098.7034308067</v>
      </c>
      <c r="J181" s="295">
        <v>12098.7034308067</v>
      </c>
      <c r="K181" s="295">
        <v>12098.7034308067</v>
      </c>
      <c r="L181" s="295">
        <v>12098.7034308067</v>
      </c>
      <c r="M181" s="295">
        <v>12098.7034308067</v>
      </c>
      <c r="N181" s="295">
        <v>12</v>
      </c>
      <c r="O181" s="295">
        <v>51.479405354470003</v>
      </c>
      <c r="P181" s="295">
        <v>51.479405354470003</v>
      </c>
      <c r="Q181" s="295">
        <v>51.479405354470003</v>
      </c>
      <c r="R181" s="295">
        <v>46.8803162669765</v>
      </c>
      <c r="S181" s="295">
        <v>46.8803162669765</v>
      </c>
      <c r="T181" s="295">
        <v>2.84969362908129</v>
      </c>
      <c r="U181" s="295">
        <v>2.84969362908129</v>
      </c>
      <c r="V181" s="295">
        <v>2.84969362908129</v>
      </c>
      <c r="W181" s="295">
        <v>2.84969362908129</v>
      </c>
      <c r="X181" s="295">
        <v>2.84969362908129</v>
      </c>
      <c r="Y181" s="415"/>
      <c r="Z181" s="744">
        <v>1</v>
      </c>
      <c r="AA181" s="744">
        <v>0</v>
      </c>
      <c r="AB181" s="415"/>
      <c r="AC181" s="415"/>
      <c r="AD181" s="415"/>
      <c r="AE181" s="415"/>
      <c r="AF181" s="415"/>
      <c r="AG181" s="415"/>
      <c r="AH181" s="415"/>
      <c r="AI181" s="415"/>
      <c r="AJ181" s="415"/>
      <c r="AK181" s="415"/>
      <c r="AL181" s="415"/>
      <c r="AM181" s="296">
        <f>SUM(Y181:AL181)</f>
        <v>1</v>
      </c>
    </row>
    <row r="182" spans="1:39" ht="15" outlineLevel="1">
      <c r="B182" s="294" t="s">
        <v>245</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245</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245</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245</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487</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245</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488</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245</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245</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245</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245</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245</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245</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245</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245</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489</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245</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245</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245</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v>73.060576047635791</v>
      </c>
      <c r="E233" s="295">
        <v>73.060576047635791</v>
      </c>
      <c r="F233" s="295">
        <v>73.060576047635791</v>
      </c>
      <c r="G233" s="295">
        <v>73.060576047635791</v>
      </c>
      <c r="H233" s="295">
        <v>73.060576047635791</v>
      </c>
      <c r="I233" s="295">
        <v>73.060576047635791</v>
      </c>
      <c r="J233" s="295">
        <v>73.060576047635791</v>
      </c>
      <c r="K233" s="295">
        <v>73.060576047635791</v>
      </c>
      <c r="L233" s="295">
        <v>73.060576047635791</v>
      </c>
      <c r="M233" s="295">
        <v>73.060576047635791</v>
      </c>
      <c r="N233" s="295">
        <v>12</v>
      </c>
      <c r="O233" s="295">
        <v>7.5410652259419397E-2</v>
      </c>
      <c r="P233" s="295">
        <v>7.5410652259419397E-2</v>
      </c>
      <c r="Q233" s="295">
        <v>7.5410652259419397E-2</v>
      </c>
      <c r="R233" s="295">
        <v>7.5410652259419397E-2</v>
      </c>
      <c r="S233" s="295">
        <v>7.5410652259419397E-2</v>
      </c>
      <c r="T233" s="295">
        <v>7.5410652259419397E-2</v>
      </c>
      <c r="U233" s="295">
        <v>7.5410652259419397E-2</v>
      </c>
      <c r="V233" s="295">
        <v>7.5410652259419397E-2</v>
      </c>
      <c r="W233" s="295">
        <v>7.5410652259419397E-2</v>
      </c>
      <c r="X233" s="295">
        <v>7.5410652259419397E-2</v>
      </c>
      <c r="Y233" s="426"/>
      <c r="Z233" s="741">
        <v>0.9</v>
      </c>
      <c r="AA233" s="741">
        <v>0.1</v>
      </c>
      <c r="AB233" s="415"/>
      <c r="AC233" s="415"/>
      <c r="AD233" s="415"/>
      <c r="AE233" s="415"/>
      <c r="AF233" s="415"/>
      <c r="AG233" s="415"/>
      <c r="AH233" s="415"/>
      <c r="AI233" s="415"/>
      <c r="AJ233" s="415"/>
      <c r="AK233" s="415"/>
      <c r="AL233" s="415"/>
      <c r="AM233" s="296">
        <f>SUM(Y233:AL233)</f>
        <v>1</v>
      </c>
    </row>
    <row r="234" spans="1:39" ht="15" outlineLevel="1">
      <c r="B234" s="294" t="s">
        <v>245</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0.9</v>
      </c>
      <c r="AA234" s="411">
        <f t="shared" ref="AA234:AL234" si="63">AA233</f>
        <v>0.1</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245</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245</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490</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245</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491</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492</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245</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493</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245</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494</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245</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246</v>
      </c>
      <c r="C255" s="329"/>
      <c r="D255" s="329">
        <f>SUM(D150:D253)</f>
        <v>217337.29431878735</v>
      </c>
      <c r="E255" s="329"/>
      <c r="F255" s="329"/>
      <c r="G255" s="329"/>
      <c r="H255" s="329"/>
      <c r="I255" s="329"/>
      <c r="J255" s="329"/>
      <c r="K255" s="329"/>
      <c r="L255" s="329"/>
      <c r="M255" s="329"/>
      <c r="N255" s="329"/>
      <c r="O255" s="329">
        <f>SUM(O150:O253)</f>
        <v>53.991270961724396</v>
      </c>
      <c r="P255" s="329"/>
      <c r="Q255" s="329"/>
      <c r="R255" s="329"/>
      <c r="S255" s="329"/>
      <c r="T255" s="329"/>
      <c r="U255" s="329"/>
      <c r="V255" s="329"/>
      <c r="W255" s="329"/>
      <c r="X255" s="329"/>
      <c r="Y255" s="329">
        <f>IF(Y149="kWh",SUMPRODUCT(D150:D253,Y150:Y253))</f>
        <v>24337.138817752719</v>
      </c>
      <c r="Z255" s="329">
        <f>IF(Z149="kWh",SUMPRODUCT(D150:D253,Z150:Z253))</f>
        <v>192992.84944342988</v>
      </c>
      <c r="AA255" s="329">
        <f>IF(AA149="kW",SUMPRODUCT(N150:N253,O150:O253,AA150:AA253),SUMPRODUCT(D150:D253,AA150:AA253))</f>
        <v>9.0492782711303288E-2</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247</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255</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248</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256</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24337.138817752719</v>
      </c>
      <c r="Z265" s="291">
        <f>SUMPRODUCT(E150:E253,Z150:Z253)</f>
        <v>192992.84944342988</v>
      </c>
      <c r="AA265" s="291">
        <f>IF(AA149="kW",SUMPRODUCT(N150:N253,P150:P253,AA150:AA253),SUMPRODUCT(E150:E253,AA150:AA253))</f>
        <v>9.0492782711303288E-2</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24337.138817752719</v>
      </c>
      <c r="Z266" s="291">
        <f>SUMPRODUCT(F150:F253,Z150:Z253)</f>
        <v>192992.84944342988</v>
      </c>
      <c r="AA266" s="291">
        <f>IF(AA149="kW",SUMPRODUCT(N150:N253,Q150:Q253,AA150:AA253),SUMPRODUCT(F150:F253,AA150:AA253))</f>
        <v>9.0492782711303288E-2</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24335.870121014137</v>
      </c>
      <c r="Z267" s="291">
        <f>SUMPRODUCT(G150:G253,Z150:Z253)</f>
        <v>172887.77528644886</v>
      </c>
      <c r="AA267" s="291">
        <f>IF(AA149="kW",SUMPRODUCT(N150:N253,R150:R253,AA150:AA253),SUMPRODUCT(G150:G253,AA150:AA253))</f>
        <v>9.0492782711303288E-2</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21098.371788407188</v>
      </c>
      <c r="Z268" s="291">
        <f>SUMPRODUCT(H150:H253,Z150:Z253)</f>
        <v>172887.77528644886</v>
      </c>
      <c r="AA268" s="291">
        <f>IF(AA149="kW",SUMPRODUCT(N150:N253,S150:S253,AA150:AA253),SUMPRODUCT(H150:H253,AA150:AA253))</f>
        <v>9.0492782711303288E-2</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15326.4041291306</v>
      </c>
      <c r="Z269" s="291">
        <f>SUMPRODUCT(I150:I253,Z150:Z253)</f>
        <v>12164.457949249572</v>
      </c>
      <c r="AA269" s="291">
        <f>IF(AA149="kW",SUMPRODUCT(N150:N253,T150:T253,AA150:AA253),SUMPRODUCT(I150:I253,AA150:AA253))</f>
        <v>9.0492782711303288E-2</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10686.996410884105</v>
      </c>
      <c r="Z270" s="291">
        <f>SUMPRODUCT(J150:J253,Z150:Z253)</f>
        <v>12164.457949249572</v>
      </c>
      <c r="AA270" s="291">
        <f>IF(AA149="kW",SUMPRODUCT(N150:N253,U150:U253,AA150:AA253),SUMPRODUCT(J150:J253,AA150:AA253))</f>
        <v>9.0492782711303288E-2</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10666.084219334996</v>
      </c>
      <c r="Z271" s="291">
        <f>SUMPRODUCT(K150:K253,Z150:Z253)</f>
        <v>12164.457949249572</v>
      </c>
      <c r="AA271" s="291">
        <f>IF(AA149="kW",SUMPRODUCT(N150:N253,V150:V253,AA150:AA253),SUMPRODUCT(K150:K253,AA150:AA253))</f>
        <v>9.0492782711303288E-2</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10666.084219334996</v>
      </c>
      <c r="Z272" s="326">
        <f>SUMPRODUCT(L150:L253,Z150:Z253)</f>
        <v>12164.457949249572</v>
      </c>
      <c r="AA272" s="326">
        <f>IF(AA149="kW",SUMPRODUCT(N150:N253,W150:W253,AA150:AA253),SUMPRODUCT(L150:L253,AA150:AA253))</f>
        <v>9.0492782711303288E-2</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590</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249</v>
      </c>
      <c r="C275" s="281"/>
      <c r="D275" s="592" t="s">
        <v>529</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00" t="s">
        <v>211</v>
      </c>
      <c r="C276" s="802" t="s">
        <v>33</v>
      </c>
      <c r="D276" s="284" t="s">
        <v>423</v>
      </c>
      <c r="E276" s="804" t="s">
        <v>209</v>
      </c>
      <c r="F276" s="805"/>
      <c r="G276" s="805"/>
      <c r="H276" s="805"/>
      <c r="I276" s="805"/>
      <c r="J276" s="805"/>
      <c r="K276" s="805"/>
      <c r="L276" s="805"/>
      <c r="M276" s="806"/>
      <c r="N276" s="807" t="s">
        <v>213</v>
      </c>
      <c r="O276" s="284" t="s">
        <v>424</v>
      </c>
      <c r="P276" s="804" t="s">
        <v>212</v>
      </c>
      <c r="Q276" s="805"/>
      <c r="R276" s="805"/>
      <c r="S276" s="805"/>
      <c r="T276" s="805"/>
      <c r="U276" s="805"/>
      <c r="V276" s="805"/>
      <c r="W276" s="805"/>
      <c r="X276" s="806"/>
      <c r="Y276" s="797" t="s">
        <v>244</v>
      </c>
      <c r="Z276" s="798"/>
      <c r="AA276" s="798"/>
      <c r="AB276" s="798"/>
      <c r="AC276" s="798"/>
      <c r="AD276" s="798"/>
      <c r="AE276" s="798"/>
      <c r="AF276" s="798"/>
      <c r="AG276" s="798"/>
      <c r="AH276" s="798"/>
      <c r="AI276" s="798"/>
      <c r="AJ276" s="798"/>
      <c r="AK276" s="798"/>
      <c r="AL276" s="798"/>
      <c r="AM276" s="799"/>
    </row>
    <row r="277" spans="1:39" ht="60.75" customHeight="1">
      <c r="B277" s="801"/>
      <c r="C277" s="803"/>
      <c r="D277" s="285">
        <v>2013</v>
      </c>
      <c r="E277" s="285">
        <v>2014</v>
      </c>
      <c r="F277" s="285">
        <v>2015</v>
      </c>
      <c r="G277" s="285">
        <v>2016</v>
      </c>
      <c r="H277" s="285">
        <v>2017</v>
      </c>
      <c r="I277" s="285">
        <v>2018</v>
      </c>
      <c r="J277" s="285">
        <v>2019</v>
      </c>
      <c r="K277" s="285">
        <v>2020</v>
      </c>
      <c r="L277" s="285">
        <v>2021</v>
      </c>
      <c r="M277" s="285">
        <v>2022</v>
      </c>
      <c r="N277" s="808"/>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50-1499 KW</v>
      </c>
      <c r="AB277" s="285" t="str">
        <f>'1.  LRAMVA Summary'!G52</f>
        <v>Intermediate</v>
      </c>
      <c r="AC277" s="285" t="str">
        <f>'1.  LRAMVA Summary'!H52</f>
        <v>Sentinel</v>
      </c>
      <c r="AD277" s="285" t="str">
        <f>'1.  LRAMVA Summary'!I52</f>
        <v xml:space="preserve">Street Lighting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v>417.00047437415799</v>
      </c>
      <c r="E279" s="295">
        <v>417.00047437415799</v>
      </c>
      <c r="F279" s="295">
        <v>417.00047437415799</v>
      </c>
      <c r="G279" s="295">
        <v>417.00047437415799</v>
      </c>
      <c r="H279" s="295">
        <v>415.12382490781505</v>
      </c>
      <c r="I279" s="295">
        <v>0</v>
      </c>
      <c r="J279" s="295">
        <v>0</v>
      </c>
      <c r="K279" s="295">
        <v>0</v>
      </c>
      <c r="L279" s="295">
        <v>0</v>
      </c>
      <c r="M279" s="295">
        <v>0</v>
      </c>
      <c r="N279" s="291"/>
      <c r="O279" s="295">
        <v>6.1269435608974597E-2</v>
      </c>
      <c r="P279" s="295">
        <v>6.1269435608974597E-2</v>
      </c>
      <c r="Q279" s="295">
        <v>6.1269435608974597E-2</v>
      </c>
      <c r="R279" s="295">
        <v>6.1269435608974597E-2</v>
      </c>
      <c r="S279" s="295">
        <v>6.1010250235556999E-2</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250</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369.43987800000002</v>
      </c>
      <c r="E282" s="295">
        <v>369.43987800000002</v>
      </c>
      <c r="F282" s="295">
        <v>369.43987800000002</v>
      </c>
      <c r="G282" s="295">
        <v>369.43987800000002</v>
      </c>
      <c r="H282" s="295">
        <v>0</v>
      </c>
      <c r="I282" s="295">
        <v>0</v>
      </c>
      <c r="J282" s="295">
        <v>0</v>
      </c>
      <c r="K282" s="295">
        <v>0</v>
      </c>
      <c r="L282" s="295">
        <v>0</v>
      </c>
      <c r="M282" s="295">
        <v>0</v>
      </c>
      <c r="N282" s="291"/>
      <c r="O282" s="295">
        <v>0.20719409899999999</v>
      </c>
      <c r="P282" s="295">
        <v>0.20719409899999999</v>
      </c>
      <c r="Q282" s="295">
        <v>0.20719409899999999</v>
      </c>
      <c r="R282" s="295">
        <v>0.20719409899999999</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250</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6712.8382268839996</v>
      </c>
      <c r="E285" s="295">
        <v>6712.8382268839996</v>
      </c>
      <c r="F285" s="295">
        <v>6712.8382268839996</v>
      </c>
      <c r="G285" s="295">
        <v>6712.8382268839996</v>
      </c>
      <c r="H285" s="295">
        <v>6712.8382268839996</v>
      </c>
      <c r="I285" s="295">
        <v>6712.8382268839996</v>
      </c>
      <c r="J285" s="295">
        <v>6712.8382268839996</v>
      </c>
      <c r="K285" s="295">
        <v>6712.8382268839996</v>
      </c>
      <c r="L285" s="295">
        <v>6712.8382268839996</v>
      </c>
      <c r="M285" s="295">
        <v>6712.8382268839996</v>
      </c>
      <c r="N285" s="291"/>
      <c r="O285" s="295">
        <v>3.5027853220000003</v>
      </c>
      <c r="P285" s="295">
        <v>3.5027853220000003</v>
      </c>
      <c r="Q285" s="295">
        <v>3.5027853220000003</v>
      </c>
      <c r="R285" s="295">
        <v>3.5027853220000003</v>
      </c>
      <c r="S285" s="295">
        <v>3.5027853220000003</v>
      </c>
      <c r="T285" s="295">
        <v>3.5027853220000003</v>
      </c>
      <c r="U285" s="295">
        <v>3.5027853220000003</v>
      </c>
      <c r="V285" s="295">
        <v>3.5027853220000003</v>
      </c>
      <c r="W285" s="295">
        <v>3.5027853220000003</v>
      </c>
      <c r="X285" s="295">
        <v>3.5027853220000003</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250</v>
      </c>
      <c r="C286" s="291" t="s">
        <v>163</v>
      </c>
      <c r="D286" s="295">
        <v>1021.104644</v>
      </c>
      <c r="E286" s="295">
        <v>1021.104644</v>
      </c>
      <c r="F286" s="295">
        <v>1021.104644</v>
      </c>
      <c r="G286" s="295">
        <v>1021.104644</v>
      </c>
      <c r="H286" s="295">
        <v>1021.104644</v>
      </c>
      <c r="I286" s="295">
        <v>1021.104644</v>
      </c>
      <c r="J286" s="295">
        <v>1021.104644</v>
      </c>
      <c r="K286" s="295">
        <v>1021.104644</v>
      </c>
      <c r="L286" s="295">
        <v>1021.104644</v>
      </c>
      <c r="M286" s="295">
        <v>1021.104644</v>
      </c>
      <c r="N286" s="468"/>
      <c r="O286" s="295">
        <v>0.52587395599999998</v>
      </c>
      <c r="P286" s="295">
        <v>0.52587395599999998</v>
      </c>
      <c r="Q286" s="295">
        <v>0.52587395599999998</v>
      </c>
      <c r="R286" s="295">
        <v>0.52587395599999998</v>
      </c>
      <c r="S286" s="295">
        <v>0.52587395599999998</v>
      </c>
      <c r="T286" s="295">
        <v>0.52587395599999998</v>
      </c>
      <c r="U286" s="295">
        <v>0.52587395599999998</v>
      </c>
      <c r="V286" s="295">
        <v>0.52587395599999998</v>
      </c>
      <c r="W286" s="295">
        <v>0.52587395599999998</v>
      </c>
      <c r="X286" s="295">
        <v>0.52587395599999998</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v>5143.6557808480002</v>
      </c>
      <c r="E288" s="295">
        <v>5143.6557808480002</v>
      </c>
      <c r="F288" s="295">
        <v>4945.4404911379997</v>
      </c>
      <c r="G288" s="295">
        <v>4189.8086420609998</v>
      </c>
      <c r="H288" s="295">
        <v>4189.8086420609998</v>
      </c>
      <c r="I288" s="295">
        <v>4189.8086420609998</v>
      </c>
      <c r="J288" s="295">
        <v>4189.8086420609998</v>
      </c>
      <c r="K288" s="295">
        <v>4186.3168763020003</v>
      </c>
      <c r="L288" s="295">
        <v>3044.1560136799999</v>
      </c>
      <c r="M288" s="295">
        <v>3044.1560136799999</v>
      </c>
      <c r="N288" s="291"/>
      <c r="O288" s="295">
        <v>0.34474402400000004</v>
      </c>
      <c r="P288" s="295">
        <v>0.34474402400000004</v>
      </c>
      <c r="Q288" s="295">
        <v>0.33230060300000003</v>
      </c>
      <c r="R288" s="295">
        <v>0.28486407699999999</v>
      </c>
      <c r="S288" s="295">
        <v>0.28486407699999999</v>
      </c>
      <c r="T288" s="295">
        <v>0.28486407699999999</v>
      </c>
      <c r="U288" s="295">
        <v>0.28486407699999999</v>
      </c>
      <c r="V288" s="295">
        <v>0.28446547299999997</v>
      </c>
      <c r="W288" s="295">
        <v>0.212763699</v>
      </c>
      <c r="X288" s="295">
        <v>0.212763699</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250</v>
      </c>
      <c r="C289" s="291" t="s">
        <v>163</v>
      </c>
      <c r="D289" s="295">
        <v>16</v>
      </c>
      <c r="E289" s="295">
        <v>15</v>
      </c>
      <c r="F289" s="295">
        <v>13</v>
      </c>
      <c r="G289" s="295">
        <v>13</v>
      </c>
      <c r="H289" s="295">
        <v>13</v>
      </c>
      <c r="I289" s="295">
        <v>13</v>
      </c>
      <c r="J289" s="295">
        <v>13</v>
      </c>
      <c r="K289" s="295">
        <v>11</v>
      </c>
      <c r="L289" s="295">
        <v>11</v>
      </c>
      <c r="M289" s="295">
        <v>10</v>
      </c>
      <c r="N289" s="468"/>
      <c r="O289" s="295">
        <v>1E-3</v>
      </c>
      <c r="P289" s="295">
        <v>1E-3</v>
      </c>
      <c r="Q289" s="295">
        <v>1E-3</v>
      </c>
      <c r="R289" s="295">
        <v>1E-3</v>
      </c>
      <c r="S289" s="295">
        <v>1E-3</v>
      </c>
      <c r="T289" s="295">
        <v>1E-3</v>
      </c>
      <c r="U289" s="295">
        <v>1E-3</v>
      </c>
      <c r="V289" s="295">
        <v>1E-3</v>
      </c>
      <c r="W289" s="295">
        <v>1E-3</v>
      </c>
      <c r="X289" s="295">
        <v>1E-3</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11464.982408707001</v>
      </c>
      <c r="E291" s="295">
        <v>11464.982408707001</v>
      </c>
      <c r="F291" s="295">
        <v>10774.189613210001</v>
      </c>
      <c r="G291" s="295">
        <v>8416.6891465560002</v>
      </c>
      <c r="H291" s="295">
        <v>8416.6891465560002</v>
      </c>
      <c r="I291" s="295">
        <v>8416.6891465560002</v>
      </c>
      <c r="J291" s="295">
        <v>8416.6891465560002</v>
      </c>
      <c r="K291" s="295">
        <v>8406.770507588999</v>
      </c>
      <c r="L291" s="295">
        <v>7069.6055706890002</v>
      </c>
      <c r="M291" s="295">
        <v>7069.6055706890002</v>
      </c>
      <c r="N291" s="291"/>
      <c r="O291" s="295">
        <v>0.78991761699999996</v>
      </c>
      <c r="P291" s="295">
        <v>0.78991761699999996</v>
      </c>
      <c r="Q291" s="295">
        <v>0.74655151100000006</v>
      </c>
      <c r="R291" s="295">
        <v>0.59855399899999995</v>
      </c>
      <c r="S291" s="295">
        <v>0.59855399899999995</v>
      </c>
      <c r="T291" s="295">
        <v>0.59855399899999995</v>
      </c>
      <c r="U291" s="295">
        <v>0.59855399899999995</v>
      </c>
      <c r="V291" s="295">
        <v>0.59742173399999998</v>
      </c>
      <c r="W291" s="295">
        <v>0.51347813099999995</v>
      </c>
      <c r="X291" s="295">
        <v>0.51347813099999995</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250</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250</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250</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486</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250</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250</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v>19654.780752907998</v>
      </c>
      <c r="E307" s="295">
        <v>19654.780752907998</v>
      </c>
      <c r="F307" s="295">
        <v>19654.780752907998</v>
      </c>
      <c r="G307" s="295">
        <v>19654.780752907998</v>
      </c>
      <c r="H307" s="295">
        <v>7604.3885970199999</v>
      </c>
      <c r="I307" s="295">
        <v>7483.5600620579999</v>
      </c>
      <c r="J307" s="295">
        <v>7483.5600620579999</v>
      </c>
      <c r="K307" s="295">
        <v>7347.8618046819993</v>
      </c>
      <c r="L307" s="295">
        <v>7272.8440262040003</v>
      </c>
      <c r="M307" s="295">
        <v>6392.0335135300002</v>
      </c>
      <c r="N307" s="295"/>
      <c r="O307" s="295">
        <v>4.4456092619999996</v>
      </c>
      <c r="P307" s="295">
        <v>4.4456092619999996</v>
      </c>
      <c r="Q307" s="295">
        <v>4.4456092619999996</v>
      </c>
      <c r="R307" s="295">
        <v>4.4456092619999996</v>
      </c>
      <c r="S307" s="295">
        <v>0.59902571400000004</v>
      </c>
      <c r="T307" s="295">
        <v>0.57756809399999998</v>
      </c>
      <c r="U307" s="295">
        <v>0.57756809399999998</v>
      </c>
      <c r="V307" s="295">
        <v>0.57756649800000004</v>
      </c>
      <c r="W307" s="295">
        <v>0.57756561500000003</v>
      </c>
      <c r="X307" s="295">
        <v>0.42114480900000001</v>
      </c>
      <c r="Y307" s="415"/>
      <c r="Z307" s="744">
        <v>0.85</v>
      </c>
      <c r="AA307" s="744">
        <v>0.15</v>
      </c>
      <c r="AB307" s="503"/>
      <c r="AC307" s="415"/>
      <c r="AD307" s="415"/>
      <c r="AE307" s="415"/>
      <c r="AF307" s="415"/>
      <c r="AG307" s="415"/>
      <c r="AH307" s="415"/>
      <c r="AI307" s="415"/>
      <c r="AJ307" s="415"/>
      <c r="AK307" s="415"/>
      <c r="AL307" s="415"/>
      <c r="AM307" s="296"/>
    </row>
    <row r="308" spans="1:39" ht="15" outlineLevel="1">
      <c r="B308" s="294" t="s">
        <v>250</v>
      </c>
      <c r="C308" s="291" t="s">
        <v>163</v>
      </c>
      <c r="D308" s="295"/>
      <c r="E308" s="295"/>
      <c r="F308" s="295"/>
      <c r="G308" s="295"/>
      <c r="H308" s="295"/>
      <c r="I308" s="295"/>
      <c r="J308" s="295"/>
      <c r="K308" s="295"/>
      <c r="L308" s="295"/>
      <c r="M308" s="295"/>
      <c r="N308" s="295">
        <f>N307</f>
        <v>0</v>
      </c>
      <c r="O308" s="295"/>
      <c r="P308" s="295"/>
      <c r="Q308" s="295"/>
      <c r="R308" s="295"/>
      <c r="S308" s="295"/>
      <c r="T308" s="295"/>
      <c r="U308" s="295"/>
      <c r="V308" s="295"/>
      <c r="W308" s="295"/>
      <c r="X308" s="295"/>
      <c r="Y308" s="411">
        <f>Y307</f>
        <v>0</v>
      </c>
      <c r="Z308" s="411">
        <f>Z307</f>
        <v>0.85</v>
      </c>
      <c r="AA308" s="411">
        <f t="shared" ref="AA308:AL308" si="86">AA307</f>
        <v>0.15</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v>243304.71341113999</v>
      </c>
      <c r="E310" s="295">
        <v>243304.71341113999</v>
      </c>
      <c r="F310" s="295">
        <v>240568.27525392699</v>
      </c>
      <c r="G310" s="295">
        <v>240431.36945639399</v>
      </c>
      <c r="H310" s="295">
        <v>43039.230879404997</v>
      </c>
      <c r="I310" s="295">
        <v>40967.240260426996</v>
      </c>
      <c r="J310" s="295">
        <v>40967.240260426996</v>
      </c>
      <c r="K310" s="295">
        <v>40967.240260426996</v>
      </c>
      <c r="L310" s="295">
        <v>40967.240260426996</v>
      </c>
      <c r="M310" s="295">
        <v>40967.240260426996</v>
      </c>
      <c r="N310" s="295">
        <v>12</v>
      </c>
      <c r="O310" s="295">
        <v>73.729947420000002</v>
      </c>
      <c r="P310" s="295">
        <v>73.729947420000002</v>
      </c>
      <c r="Q310" s="295">
        <v>73.019825331999996</v>
      </c>
      <c r="R310" s="295">
        <v>72.984297456999997</v>
      </c>
      <c r="S310" s="295">
        <v>12.697047512999999</v>
      </c>
      <c r="T310" s="295">
        <v>12.081997014000001</v>
      </c>
      <c r="U310" s="295">
        <v>12.081997014000001</v>
      </c>
      <c r="V310" s="295">
        <v>12.081997014000001</v>
      </c>
      <c r="W310" s="295">
        <v>12.081997014000001</v>
      </c>
      <c r="X310" s="295">
        <v>12.081997014000001</v>
      </c>
      <c r="Y310" s="415"/>
      <c r="Z310" s="744">
        <v>1</v>
      </c>
      <c r="AA310" s="744">
        <v>0</v>
      </c>
      <c r="AB310" s="415"/>
      <c r="AC310" s="415"/>
      <c r="AD310" s="415"/>
      <c r="AE310" s="415"/>
      <c r="AF310" s="415"/>
      <c r="AG310" s="415"/>
      <c r="AH310" s="415"/>
      <c r="AI310" s="415"/>
      <c r="AJ310" s="415"/>
      <c r="AK310" s="415"/>
      <c r="AL310" s="415"/>
      <c r="AM310" s="296">
        <f>SUM(Y310:AL310)</f>
        <v>1</v>
      </c>
    </row>
    <row r="311" spans="1:39" ht="15" outlineLevel="1">
      <c r="B311" s="294" t="s">
        <v>250</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250</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250</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250</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487</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250</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488</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250</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250</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250</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250</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250</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250</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250</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v>75888.188835143999</v>
      </c>
      <c r="E348" s="295">
        <v>66827.322410584005</v>
      </c>
      <c r="F348" s="295">
        <v>66003.607688903998</v>
      </c>
      <c r="G348" s="295">
        <v>59413.886222838999</v>
      </c>
      <c r="H348" s="295">
        <v>59413.886222838999</v>
      </c>
      <c r="I348" s="295">
        <v>59413.886222838999</v>
      </c>
      <c r="J348" s="295">
        <v>59413.886222838999</v>
      </c>
      <c r="K348" s="295">
        <v>59413.886222838999</v>
      </c>
      <c r="L348" s="295">
        <v>32348.960533141999</v>
      </c>
      <c r="M348" s="295">
        <v>32348.960533141999</v>
      </c>
      <c r="N348" s="291"/>
      <c r="O348" s="295">
        <v>3.0704270839999999</v>
      </c>
      <c r="P348" s="295">
        <v>2.5997487320000001</v>
      </c>
      <c r="Q348" s="295">
        <v>2.556959741</v>
      </c>
      <c r="R348" s="295">
        <v>2.2146482190000003</v>
      </c>
      <c r="S348" s="295">
        <v>2.2146482190000003</v>
      </c>
      <c r="T348" s="295">
        <v>2.2146482190000003</v>
      </c>
      <c r="U348" s="295">
        <v>2.2146482190000003</v>
      </c>
      <c r="V348" s="295">
        <v>2.2146482190000003</v>
      </c>
      <c r="W348" s="295">
        <v>0.80872585799999996</v>
      </c>
      <c r="X348" s="295">
        <v>0.80872585799999996</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250</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489</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250</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250</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250</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250</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250</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250</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490</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250</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491</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492</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250</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493</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250</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494</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250</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251</v>
      </c>
      <c r="C384" s="329"/>
      <c r="D384" s="329">
        <f>SUM(D279:D382)</f>
        <v>363992.70441200514</v>
      </c>
      <c r="E384" s="329"/>
      <c r="F384" s="329"/>
      <c r="G384" s="329"/>
      <c r="H384" s="329"/>
      <c r="I384" s="329"/>
      <c r="J384" s="329"/>
      <c r="K384" s="329"/>
      <c r="L384" s="329"/>
      <c r="M384" s="329"/>
      <c r="N384" s="329"/>
      <c r="O384" s="329">
        <f>SUM(O279:O382)</f>
        <v>86.678768219608983</v>
      </c>
      <c r="P384" s="329"/>
      <c r="Q384" s="329"/>
      <c r="R384" s="329"/>
      <c r="S384" s="329"/>
      <c r="T384" s="329"/>
      <c r="U384" s="329"/>
      <c r="V384" s="329"/>
      <c r="W384" s="329"/>
      <c r="X384" s="329"/>
      <c r="Y384" s="329">
        <f>IF(Y278="kWh",SUMPRODUCT(D279:D382,Y279:Y382))</f>
        <v>101033.21024795716</v>
      </c>
      <c r="Z384" s="329">
        <f>IF(Z278="kWh",SUMPRODUCT(D279:D382,Z279:Z382))</f>
        <v>260011.2770511118</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252</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258</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265</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91971.343823397168</v>
      </c>
      <c r="Z395" s="291">
        <f>SUMPRODUCT(E279:E382,Z279:Z382)</f>
        <v>260011.2770511118</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90256.621016510151</v>
      </c>
      <c r="Z396" s="291">
        <f>SUMPRODUCT(F279:F382,Z279:Z382)</f>
        <v>257274.83889389879</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80553.767234714149</v>
      </c>
      <c r="Z397" s="291">
        <f>SUMPRODUCT(G279:G382,Z279:Z382)</f>
        <v>257137.9330963658</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80182.450707247815</v>
      </c>
      <c r="Z398" s="291">
        <f>SUMPRODUCT(H279:H382,Z279:Z382)</f>
        <v>49502.961186871995</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79767.326882339999</v>
      </c>
      <c r="Z399" s="291">
        <f>SUMPRODUCT(I279:I382,Z279:Z382)</f>
        <v>47328.266313176297</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79767.326882339999</v>
      </c>
      <c r="Z400" s="291">
        <f>SUMPRODUCT(J279:J382,Z279:Z382)</f>
        <v>47328.266313176297</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79751.916477613995</v>
      </c>
      <c r="Z401" s="326">
        <f>SUMPRODUCT(K279:K382,Z279:Z382)</f>
        <v>47212.922794406695</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590</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259</v>
      </c>
      <c r="C404" s="281"/>
      <c r="D404" s="590" t="s">
        <v>524</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00" t="s">
        <v>211</v>
      </c>
      <c r="C405" s="802" t="s">
        <v>33</v>
      </c>
      <c r="D405" s="284" t="s">
        <v>423</v>
      </c>
      <c r="E405" s="804" t="s">
        <v>209</v>
      </c>
      <c r="F405" s="805"/>
      <c r="G405" s="805"/>
      <c r="H405" s="805"/>
      <c r="I405" s="805"/>
      <c r="J405" s="805"/>
      <c r="K405" s="805"/>
      <c r="L405" s="805"/>
      <c r="M405" s="806"/>
      <c r="N405" s="807" t="s">
        <v>213</v>
      </c>
      <c r="O405" s="284" t="s">
        <v>424</v>
      </c>
      <c r="P405" s="804" t="s">
        <v>212</v>
      </c>
      <c r="Q405" s="805"/>
      <c r="R405" s="805"/>
      <c r="S405" s="805"/>
      <c r="T405" s="805"/>
      <c r="U405" s="805"/>
      <c r="V405" s="805"/>
      <c r="W405" s="805"/>
      <c r="X405" s="806"/>
      <c r="Y405" s="797" t="s">
        <v>244</v>
      </c>
      <c r="Z405" s="798"/>
      <c r="AA405" s="798"/>
      <c r="AB405" s="798"/>
      <c r="AC405" s="798"/>
      <c r="AD405" s="798"/>
      <c r="AE405" s="798"/>
      <c r="AF405" s="798"/>
      <c r="AG405" s="798"/>
      <c r="AH405" s="798"/>
      <c r="AI405" s="798"/>
      <c r="AJ405" s="798"/>
      <c r="AK405" s="798"/>
      <c r="AL405" s="798"/>
      <c r="AM405" s="799"/>
    </row>
    <row r="406" spans="1:40" ht="45.75" customHeight="1">
      <c r="B406" s="801"/>
      <c r="C406" s="803"/>
      <c r="D406" s="285">
        <v>2014</v>
      </c>
      <c r="E406" s="285">
        <v>2015</v>
      </c>
      <c r="F406" s="285">
        <v>2016</v>
      </c>
      <c r="G406" s="285">
        <v>2017</v>
      </c>
      <c r="H406" s="285">
        <v>2018</v>
      </c>
      <c r="I406" s="285">
        <v>2019</v>
      </c>
      <c r="J406" s="285">
        <v>2020</v>
      </c>
      <c r="K406" s="285">
        <v>2021</v>
      </c>
      <c r="L406" s="285">
        <v>2022</v>
      </c>
      <c r="M406" s="285">
        <v>2023</v>
      </c>
      <c r="N406" s="808"/>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50-1499 KW</v>
      </c>
      <c r="AB406" s="285" t="str">
        <f>'1.  LRAMVA Summary'!G52</f>
        <v>Intermediate</v>
      </c>
      <c r="AC406" s="285" t="str">
        <f>'1.  LRAMVA Summary'!H52</f>
        <v>Sentinel</v>
      </c>
      <c r="AD406" s="285" t="str">
        <f>'1.  LRAMVA Summary'!I52</f>
        <v xml:space="preserve">Street Lighting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2333.12308024924</v>
      </c>
      <c r="E408" s="295">
        <v>2333.12308024924</v>
      </c>
      <c r="F408" s="295">
        <v>2333.12308024924</v>
      </c>
      <c r="G408" s="295">
        <v>2333.12308024924</v>
      </c>
      <c r="H408" s="295">
        <v>819.13471320210704</v>
      </c>
      <c r="I408" s="295">
        <v>0</v>
      </c>
      <c r="J408" s="295">
        <v>0</v>
      </c>
      <c r="K408" s="295">
        <v>0</v>
      </c>
      <c r="L408" s="295">
        <v>0</v>
      </c>
      <c r="M408" s="295">
        <v>0</v>
      </c>
      <c r="N408" s="291"/>
      <c r="O408" s="295">
        <v>0.32948143334397995</v>
      </c>
      <c r="P408" s="295">
        <v>0.32948143334397995</v>
      </c>
      <c r="Q408" s="295">
        <v>0.32948143334397995</v>
      </c>
      <c r="R408" s="295">
        <v>0.32948143334397995</v>
      </c>
      <c r="S408" s="295">
        <v>0.1203834391011</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260</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738.87975589999996</v>
      </c>
      <c r="E411" s="295">
        <v>738.87975589999996</v>
      </c>
      <c r="F411" s="295">
        <v>738.87975589999996</v>
      </c>
      <c r="G411" s="295">
        <v>738.87975589999996</v>
      </c>
      <c r="H411" s="295">
        <v>0</v>
      </c>
      <c r="I411" s="295">
        <v>0</v>
      </c>
      <c r="J411" s="295">
        <v>0</v>
      </c>
      <c r="K411" s="295">
        <v>0</v>
      </c>
      <c r="L411" s="295">
        <v>0</v>
      </c>
      <c r="M411" s="295">
        <v>0</v>
      </c>
      <c r="N411" s="291"/>
      <c r="O411" s="295">
        <v>0.41438819799999999</v>
      </c>
      <c r="P411" s="295">
        <v>0.41438819799999999</v>
      </c>
      <c r="Q411" s="295">
        <v>0.41438819799999999</v>
      </c>
      <c r="R411" s="295">
        <v>0.41438819799999999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260</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8722.3745350000008</v>
      </c>
      <c r="E414" s="295">
        <v>8722.3745350000008</v>
      </c>
      <c r="F414" s="295">
        <v>8722.3745350000008</v>
      </c>
      <c r="G414" s="295">
        <v>8722.3745350000008</v>
      </c>
      <c r="H414" s="295">
        <v>8722.3745350000008</v>
      </c>
      <c r="I414" s="295">
        <v>8722.3745350000008</v>
      </c>
      <c r="J414" s="295">
        <v>8722.3745350000008</v>
      </c>
      <c r="K414" s="295">
        <v>8722.3745350000008</v>
      </c>
      <c r="L414" s="295">
        <v>8722.3745350000008</v>
      </c>
      <c r="M414" s="295">
        <v>8722.3745350000008</v>
      </c>
      <c r="N414" s="291"/>
      <c r="O414" s="295">
        <v>4.46148671</v>
      </c>
      <c r="P414" s="295">
        <v>4.46148671</v>
      </c>
      <c r="Q414" s="295">
        <v>4.46148671</v>
      </c>
      <c r="R414" s="295">
        <v>4.46148671</v>
      </c>
      <c r="S414" s="295">
        <v>4.46148671</v>
      </c>
      <c r="T414" s="295">
        <v>4.46148671</v>
      </c>
      <c r="U414" s="295">
        <v>4.46148671</v>
      </c>
      <c r="V414" s="295">
        <v>4.46148671</v>
      </c>
      <c r="W414" s="295">
        <v>4.46148671</v>
      </c>
      <c r="X414" s="295">
        <v>4.46148671</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260</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18790.627079999998</v>
      </c>
      <c r="E417" s="295">
        <v>17497.0965</v>
      </c>
      <c r="F417" s="295">
        <v>16872.353350000001</v>
      </c>
      <c r="G417" s="295">
        <v>16872.353350000001</v>
      </c>
      <c r="H417" s="295">
        <v>16872.353350000001</v>
      </c>
      <c r="I417" s="295">
        <v>16872.353350000001</v>
      </c>
      <c r="J417" s="295">
        <v>16872.353350000001</v>
      </c>
      <c r="K417" s="295">
        <v>16839.552960000001</v>
      </c>
      <c r="L417" s="295">
        <v>16839.552960000001</v>
      </c>
      <c r="M417" s="295">
        <v>14408.070740000001</v>
      </c>
      <c r="N417" s="291"/>
      <c r="O417" s="295">
        <v>1.405826585</v>
      </c>
      <c r="P417" s="295">
        <v>1.324622229</v>
      </c>
      <c r="Q417" s="295">
        <v>1.2854025409999998</v>
      </c>
      <c r="R417" s="295">
        <v>1.2854025409999998</v>
      </c>
      <c r="S417" s="295">
        <v>1.2854025409999998</v>
      </c>
      <c r="T417" s="295">
        <v>1.2854025409999998</v>
      </c>
      <c r="U417" s="295">
        <v>1.2854025409999998</v>
      </c>
      <c r="V417" s="295">
        <v>1.2816582050000001</v>
      </c>
      <c r="W417" s="295">
        <v>1.2816582050000001</v>
      </c>
      <c r="X417" s="295">
        <v>1.1290163179999999</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260</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82019.274170000004</v>
      </c>
      <c r="E420" s="295">
        <v>71150.853940000001</v>
      </c>
      <c r="F420" s="295">
        <v>65486.83511</v>
      </c>
      <c r="G420" s="295">
        <v>65486.83511</v>
      </c>
      <c r="H420" s="295">
        <v>65486.83511</v>
      </c>
      <c r="I420" s="295">
        <v>65486.83511</v>
      </c>
      <c r="J420" s="295">
        <v>65486.83511</v>
      </c>
      <c r="K420" s="295">
        <v>65458.467200000006</v>
      </c>
      <c r="L420" s="295">
        <v>65458.467200000006</v>
      </c>
      <c r="M420" s="295">
        <v>60880.011149999998</v>
      </c>
      <c r="N420" s="291"/>
      <c r="O420" s="295">
        <v>5.3677755789999999</v>
      </c>
      <c r="P420" s="295">
        <v>4.6854855120000005</v>
      </c>
      <c r="Q420" s="295">
        <v>4.3299137080000003</v>
      </c>
      <c r="R420" s="295">
        <v>4.3299137080000003</v>
      </c>
      <c r="S420" s="295">
        <v>4.3299137080000003</v>
      </c>
      <c r="T420" s="295">
        <v>4.3299137080000003</v>
      </c>
      <c r="U420" s="295">
        <v>4.3299137080000003</v>
      </c>
      <c r="V420" s="295">
        <v>4.3266753630000006</v>
      </c>
      <c r="W420" s="295">
        <v>4.3266753630000006</v>
      </c>
      <c r="X420" s="295">
        <v>4.0392522580000003</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260</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260</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260</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486</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260</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260</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v>379869.64970000001</v>
      </c>
      <c r="E436" s="295">
        <v>379869.64970000001</v>
      </c>
      <c r="F436" s="295">
        <v>379869.64970000001</v>
      </c>
      <c r="G436" s="295">
        <v>351078.51030000002</v>
      </c>
      <c r="H436" s="295">
        <v>351078.51030000002</v>
      </c>
      <c r="I436" s="295">
        <v>351078.51030000002</v>
      </c>
      <c r="J436" s="295">
        <v>344336.97389999998</v>
      </c>
      <c r="K436" s="295">
        <v>344336.97389999998</v>
      </c>
      <c r="L436" s="295">
        <v>344336.97389999998</v>
      </c>
      <c r="M436" s="295">
        <v>315776.55160000001</v>
      </c>
      <c r="N436" s="295">
        <v>12</v>
      </c>
      <c r="O436" s="295">
        <v>54.821751219999996</v>
      </c>
      <c r="P436" s="295">
        <v>54.821751219999996</v>
      </c>
      <c r="Q436" s="295">
        <v>54.821751219999996</v>
      </c>
      <c r="R436" s="295">
        <v>46.556720589999998</v>
      </c>
      <c r="S436" s="295">
        <v>46.556720589999998</v>
      </c>
      <c r="T436" s="295">
        <v>46.556720589999998</v>
      </c>
      <c r="U436" s="295">
        <v>45.747790280000004</v>
      </c>
      <c r="V436" s="295">
        <v>45.747790280000004</v>
      </c>
      <c r="W436" s="295">
        <v>45.747790280000004</v>
      </c>
      <c r="X436" s="295">
        <v>42.320768659999999</v>
      </c>
      <c r="Y436" s="415"/>
      <c r="Z436" s="744">
        <v>7.0000000000000007E-2</v>
      </c>
      <c r="AA436" s="744">
        <v>0.57999999999999996</v>
      </c>
      <c r="AB436" s="744">
        <v>0.35</v>
      </c>
      <c r="AC436" s="415"/>
      <c r="AD436" s="415"/>
      <c r="AE436" s="415"/>
      <c r="AF436" s="415"/>
      <c r="AG436" s="415"/>
      <c r="AH436" s="415"/>
      <c r="AI436" s="415"/>
      <c r="AJ436" s="415"/>
      <c r="AK436" s="415"/>
      <c r="AL436" s="415"/>
      <c r="AM436" s="296">
        <f>SUM(Y436:AL436)</f>
        <v>0.99999999999999989</v>
      </c>
    </row>
    <row r="437" spans="1:39" ht="15" outlineLevel="1">
      <c r="B437" s="294" t="s">
        <v>260</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7.0000000000000007E-2</v>
      </c>
      <c r="AA437" s="411">
        <f t="shared" ref="AA437:AL437" si="127">AA436</f>
        <v>0.57999999999999996</v>
      </c>
      <c r="AB437" s="411">
        <f t="shared" si="127"/>
        <v>0.35</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745" t="s">
        <v>21</v>
      </c>
      <c r="C439" s="291" t="s">
        <v>25</v>
      </c>
      <c r="D439" s="295">
        <v>213639.27220000001</v>
      </c>
      <c r="E439" s="295">
        <v>213639.27220000001</v>
      </c>
      <c r="F439" s="295">
        <v>210817.70869999999</v>
      </c>
      <c r="G439" s="295">
        <v>67696.154320000001</v>
      </c>
      <c r="H439" s="295">
        <v>67696.154320000001</v>
      </c>
      <c r="I439" s="295">
        <v>67696.154320000001</v>
      </c>
      <c r="J439" s="295">
        <v>67696.154320000001</v>
      </c>
      <c r="K439" s="295">
        <v>67696.154320000001</v>
      </c>
      <c r="L439" s="295">
        <v>67696.154320000001</v>
      </c>
      <c r="M439" s="295">
        <v>67696.154320000001</v>
      </c>
      <c r="N439" s="295">
        <v>12</v>
      </c>
      <c r="O439" s="295"/>
      <c r="P439" s="295"/>
      <c r="Q439" s="295"/>
      <c r="R439" s="295"/>
      <c r="S439" s="295"/>
      <c r="T439" s="295"/>
      <c r="U439" s="295"/>
      <c r="V439" s="295"/>
      <c r="W439" s="295"/>
      <c r="X439" s="295"/>
      <c r="Y439" s="415"/>
      <c r="Z439" s="744">
        <v>1</v>
      </c>
      <c r="AA439" s="415"/>
      <c r="AB439" s="415"/>
      <c r="AC439" s="415"/>
      <c r="AD439" s="415"/>
      <c r="AE439" s="415"/>
      <c r="AF439" s="415"/>
      <c r="AG439" s="415"/>
      <c r="AH439" s="415"/>
      <c r="AI439" s="415"/>
      <c r="AJ439" s="415"/>
      <c r="AK439" s="415"/>
      <c r="AL439" s="415"/>
      <c r="AM439" s="296">
        <f>SUM(Y439:AL439)</f>
        <v>1</v>
      </c>
    </row>
    <row r="440" spans="1:39" ht="15" outlineLevel="1">
      <c r="B440" s="746" t="s">
        <v>260</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260</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260</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260</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487</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260</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488</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260</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260</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260</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260</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260</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260</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260</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260</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489</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260</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260</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260</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260</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260</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260</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490</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260</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491</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492</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260</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493</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260</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494</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260</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261</v>
      </c>
      <c r="C513" s="329"/>
      <c r="D513" s="329">
        <f>SUM(D408:D511)</f>
        <v>706113.20052114921</v>
      </c>
      <c r="E513" s="329"/>
      <c r="F513" s="329"/>
      <c r="G513" s="329"/>
      <c r="H513" s="329"/>
      <c r="I513" s="329"/>
      <c r="J513" s="329"/>
      <c r="K513" s="329"/>
      <c r="L513" s="329"/>
      <c r="M513" s="329"/>
      <c r="N513" s="329"/>
      <c r="O513" s="329">
        <f>SUM(O408:O511)</f>
        <v>66.800709725343978</v>
      </c>
      <c r="P513" s="329"/>
      <c r="Q513" s="329"/>
      <c r="R513" s="329"/>
      <c r="S513" s="329"/>
      <c r="T513" s="329"/>
      <c r="U513" s="329"/>
      <c r="V513" s="329"/>
      <c r="W513" s="329"/>
      <c r="X513" s="329"/>
      <c r="Y513" s="329">
        <f>IF(Y407="kWh",SUMPRODUCT(D408:D511,Y408:Y511))</f>
        <v>112604.27862114925</v>
      </c>
      <c r="Z513" s="329">
        <f>IF(Z407="kWh",SUMPRODUCT(D408:D511,Z408:Z511))</f>
        <v>240230.14767900002</v>
      </c>
      <c r="AA513" s="329">
        <f>IF(AA407="kW",SUMPRODUCT(N408:N511,O408:O511,AA408:AA511),SUMPRODUCT(D408:D511,AA408:AA511))</f>
        <v>381.55938849119991</v>
      </c>
      <c r="AB513" s="329">
        <f>IF(AB407="kW",SUMPRODUCT(N408:N511,O408:O511,AB408:AB511),SUMPRODUCT(D408:D511,AB408:AB511))</f>
        <v>230.25135512399996</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262</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162365</v>
      </c>
      <c r="Z514" s="328">
        <f>HLOOKUP(Z406,'2. LRAMVA Threshold'!$B$42:$Q$53,6,FALSE)</f>
        <v>74389</v>
      </c>
      <c r="AA514" s="328">
        <f>HLOOKUP(AA406,'2. LRAMVA Threshold'!$B$42:$Q$53,6,FALSE)</f>
        <v>432.56</v>
      </c>
      <c r="AB514" s="328">
        <f>HLOOKUP(AB406,'2. LRAMVA Threshold'!$B$42:$Q$53,6,FALSE)</f>
        <v>406.65</v>
      </c>
      <c r="AC514" s="328">
        <f>HLOOKUP(AC406,'2. LRAMVA Threshold'!$B$42:$Q$53,6,FALSE)</f>
        <v>0.46</v>
      </c>
      <c r="AD514" s="328">
        <f>HLOOKUP(AD406,'2. LRAMVA Threshold'!$B$42:$Q$53,6,FALSE)</f>
        <v>1405.07</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1.6E-2</v>
      </c>
      <c r="Z516" s="341">
        <f>HLOOKUP(Z$20,'3.  Distribution Rates'!$C$122:$P$133,6,FALSE)</f>
        <v>6.7000000000000002E-3</v>
      </c>
      <c r="AA516" s="341">
        <f>HLOOKUP(AA$20,'3.  Distribution Rates'!$C$122:$P$133,6,FALSE)</f>
        <v>2.3212999999999999</v>
      </c>
      <c r="AB516" s="341">
        <f>HLOOKUP(AB$20,'3.  Distribution Rates'!$C$122:$P$133,6,FALSE)</f>
        <v>1.0215000000000001</v>
      </c>
      <c r="AC516" s="341">
        <f>HLOOKUP(AC$20,'3.  Distribution Rates'!$C$122:$P$133,6,FALSE)</f>
        <v>3.1198000000000001</v>
      </c>
      <c r="AD516" s="341">
        <f>HLOOKUP(AD$20,'3.  Distribution Rates'!$C$122:$P$133,6,FALSE)</f>
        <v>2.2936999999999999</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646.58517257357653</v>
      </c>
      <c r="Z517" s="378">
        <f t="shared" ref="Z517:AL517" si="151">Z137*Z516</f>
        <v>604.99764310969067</v>
      </c>
      <c r="AA517" s="378">
        <f t="shared" si="151"/>
        <v>0.12423385595335404</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1251.7070495392206</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389.39422108404352</v>
      </c>
      <c r="Z518" s="378">
        <f t="shared" ref="Z518:AL518" si="152">Z266*Z516</f>
        <v>1293.0520912709803</v>
      </c>
      <c r="AA518" s="378">
        <f t="shared" si="152"/>
        <v>0.21006089650774831</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1682.6563732515315</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1471.5415011743548</v>
      </c>
      <c r="Z519" s="378">
        <f t="shared" ref="Z519:AL519" si="153">Z395*Z516</f>
        <v>1742.075556242449</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3213.6170574168036</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1801.668457938388</v>
      </c>
      <c r="Z520" s="378">
        <f t="shared" ref="Z520:AK520" si="154">Z513*Z516</f>
        <v>1609.5419894493002</v>
      </c>
      <c r="AA520" s="378">
        <f t="shared" si="154"/>
        <v>885.71380850462231</v>
      </c>
      <c r="AB520" s="378">
        <f t="shared" si="154"/>
        <v>235.20175925916598</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4532.1260151514762</v>
      </c>
    </row>
    <row r="521" spans="2:41" ht="15.75">
      <c r="B521" s="349" t="s">
        <v>263</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4309.1893527703633</v>
      </c>
      <c r="Z521" s="346">
        <f t="shared" ref="Z521:AK521" si="155">SUM(Z517:Z520)</f>
        <v>5249.6672800724209</v>
      </c>
      <c r="AA521" s="346">
        <f t="shared" si="155"/>
        <v>886.04810325708343</v>
      </c>
      <c r="AB521" s="346">
        <f t="shared" si="155"/>
        <v>235.20175925916598</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10680.106495359032</v>
      </c>
    </row>
    <row r="522" spans="2:41" ht="15.75">
      <c r="B522" s="349" t="s">
        <v>264</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2597.84</v>
      </c>
      <c r="Z522" s="347">
        <f t="shared" ref="Z522:AJ522" si="156">Z514*Z516</f>
        <v>498.40630000000004</v>
      </c>
      <c r="AA522" s="347">
        <f>AA514*AA516</f>
        <v>1004.1015279999999</v>
      </c>
      <c r="AB522" s="347">
        <f t="shared" si="156"/>
        <v>415.39297500000004</v>
      </c>
      <c r="AC522" s="347">
        <f t="shared" si="156"/>
        <v>1.4351080000000001</v>
      </c>
      <c r="AD522" s="347">
        <f>AD514*AD516</f>
        <v>3222.8090589999997</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7739.9849699999995</v>
      </c>
    </row>
    <row r="523" spans="2:41" ht="15.75">
      <c r="B523" s="349" t="s">
        <v>266</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2940.1215253590326</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100442.32781114924</v>
      </c>
      <c r="Z526" s="291">
        <f>SUMPRODUCT(E408:E511,Z408:Z511)</f>
        <v>240230.14767900002</v>
      </c>
      <c r="AA526" s="291">
        <f>IF(AA407="kW",SUMPRODUCT(N408:N511,P408:P511,AA408:AA511),SUMPRODUCT(E408:E511,AA408:AA511))</f>
        <v>381.55938849119991</v>
      </c>
      <c r="AB526" s="291">
        <f>IF(AB407="kW",SUMPRODUCT(N408:N511,P408:P511,AB408:AB511),SUMPRODUCT(E408:E511,AB408:AB511))</f>
        <v>230.25135512399996</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94153.565831149244</v>
      </c>
      <c r="Z527" s="291">
        <f>SUMPRODUCT(F408:F511,Z408:Z511)</f>
        <v>237408.584179</v>
      </c>
      <c r="AA527" s="291">
        <f>IF(AA407="kW",SUMPRODUCT(N408:N511,Q408:Q511,AA408:AA511),SUMPRODUCT(F408:F511,AA408:AA511))</f>
        <v>381.55938849119991</v>
      </c>
      <c r="AB527" s="291">
        <f>IF(AB407="kW",SUMPRODUCT(N408:N511,Q408:Q511,AB408:AB511),SUMPRODUCT(F408:F511,AB408:AB511))</f>
        <v>230.25135512399996</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94153.565831149244</v>
      </c>
      <c r="Z528" s="291">
        <f>SUMPRODUCT(G408:G511,Z408:Z511)</f>
        <v>92271.650041000001</v>
      </c>
      <c r="AA528" s="291">
        <f>IF(AA407="kW",SUMPRODUCT(N408:N511,R408:R511,AA408:AA511),SUMPRODUCT(G408:G511,AA408:AA511))</f>
        <v>324.03477530639998</v>
      </c>
      <c r="AB528" s="291">
        <f>IF(AB407="kW",SUMPRODUCT(N408:N511,R408:R511,AB408:AB511),SUMPRODUCT(G408:G511,AB408:AB511))</f>
        <v>195.53822647799998</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91900.697708202119</v>
      </c>
      <c r="Z529" s="291">
        <f>SUMPRODUCT(H408:H511,Z408:Z511)</f>
        <v>92271.650041000001</v>
      </c>
      <c r="AA529" s="291">
        <f>IF(AA407="kW",SUMPRODUCT(N408:N511,S408:S511,AA408:AA511),SUMPRODUCT(H408:H511,AA408:AA511))</f>
        <v>324.03477530639998</v>
      </c>
      <c r="AB529" s="291">
        <f>IF(AB407="kW",SUMPRODUCT(N408:N511,S408:S511,AB408:AB511),SUMPRODUCT(H408:H511,AB408:AB511))</f>
        <v>195.53822647799998</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91081.562995</v>
      </c>
      <c r="Z530" s="291">
        <f>SUMPRODUCT(I408:I511,Z408:Z511)</f>
        <v>92271.650041000001</v>
      </c>
      <c r="AA530" s="291">
        <f>IF(AA407="kW",SUMPRODUCT(N408:N511,T408:T511,AA408:AA511),SUMPRODUCT(I408:I511,AA408:AA511))</f>
        <v>324.03477530639998</v>
      </c>
      <c r="AB530" s="291">
        <f>IF(AB407="kW",SUMPRODUCT(N408:N511,T408:T511,AB408:AB511),SUMPRODUCT(I408:I511,AB408:AB511))</f>
        <v>195.53822647799998</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91081.562995</v>
      </c>
      <c r="Z531" s="326">
        <f>SUMPRODUCT(J408:J511,Z408:Z511)</f>
        <v>91799.742492999998</v>
      </c>
      <c r="AA531" s="326">
        <f>IF(AA407="kW",SUMPRODUCT(N408:N511,U408:U511,AA408:AA511),SUMPRODUCT(J408:J511,AA408:AA511))</f>
        <v>318.40462034879999</v>
      </c>
      <c r="AB531" s="326">
        <f>IF(AB407="kW",SUMPRODUCT(N408:N511,U408:U511,AB408:AB511),SUMPRODUCT(J408:J511,AB408:AB511))</f>
        <v>192.140719176</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590</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529</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800-000000000000}"/>
    <hyperlink ref="C13" location="Table_4_a.__2011_Lost_Revenues_Work_Form" display="Table 4-a.  2011 Lost Revenues" xr:uid="{00000000-0004-0000-0800-000001000000}"/>
    <hyperlink ref="C14" location="Table_4_b.__2012_Lost_Revenues_Work_Form" display="Table 4-b.  2012 Lost Revenues" xr:uid="{00000000-0004-0000-0800-000002000000}"/>
    <hyperlink ref="C15" location="Table_4_c.__2013_Lost_Revenues_Work_Form" display="Table 4-c.  2013 Lost Revenues" xr:uid="{00000000-0004-0000-0800-000003000000}"/>
    <hyperlink ref="C16" location="Table_4_d.__2014_Lost_Revenues_Work_Form" display="Table 4-d.  2014 Lost Revenues " xr:uid="{00000000-0004-0000-0800-000004000000}"/>
    <hyperlink ref="D146" location="'4.  2011-2014 LRAM'!A1" display="Return to top" xr:uid="{00000000-0004-0000-0800-000005000000}"/>
    <hyperlink ref="D275" location="'4.  2011-2014 LRAM'!A1" display="Return to top" xr:uid="{00000000-0004-0000-0800-000006000000}"/>
    <hyperlink ref="B534" location="'4.  2011-2014 LRAM'!A1" display="Return to top" xr:uid="{00000000-0004-0000-08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Instructions</vt:lpstr>
      <vt:lpstr>LRAMVA Checklist Schematic</vt:lpstr>
      <vt:lpstr>DropDownList</vt:lpstr>
      <vt:lpstr>Contents</vt:lpstr>
      <vt:lpstr>1.  LRAMVA Summary</vt:lpstr>
      <vt:lpstr>1-a.  Summary of Changes</vt:lpstr>
      <vt:lpstr>2. LRAMVA Threshold</vt:lpstr>
      <vt:lpstr>3.  Distribution Rates</vt:lpstr>
      <vt:lpstr>4.  2011-2014 LRAM</vt:lpstr>
      <vt:lpstr>5.  2015-2020 LRAM</vt:lpstr>
      <vt:lpstr>6.  Carrying Charges</vt:lpstr>
      <vt:lpstr>7.  Persistence Report</vt:lpstr>
      <vt:lpstr>3-a.  Rate Class Allocations</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Tandem Energy Services</cp:lastModifiedBy>
  <cp:lastPrinted>2017-05-24T00:43:43Z</cp:lastPrinted>
  <dcterms:created xsi:type="dcterms:W3CDTF">2012-03-05T18:56:04Z</dcterms:created>
  <dcterms:modified xsi:type="dcterms:W3CDTF">2018-10-18T17:09:55Z</dcterms:modified>
</cp:coreProperties>
</file>