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18-0025\OEB Submissions\11022018\"/>
    </mc:Choice>
  </mc:AlternateContent>
  <bookViews>
    <workbookView xWindow="12585" yWindow="-15" windowWidth="12630" windowHeight="11085" tabRatio="855"/>
  </bookViews>
  <sheets>
    <sheet name="Contents" sheetId="62" r:id="rId1"/>
    <sheet name="Instructions" sheetId="87" state="hidden" r:id="rId2"/>
    <sheet name="LRAMVA Checklist Schematic" sheetId="63" state="hidden" r:id="rId3"/>
    <sheet name="DropDownList" sheetId="80" state="hidden" r:id="rId4"/>
    <sheet name="IRM Chart" sheetId="88" state="hidden" r:id="rId5"/>
    <sheet name="1.  LRAMVA Summary" sheetId="43" r:id="rId6"/>
    <sheet name="1-a.  Summary of Changes" sheetId="83" r:id="rId7"/>
    <sheet name="2. LRAMVA Threshold" sheetId="44" r:id="rId8"/>
    <sheet name="3.  Distribution Rates" sheetId="45" r:id="rId9"/>
    <sheet name="3-a.  Rate Class Allocations" sheetId="86" state="hidden" r:id="rId10"/>
    <sheet name="4.  2011-2014 LRAM" sheetId="46" r:id="rId11"/>
    <sheet name="5.  2015-2020 LRAM" sheetId="79" r:id="rId12"/>
    <sheet name="6.  Carrying Charges" sheetId="47" r:id="rId13"/>
    <sheet name="7.  Persistence Report" sheetId="68" r:id="rId14"/>
    <sheet name="8.  Streetlighting" sheetId="85" state="hidden" r:id="rId15"/>
  </sheets>
  <externalReferences>
    <externalReference r:id="rId16"/>
  </externalReferences>
  <definedNames>
    <definedName name="_xlnm._FilterDatabase" localSheetId="13" hidden="1">'7.  Persistence Report'!$C$26:$BT$94</definedName>
    <definedName name="_xlnm._FilterDatabase" localSheetId="3" hidden="1">DropDownList!$A$1:$A$40</definedName>
    <definedName name="_xlnm.Print_Area" localSheetId="5">'1.  LRAMVA Summary'!$A$1:$R$105</definedName>
    <definedName name="_xlnm.Print_Area" localSheetId="7">'2. LRAMVA Threshold'!$A$1:$R$62</definedName>
    <definedName name="_xlnm.Print_Area" localSheetId="8">'3.  Distribution Rates'!$A$1:$P$134</definedName>
    <definedName name="_xlnm.Print_Area" localSheetId="10">'4.  2011-2014 LRAM'!$A$1:$AM$533</definedName>
    <definedName name="_xlnm.Print_Area" localSheetId="11">'5.  2015-2020 LRAM'!$A:$AN</definedName>
    <definedName name="_xlnm.Print_Area" localSheetId="12">'6.  Carrying Charges'!$A$1:$X$164</definedName>
    <definedName name="_xlnm.Print_Area" localSheetId="13">'7.  Persistence Report'!$A$1:$BT$54</definedName>
    <definedName name="_xlnm.Print_Area" localSheetId="2">'LRAMVA Checklist Schematic'!$A$1:$H$31</definedName>
    <definedName name="_xlnm.Print_Titles" localSheetId="10">'4.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H69" i="88" l="1"/>
  <c r="H72" i="88"/>
  <c r="H75" i="88"/>
  <c r="H78" i="88"/>
  <c r="H81" i="88"/>
  <c r="H84" i="88"/>
  <c r="P51" i="88"/>
  <c r="O51" i="88"/>
  <c r="N51" i="88"/>
  <c r="M51" i="88"/>
  <c r="L51" i="88"/>
  <c r="K51" i="88"/>
  <c r="J51" i="88"/>
  <c r="I51" i="88"/>
  <c r="G51" i="88"/>
  <c r="F51" i="88"/>
  <c r="E51" i="88"/>
  <c r="D51" i="88"/>
  <c r="C51" i="88"/>
  <c r="P50" i="88"/>
  <c r="O50" i="88"/>
  <c r="N50" i="88"/>
  <c r="M50" i="88"/>
  <c r="L50" i="88"/>
  <c r="K50" i="88"/>
  <c r="J50" i="88"/>
  <c r="I50" i="88"/>
  <c r="G50" i="88"/>
  <c r="F50" i="88"/>
  <c r="E50" i="88"/>
  <c r="D50" i="88"/>
  <c r="C50" i="88"/>
  <c r="L19" i="45" l="1"/>
  <c r="G43" i="44"/>
  <c r="F29" i="44"/>
  <c r="H14" i="44"/>
  <c r="H43" i="44" s="1"/>
  <c r="G14" i="44"/>
  <c r="G29" i="44" s="1"/>
  <c r="F14" i="44"/>
  <c r="F43" i="44" s="1"/>
  <c r="E14" i="44"/>
  <c r="E43" i="44" s="1"/>
  <c r="D14" i="44"/>
  <c r="D43" i="44" s="1"/>
  <c r="G48" i="45"/>
  <c r="G41" i="45"/>
  <c r="G34" i="45"/>
  <c r="G27" i="45"/>
  <c r="G20" i="45"/>
  <c r="K19" i="45"/>
  <c r="J19" i="45"/>
  <c r="D29" i="44" l="1"/>
  <c r="E29" i="44"/>
  <c r="H29" i="44"/>
  <c r="P692" i="79"/>
  <c r="Q692" i="79" s="1"/>
  <c r="R692" i="79" s="1"/>
  <c r="P667" i="79"/>
  <c r="Q667" i="79" s="1"/>
  <c r="R667" i="79" s="1"/>
  <c r="S667" i="79" s="1"/>
  <c r="T667" i="79" s="1"/>
  <c r="E692" i="79"/>
  <c r="F692" i="79" s="1"/>
  <c r="G692" i="79" s="1"/>
  <c r="E667" i="79"/>
  <c r="F667" i="79" s="1"/>
  <c r="G667" i="79" s="1"/>
  <c r="H667" i="79" s="1"/>
  <c r="I667" i="79" s="1"/>
  <c r="F657" i="79" l="1"/>
  <c r="J657" i="79"/>
  <c r="F663" i="79"/>
  <c r="J663" i="79"/>
  <c r="F698" i="79"/>
  <c r="J698" i="79"/>
  <c r="Q654" i="79"/>
  <c r="U654" i="79"/>
  <c r="Q663" i="79"/>
  <c r="U663" i="79"/>
  <c r="Q673" i="79"/>
  <c r="U673" i="79"/>
  <c r="S670" i="79"/>
  <c r="H673" i="79"/>
  <c r="E663" i="79"/>
  <c r="E698" i="79"/>
  <c r="H654" i="79"/>
  <c r="L670" i="79"/>
  <c r="S698" i="79"/>
  <c r="E654" i="79"/>
  <c r="I654" i="79"/>
  <c r="M654" i="79"/>
  <c r="G657" i="79"/>
  <c r="K657" i="79"/>
  <c r="E670" i="79"/>
  <c r="I670" i="79"/>
  <c r="M670" i="79"/>
  <c r="G663" i="79"/>
  <c r="K663" i="79"/>
  <c r="E673" i="79"/>
  <c r="I673" i="79"/>
  <c r="M673" i="79"/>
  <c r="G698" i="79"/>
  <c r="K698" i="79"/>
  <c r="R654" i="79"/>
  <c r="V654" i="79"/>
  <c r="P657" i="79"/>
  <c r="T657" i="79"/>
  <c r="X657" i="79"/>
  <c r="R663" i="79"/>
  <c r="V663" i="79"/>
  <c r="P670" i="79"/>
  <c r="T670" i="79"/>
  <c r="X670" i="79"/>
  <c r="R673" i="79"/>
  <c r="V673" i="79"/>
  <c r="P698" i="79"/>
  <c r="T698" i="79"/>
  <c r="X698" i="79"/>
  <c r="H670" i="79"/>
  <c r="W657" i="79"/>
  <c r="W698" i="79"/>
  <c r="F654" i="79"/>
  <c r="J654" i="79"/>
  <c r="H657" i="79"/>
  <c r="L657" i="79"/>
  <c r="F670" i="79"/>
  <c r="J670" i="79"/>
  <c r="H663" i="79"/>
  <c r="L663" i="79"/>
  <c r="F673" i="79"/>
  <c r="J673" i="79"/>
  <c r="H698" i="79"/>
  <c r="L698" i="79"/>
  <c r="S654" i="79"/>
  <c r="W654" i="79"/>
  <c r="Q657" i="79"/>
  <c r="U657" i="79"/>
  <c r="S663" i="79"/>
  <c r="W663" i="79"/>
  <c r="Q670" i="79"/>
  <c r="U670" i="79"/>
  <c r="S673" i="79"/>
  <c r="W673" i="79"/>
  <c r="Q698" i="79"/>
  <c r="U698" i="79"/>
  <c r="L654" i="79"/>
  <c r="L673" i="79"/>
  <c r="S657" i="79"/>
  <c r="W670" i="79"/>
  <c r="G654" i="79"/>
  <c r="K654" i="79"/>
  <c r="E657" i="79"/>
  <c r="I657" i="79"/>
  <c r="M657" i="79"/>
  <c r="G670" i="79"/>
  <c r="K670" i="79"/>
  <c r="I663" i="79"/>
  <c r="M663" i="79"/>
  <c r="G673" i="79"/>
  <c r="K673" i="79"/>
  <c r="I698" i="79"/>
  <c r="M698" i="79"/>
  <c r="P654" i="79"/>
  <c r="T654" i="79"/>
  <c r="X654" i="79"/>
  <c r="R657" i="79"/>
  <c r="V657" i="79"/>
  <c r="P663" i="79"/>
  <c r="T663" i="79"/>
  <c r="X663" i="79"/>
  <c r="R670" i="79"/>
  <c r="V670" i="79"/>
  <c r="P673" i="79"/>
  <c r="T673" i="79"/>
  <c r="X673" i="79"/>
  <c r="R698" i="79"/>
  <c r="V698" i="79"/>
  <c r="AA101" i="79"/>
  <c r="D22" i="45" l="1"/>
  <c r="O927" i="79" l="1"/>
  <c r="E44" i="44" l="1"/>
  <c r="AM139" i="79" l="1"/>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L53" i="44"/>
  <c r="L46" i="44"/>
  <c r="C102" i="45"/>
  <c r="P46" i="44"/>
  <c r="K53" i="44"/>
  <c r="K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33" i="44" s="1"/>
  <c r="G51" i="43"/>
  <c r="F51" i="43"/>
  <c r="E51" i="43"/>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33" i="44"/>
  <c r="AA21" i="46"/>
  <c r="AA127" i="46" s="1"/>
  <c r="D33" i="44"/>
  <c r="AA407" i="46"/>
  <c r="AB278" i="46"/>
  <c r="G33" i="44"/>
  <c r="Z277" i="46"/>
  <c r="E13" i="44"/>
  <c r="Z401" i="79"/>
  <c r="Z767" i="79"/>
  <c r="Z218" i="79"/>
  <c r="Z950" i="79"/>
  <c r="Z584" i="79"/>
  <c r="Z35" i="79"/>
  <c r="D123" i="45"/>
  <c r="E18" i="44"/>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8" i="44"/>
  <c r="Y951" i="79"/>
  <c r="Y1110" i="79" s="1"/>
  <c r="Y402" i="79"/>
  <c r="Y561" i="79" s="1"/>
  <c r="Y768" i="79"/>
  <c r="Y927" i="79" s="1"/>
  <c r="Y585" i="79"/>
  <c r="Y744" i="79" s="1"/>
  <c r="Y219" i="79"/>
  <c r="Y378" i="79" s="1"/>
  <c r="Y36" i="79"/>
  <c r="Y195" i="79" s="1"/>
  <c r="AC278" i="46"/>
  <c r="AC395" i="46" s="1"/>
  <c r="H18" i="44"/>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53" i="44"/>
  <c r="F18" i="44"/>
  <c r="AA402" i="79"/>
  <c r="AA768" i="79"/>
  <c r="AA219" i="79"/>
  <c r="AA951" i="79"/>
  <c r="AA1110" i="79" s="1"/>
  <c r="AA585" i="79"/>
  <c r="AA36" i="79"/>
  <c r="AA208" i="79" s="1"/>
  <c r="AB406" i="46"/>
  <c r="G13" i="44"/>
  <c r="AB767" i="79"/>
  <c r="AB584" i="79"/>
  <c r="AB218" i="79"/>
  <c r="AB950" i="79"/>
  <c r="AB401" i="79"/>
  <c r="AB35" i="79"/>
  <c r="AB407" i="46"/>
  <c r="G18" i="44"/>
  <c r="AB951" i="79"/>
  <c r="AB1110" i="79" s="1"/>
  <c r="AB768" i="79"/>
  <c r="AB585" i="79"/>
  <c r="AB219" i="79"/>
  <c r="AB402" i="79"/>
  <c r="AB36" i="79"/>
  <c r="AB21" i="46"/>
  <c r="AB135" i="46" s="1"/>
  <c r="Y278" i="46"/>
  <c r="Y384" i="46" s="1"/>
  <c r="AE149" i="46"/>
  <c r="AE255" i="46" s="1"/>
  <c r="AB148" i="46"/>
  <c r="G123" i="45"/>
  <c r="AA149" i="46"/>
  <c r="AA255" i="46" s="1"/>
  <c r="AE407" i="46"/>
  <c r="I43" i="44"/>
  <c r="E53" i="44"/>
  <c r="Z406" i="46"/>
  <c r="AE148" i="46"/>
  <c r="AA148" i="46"/>
  <c r="C123" i="45"/>
  <c r="F123" i="45"/>
  <c r="AE21" i="46"/>
  <c r="AD149" i="46"/>
  <c r="Z149" i="46"/>
  <c r="Z255" i="46" s="1"/>
  <c r="AE278" i="46"/>
  <c r="AA278" i="46"/>
  <c r="AC277" i="46"/>
  <c r="AD407" i="46"/>
  <c r="Z407" i="46"/>
  <c r="Z513" i="46" s="1"/>
  <c r="AC406" i="46"/>
  <c r="AD277" i="46"/>
  <c r="AD406" i="46"/>
  <c r="Z148" i="46"/>
  <c r="G5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46" i="44"/>
  <c r="J53" i="44"/>
  <c r="J46" i="44"/>
  <c r="H53" i="44"/>
  <c r="D53" i="44"/>
  <c r="AD212" i="79"/>
  <c r="AD208" i="79"/>
  <c r="AD211" i="79"/>
  <c r="AD210" i="79"/>
  <c r="AD209" i="79"/>
  <c r="AD127" i="46"/>
  <c r="AD138" i="46"/>
  <c r="AD141" i="46"/>
  <c r="AD140" i="46"/>
  <c r="AD143" i="46"/>
  <c r="AD142" i="46"/>
  <c r="AD139" i="46"/>
  <c r="G50" i="44"/>
  <c r="G52" i="44"/>
  <c r="G51" i="44"/>
  <c r="H51" i="44"/>
  <c r="H50" i="44"/>
  <c r="H52" i="44"/>
  <c r="E52" i="44"/>
  <c r="E51" i="44"/>
  <c r="E50" i="44"/>
  <c r="F52" i="44"/>
  <c r="F51" i="44"/>
  <c r="F50" i="44"/>
  <c r="J49" i="44"/>
  <c r="J52" i="44"/>
  <c r="J48" i="44"/>
  <c r="J50" i="44"/>
  <c r="J51" i="44"/>
  <c r="J47" i="44"/>
  <c r="D52" i="44"/>
  <c r="D51"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I129" i="45"/>
  <c r="K124" i="45"/>
  <c r="AG130" i="46" s="1"/>
  <c r="AG131" i="46"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AE1111" i="79"/>
  <c r="AD379" i="79"/>
  <c r="AC562" i="79"/>
  <c r="Y1111" i="79"/>
  <c r="Y562" i="79"/>
  <c r="AB928" i="79"/>
  <c r="AA1111" i="79"/>
  <c r="AD196" i="79"/>
  <c r="AE745" i="79"/>
  <c r="AE514" i="46"/>
  <c r="AB745" i="79"/>
  <c r="AC1111" i="79"/>
  <c r="AE379" i="79"/>
  <c r="Z928" i="79"/>
  <c r="AD514" i="46"/>
  <c r="AA562" i="79"/>
  <c r="AD1111" i="79"/>
  <c r="AE928" i="79"/>
  <c r="AB1111" i="79"/>
  <c r="AA745" i="79"/>
  <c r="AD562" i="79"/>
  <c r="Y745" i="79"/>
  <c r="AE562" i="79"/>
  <c r="Z745" i="79"/>
  <c r="AC928" i="79"/>
  <c r="AB562" i="79"/>
  <c r="AD928" i="79"/>
  <c r="Y928" i="79"/>
  <c r="AE196" i="79"/>
  <c r="AD745" i="79"/>
  <c r="AA928" i="79"/>
  <c r="AC745" i="79"/>
  <c r="Z562" i="79"/>
  <c r="Z1111" i="79"/>
  <c r="Y516" i="46"/>
  <c r="AD516" i="46"/>
  <c r="AD520" i="46" s="1"/>
  <c r="AD130" i="46"/>
  <c r="AD131" i="46" s="1"/>
  <c r="H52" i="88"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I52" i="88" s="1"/>
  <c r="Y130" i="46"/>
  <c r="Y387" i="46"/>
  <c r="Z516" i="46"/>
  <c r="Z520" i="46" s="1"/>
  <c r="Z130" i="46"/>
  <c r="Z387" i="46"/>
  <c r="Z389" i="46" s="1"/>
  <c r="Z258" i="46"/>
  <c r="AA387" i="46"/>
  <c r="AA258" i="46"/>
  <c r="AA259" i="46" s="1"/>
  <c r="AA516" i="46"/>
  <c r="AA520" i="46" s="1"/>
  <c r="AA130" i="46"/>
  <c r="AE385" i="46"/>
  <c r="AA256" i="46"/>
  <c r="AE256" i="46"/>
  <c r="AA128" i="46"/>
  <c r="AE128" i="46"/>
  <c r="AF385" i="46"/>
  <c r="AB256" i="46"/>
  <c r="AF256" i="46"/>
  <c r="AB128" i="46"/>
  <c r="AF128" i="46"/>
  <c r="AC256" i="46"/>
  <c r="AC128"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K52" i="43" l="1"/>
  <c r="J52" i="88"/>
  <c r="O52" i="43"/>
  <c r="N52" i="88"/>
  <c r="P52" i="43"/>
  <c r="O52" i="88"/>
  <c r="N52" i="43"/>
  <c r="M52" i="88"/>
  <c r="M52" i="43"/>
  <c r="L52" i="88"/>
  <c r="L52" i="43"/>
  <c r="K52" i="88"/>
  <c r="Q52" i="43"/>
  <c r="P52" i="88"/>
  <c r="AD522" i="46"/>
  <c r="H62" i="88" s="1"/>
  <c r="Y1117" i="79"/>
  <c r="Y1123" i="79"/>
  <c r="AI517" i="46"/>
  <c r="AI520" i="46"/>
  <c r="AF518" i="46"/>
  <c r="AF520" i="46"/>
  <c r="Y518" i="46"/>
  <c r="Y517" i="46"/>
  <c r="Y519" i="46"/>
  <c r="Y520" i="46"/>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AL564" i="79"/>
  <c r="AL568" i="79" s="1"/>
  <c r="AE564" i="79"/>
  <c r="AE567" i="79" s="1"/>
  <c r="AG564" i="79"/>
  <c r="AG567" i="79" s="1"/>
  <c r="AG381" i="79"/>
  <c r="AG389" i="79" s="1"/>
  <c r="AD381" i="79"/>
  <c r="AD385" i="79" s="1"/>
  <c r="AB564" i="79"/>
  <c r="AB571" i="79" s="1"/>
  <c r="Z198" i="79"/>
  <c r="Z202" i="79" s="1"/>
  <c r="AB381" i="79"/>
  <c r="AB384" i="79" s="1"/>
  <c r="Z381" i="79"/>
  <c r="Z384" i="79" s="1"/>
  <c r="AC381" i="79"/>
  <c r="AC385" i="79" s="1"/>
  <c r="AD930" i="79"/>
  <c r="AH930" i="79"/>
  <c r="AH941" i="79" s="1"/>
  <c r="AJ930" i="79"/>
  <c r="AJ941" i="79" s="1"/>
  <c r="AI930" i="79"/>
  <c r="AI941" i="79" s="1"/>
  <c r="Z930" i="79"/>
  <c r="Z941" i="79" s="1"/>
  <c r="AK930" i="79"/>
  <c r="AK941" i="79" s="1"/>
  <c r="AL930" i="79"/>
  <c r="AE930" i="79"/>
  <c r="AE941" i="79" s="1"/>
  <c r="AF930" i="79"/>
  <c r="AC930" i="79"/>
  <c r="AC941" i="79" s="1"/>
  <c r="AA930" i="79"/>
  <c r="AA941" i="79" s="1"/>
  <c r="AB930" i="79"/>
  <c r="AB941" i="79" s="1"/>
  <c r="AG930" i="79"/>
  <c r="AG941" i="79" s="1"/>
  <c r="Y1120" i="79"/>
  <c r="Z564" i="79"/>
  <c r="Z568" i="79" s="1"/>
  <c r="Y930" i="79"/>
  <c r="Y932" i="79" s="1"/>
  <c r="AA564" i="79"/>
  <c r="AA571" i="79" s="1"/>
  <c r="Y564" i="79"/>
  <c r="Y567" i="79" s="1"/>
  <c r="AJ1113" i="79"/>
  <c r="AJ1125" i="79" s="1"/>
  <c r="AI1113" i="79"/>
  <c r="AL1113" i="79"/>
  <c r="AL1125" i="79" s="1"/>
  <c r="AG1113" i="79"/>
  <c r="AK1113" i="79"/>
  <c r="AK1125" i="79" s="1"/>
  <c r="AH1113" i="79"/>
  <c r="AH1125" i="79" s="1"/>
  <c r="AF1113" i="79"/>
  <c r="AC1113" i="79"/>
  <c r="AC1125" i="79" s="1"/>
  <c r="AE1113" i="79"/>
  <c r="AE1125" i="79" s="1"/>
  <c r="AB1113" i="79"/>
  <c r="AB1125" i="79" s="1"/>
  <c r="AD1113" i="79"/>
  <c r="AD1125" i="79" s="1"/>
  <c r="I80" i="43" s="1"/>
  <c r="Z1113" i="79"/>
  <c r="Z1123" i="79" s="1"/>
  <c r="AA1113" i="79"/>
  <c r="AC564" i="79"/>
  <c r="AC570" i="79" s="1"/>
  <c r="AE199" i="79"/>
  <c r="AD198" i="79"/>
  <c r="AD201" i="79" s="1"/>
  <c r="AE381" i="79"/>
  <c r="AE384" i="79" s="1"/>
  <c r="AD564" i="79"/>
  <c r="AD569" i="79" s="1"/>
  <c r="AE203" i="79"/>
  <c r="AL747" i="79"/>
  <c r="AL757" i="79" s="1"/>
  <c r="AE747" i="79"/>
  <c r="AE757" i="79" s="1"/>
  <c r="AI747" i="79"/>
  <c r="AG747" i="79"/>
  <c r="AF747" i="79"/>
  <c r="AF757" i="79" s="1"/>
  <c r="Z747" i="79"/>
  <c r="Z757" i="79" s="1"/>
  <c r="D74" i="88" s="1"/>
  <c r="AD747" i="79"/>
  <c r="AC747" i="79"/>
  <c r="AC757" i="79" s="1"/>
  <c r="G74" i="88" s="1"/>
  <c r="AJ747" i="79"/>
  <c r="AJ757" i="79" s="1"/>
  <c r="AH747" i="79"/>
  <c r="AH757" i="79" s="1"/>
  <c r="AA747" i="79"/>
  <c r="AA757" i="79" s="1"/>
  <c r="E74" i="88" s="1"/>
  <c r="AB747" i="79"/>
  <c r="AB757" i="79" s="1"/>
  <c r="F74" i="88" s="1"/>
  <c r="AK747" i="79"/>
  <c r="AE200" i="79"/>
  <c r="AH132" i="46"/>
  <c r="AG198" i="79"/>
  <c r="AG202" i="79" s="1"/>
  <c r="AE201" i="79"/>
  <c r="AF564" i="79"/>
  <c r="AF568" i="79" s="1"/>
  <c r="Y381" i="79"/>
  <c r="AF198" i="79"/>
  <c r="AF201" i="79" s="1"/>
  <c r="AH381" i="79"/>
  <c r="AH389" i="79" s="1"/>
  <c r="AH519" i="46"/>
  <c r="AG262" i="46"/>
  <c r="AI518" i="46"/>
  <c r="AH517" i="46"/>
  <c r="AG260" i="46"/>
  <c r="AG261" i="46" s="1"/>
  <c r="AI519" i="46"/>
  <c r="AI522" i="46"/>
  <c r="AH522" i="46"/>
  <c r="Y1118" i="79"/>
  <c r="AG389" i="46"/>
  <c r="AG390" i="46"/>
  <c r="AG388" i="46"/>
  <c r="Y1115" i="79"/>
  <c r="AI198" i="79"/>
  <c r="AI199" i="79" s="1"/>
  <c r="AJ198" i="79"/>
  <c r="AJ203" i="79" s="1"/>
  <c r="AK198" i="79"/>
  <c r="AK201" i="79" s="1"/>
  <c r="AL198" i="79"/>
  <c r="AL203" i="79" s="1"/>
  <c r="AH198" i="79"/>
  <c r="AH205" i="79" s="1"/>
  <c r="AA383" i="79"/>
  <c r="AA386" i="79"/>
  <c r="AA387" i="79"/>
  <c r="AA385" i="79"/>
  <c r="AA384" i="79"/>
  <c r="AF132" i="46"/>
  <c r="AJ522" i="46"/>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Y1125" i="79"/>
  <c r="C80" i="88" s="1"/>
  <c r="AF517" i="46"/>
  <c r="AK387" i="46"/>
  <c r="AK389" i="46" s="1"/>
  <c r="AH262" i="46"/>
  <c r="AH387" i="46"/>
  <c r="AH392" i="46" s="1"/>
  <c r="AG132" i="46"/>
  <c r="AF522" i="46"/>
  <c r="AF519" i="46"/>
  <c r="AI381" i="79"/>
  <c r="AI383" i="79" s="1"/>
  <c r="AG522" i="46"/>
  <c r="Y757" i="79"/>
  <c r="C74" i="88" s="1"/>
  <c r="AJ390" i="46"/>
  <c r="AI390" i="46"/>
  <c r="Y202" i="79"/>
  <c r="Y200" i="79"/>
  <c r="Y201" i="79"/>
  <c r="AJ388" i="46"/>
  <c r="AI132" i="46"/>
  <c r="AJ132" i="46"/>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AL132" i="46"/>
  <c r="AK132" i="46"/>
  <c r="AK262" i="46"/>
  <c r="AL262" i="46"/>
  <c r="AL522" i="46"/>
  <c r="AK517" i="46"/>
  <c r="AL390" i="46"/>
  <c r="AL388" i="46"/>
  <c r="AK522" i="46"/>
  <c r="AK260" i="46"/>
  <c r="AK259" i="46"/>
  <c r="AL517" i="46"/>
  <c r="AL260" i="46"/>
  <c r="AL259" i="46"/>
  <c r="AK568" i="79"/>
  <c r="AK566" i="79"/>
  <c r="AK567" i="79"/>
  <c r="AK570" i="79"/>
  <c r="AK569" i="79"/>
  <c r="AK571" i="79"/>
  <c r="AK565" i="79"/>
  <c r="Y260" i="46"/>
  <c r="AC262" i="46"/>
  <c r="AC390" i="46"/>
  <c r="AD390" i="46"/>
  <c r="Z517" i="46"/>
  <c r="I62" i="43"/>
  <c r="AD517" i="46"/>
  <c r="AB517" i="46"/>
  <c r="AA517" i="46"/>
  <c r="AE522" i="46"/>
  <c r="AE517" i="46"/>
  <c r="AC517" i="46"/>
  <c r="AB259" i="46"/>
  <c r="AB261" i="46" s="1"/>
  <c r="AE260" i="46"/>
  <c r="AE261" i="46" s="1"/>
  <c r="AB390" i="46"/>
  <c r="AE262" i="46"/>
  <c r="AD262" i="46"/>
  <c r="AB388" i="46"/>
  <c r="AD259" i="46"/>
  <c r="AD261" i="46" s="1"/>
  <c r="AD392" i="46"/>
  <c r="AA390" i="46"/>
  <c r="AC388" i="46"/>
  <c r="AC260" i="46"/>
  <c r="AC261" i="46" s="1"/>
  <c r="AB262" i="46"/>
  <c r="AA260" i="46"/>
  <c r="AA261" i="46" s="1"/>
  <c r="AA262" i="46"/>
  <c r="Y262" i="46"/>
  <c r="AF392" i="46"/>
  <c r="AG392" i="46"/>
  <c r="AJ392" i="46"/>
  <c r="AI392" i="46"/>
  <c r="AL392" i="46"/>
  <c r="AD132" i="46"/>
  <c r="AA132" i="46"/>
  <c r="AB132" i="46"/>
  <c r="AC132" i="46"/>
  <c r="AE132" i="46"/>
  <c r="AE205" i="79"/>
  <c r="AE392" i="46"/>
  <c r="AE390" i="46"/>
  <c r="AE388" i="46"/>
  <c r="Y132" i="46"/>
  <c r="Y131" i="46"/>
  <c r="Y390" i="46"/>
  <c r="Y199" i="79"/>
  <c r="Y203" i="79"/>
  <c r="Z262" i="46"/>
  <c r="Z260" i="46"/>
  <c r="Z259" i="46"/>
  <c r="Z390" i="46"/>
  <c r="Z388" i="46"/>
  <c r="AC131" i="46"/>
  <c r="AA131" i="46"/>
  <c r="AB131" i="46"/>
  <c r="Z131" i="46"/>
  <c r="Z132" i="46"/>
  <c r="I52" i="43"/>
  <c r="Q59" i="43" l="1"/>
  <c r="P59" i="88"/>
  <c r="J56" i="43"/>
  <c r="I56" i="88"/>
  <c r="Q53" i="43"/>
  <c r="V21" i="47" s="1"/>
  <c r="P53" i="88"/>
  <c r="N62" i="43"/>
  <c r="M62" i="88"/>
  <c r="E77" i="43"/>
  <c r="D77" i="88"/>
  <c r="J59" i="43"/>
  <c r="I59" i="88"/>
  <c r="N59" i="43"/>
  <c r="M59" i="88"/>
  <c r="Q56" i="43"/>
  <c r="P56" i="88"/>
  <c r="P71" i="43"/>
  <c r="O71" i="88"/>
  <c r="O56" i="43"/>
  <c r="N56" i="88"/>
  <c r="O53" i="43"/>
  <c r="T18" i="47" s="1"/>
  <c r="N53" i="88"/>
  <c r="K62" i="43"/>
  <c r="J62" i="88"/>
  <c r="M65" i="43"/>
  <c r="L65" i="88"/>
  <c r="L56" i="43"/>
  <c r="K56" i="88"/>
  <c r="M53" i="43"/>
  <c r="R26" i="47" s="1"/>
  <c r="L53" i="88"/>
  <c r="H74" i="88"/>
  <c r="G80" i="43"/>
  <c r="F80" i="88"/>
  <c r="M80" i="43"/>
  <c r="L80" i="88"/>
  <c r="G77" i="43"/>
  <c r="F77" i="88"/>
  <c r="J77" i="43"/>
  <c r="I77" i="88"/>
  <c r="N77" i="43"/>
  <c r="M77" i="88"/>
  <c r="P62" i="43"/>
  <c r="O62" i="88"/>
  <c r="K56" i="43"/>
  <c r="J56" i="88"/>
  <c r="L77" i="43"/>
  <c r="K77" i="88"/>
  <c r="J65" i="43"/>
  <c r="I65" i="88"/>
  <c r="O59" i="43"/>
  <c r="N59" i="88"/>
  <c r="J62" i="43"/>
  <c r="I62" i="88"/>
  <c r="Q62" i="88" s="1"/>
  <c r="P56" i="43"/>
  <c r="O56" i="88"/>
  <c r="N56" i="43"/>
  <c r="M56" i="88"/>
  <c r="N53" i="43"/>
  <c r="S23" i="47" s="1"/>
  <c r="M53" i="88"/>
  <c r="L62" i="43"/>
  <c r="K62" i="88"/>
  <c r="L53" i="43"/>
  <c r="Q15" i="47" s="1"/>
  <c r="K53" i="88"/>
  <c r="O62" i="43"/>
  <c r="N62" i="88"/>
  <c r="M74" i="43"/>
  <c r="L74" i="88"/>
  <c r="J74" i="43"/>
  <c r="I74" i="88"/>
  <c r="J80" i="43"/>
  <c r="I80" i="88"/>
  <c r="P80" i="43"/>
  <c r="O80" i="88"/>
  <c r="O80" i="43"/>
  <c r="N80" i="88"/>
  <c r="F77" i="43"/>
  <c r="E77" i="88"/>
  <c r="O77" i="43"/>
  <c r="N77" i="88"/>
  <c r="K59" i="43"/>
  <c r="J59" i="88"/>
  <c r="I59" i="43"/>
  <c r="H59" i="88"/>
  <c r="Q62" i="43"/>
  <c r="P62" i="88"/>
  <c r="M56" i="43"/>
  <c r="L56" i="88"/>
  <c r="Q80" i="43"/>
  <c r="P80" i="88"/>
  <c r="J53" i="43"/>
  <c r="I53" i="88"/>
  <c r="I53" i="43"/>
  <c r="H53" i="88"/>
  <c r="L59" i="43"/>
  <c r="K59" i="88"/>
  <c r="I56" i="43"/>
  <c r="H56" i="88"/>
  <c r="Q56" i="88" s="1"/>
  <c r="P53" i="43"/>
  <c r="U17" i="47" s="1"/>
  <c r="O53" i="88"/>
  <c r="M59" i="43"/>
  <c r="L59" i="88"/>
  <c r="K53" i="43"/>
  <c r="P20" i="47" s="1"/>
  <c r="J53" i="88"/>
  <c r="M62" i="43"/>
  <c r="L62" i="88"/>
  <c r="M68" i="43"/>
  <c r="L68" i="88"/>
  <c r="O74" i="43"/>
  <c r="N74" i="88"/>
  <c r="K74" i="43"/>
  <c r="J74" i="88"/>
  <c r="Q74" i="43"/>
  <c r="P74" i="88"/>
  <c r="H80" i="43"/>
  <c r="G80" i="88"/>
  <c r="H77" i="43"/>
  <c r="G77" i="88"/>
  <c r="P77" i="43"/>
  <c r="O77" i="88"/>
  <c r="M77" i="43"/>
  <c r="L77" i="88"/>
  <c r="L68" i="43"/>
  <c r="K68" i="88"/>
  <c r="N71" i="43"/>
  <c r="M71" i="88"/>
  <c r="I55" i="43"/>
  <c r="N37" i="47" s="1"/>
  <c r="H55" i="88"/>
  <c r="C93" i="88"/>
  <c r="J55" i="43"/>
  <c r="I55" i="88"/>
  <c r="L55" i="43"/>
  <c r="K55" i="88"/>
  <c r="E94" i="88"/>
  <c r="E93" i="88"/>
  <c r="E103" i="88" s="1"/>
  <c r="C94" i="88"/>
  <c r="N55" i="43"/>
  <c r="S41" i="47" s="1"/>
  <c r="M55" i="88"/>
  <c r="E96" i="88"/>
  <c r="Q52" i="88"/>
  <c r="O55" i="43"/>
  <c r="T40" i="47" s="1"/>
  <c r="N55" i="88"/>
  <c r="E95" i="88"/>
  <c r="AB570" i="79"/>
  <c r="G46" i="44"/>
  <c r="AB385" i="46" s="1"/>
  <c r="AB392" i="46" s="1"/>
  <c r="G47" i="44"/>
  <c r="AB514" i="46" s="1"/>
  <c r="AB522" i="46" s="1"/>
  <c r="G49" i="44"/>
  <c r="AB379" i="79" s="1"/>
  <c r="AB389" i="79" s="1"/>
  <c r="G48" i="44"/>
  <c r="AB196" i="79" s="1"/>
  <c r="C39" i="45"/>
  <c r="H46" i="44"/>
  <c r="AC385" i="46" s="1"/>
  <c r="AC392" i="46" s="1"/>
  <c r="H49" i="44"/>
  <c r="AC379" i="79" s="1"/>
  <c r="AC389" i="79" s="1"/>
  <c r="H47" i="44"/>
  <c r="AC514" i="46" s="1"/>
  <c r="AC522" i="46" s="1"/>
  <c r="H48" i="44"/>
  <c r="AC196" i="79" s="1"/>
  <c r="AC205" i="79" s="1"/>
  <c r="C46" i="45"/>
  <c r="AM259" i="46"/>
  <c r="Z1125" i="79"/>
  <c r="AM131" i="46"/>
  <c r="C91" i="43" s="1"/>
  <c r="AM262" i="46"/>
  <c r="AM518" i="46"/>
  <c r="AM132" i="46"/>
  <c r="C102" i="43" s="1"/>
  <c r="AM520" i="46"/>
  <c r="AM260" i="46"/>
  <c r="AM519" i="46"/>
  <c r="Y521" i="46"/>
  <c r="AM517" i="46"/>
  <c r="AD568" i="79"/>
  <c r="AH569" i="79"/>
  <c r="AL569" i="79"/>
  <c r="AD565" i="79"/>
  <c r="AI569" i="79"/>
  <c r="R18" i="47"/>
  <c r="R17" i="47"/>
  <c r="R20" i="47"/>
  <c r="R21" i="47"/>
  <c r="R16" i="47"/>
  <c r="AE389" i="79"/>
  <c r="R22" i="47"/>
  <c r="AB200" i="79"/>
  <c r="AD383" i="79"/>
  <c r="AC202" i="79"/>
  <c r="AG570" i="79"/>
  <c r="AA566" i="79"/>
  <c r="AG569" i="79"/>
  <c r="AH565" i="79"/>
  <c r="AA568" i="79"/>
  <c r="AL566" i="79"/>
  <c r="Z386" i="79"/>
  <c r="AC200" i="79"/>
  <c r="AD382" i="79"/>
  <c r="AB203" i="79"/>
  <c r="AD384" i="79"/>
  <c r="AL573" i="79"/>
  <c r="AL565" i="79"/>
  <c r="AB205" i="79"/>
  <c r="AD389" i="79"/>
  <c r="I68" i="43" s="1"/>
  <c r="Z383" i="79"/>
  <c r="AB201" i="79"/>
  <c r="AL567" i="79"/>
  <c r="Z387" i="79"/>
  <c r="AB199" i="79"/>
  <c r="AB385" i="79"/>
  <c r="AK203" i="79"/>
  <c r="AA200" i="79"/>
  <c r="AE385" i="79"/>
  <c r="AB387" i="79"/>
  <c r="AB386" i="79"/>
  <c r="AA203" i="79"/>
  <c r="AI567" i="79"/>
  <c r="AI570" i="79"/>
  <c r="AK202" i="79"/>
  <c r="AI566" i="79"/>
  <c r="AA202" i="79"/>
  <c r="R19" i="47"/>
  <c r="R24" i="47"/>
  <c r="R25" i="47"/>
  <c r="R23" i="47"/>
  <c r="R15" i="47"/>
  <c r="AG573" i="79"/>
  <c r="AB383" i="79"/>
  <c r="AA565" i="79"/>
  <c r="AG571" i="79"/>
  <c r="AA201" i="79"/>
  <c r="AI565" i="79"/>
  <c r="AH566" i="79"/>
  <c r="AB382" i="79"/>
  <c r="AA567" i="79"/>
  <c r="AG566" i="79"/>
  <c r="AH573" i="79"/>
  <c r="AA573" i="79"/>
  <c r="E71" i="88" s="1"/>
  <c r="AA570" i="79"/>
  <c r="AG565" i="79"/>
  <c r="AA569" i="79"/>
  <c r="AG568" i="79"/>
  <c r="AD386" i="79"/>
  <c r="AG200" i="79"/>
  <c r="AK390" i="46"/>
  <c r="AB567" i="79"/>
  <c r="AJ382" i="79"/>
  <c r="AL201" i="79"/>
  <c r="AK389" i="79"/>
  <c r="AG383" i="79"/>
  <c r="AL202" i="79"/>
  <c r="AK383" i="79"/>
  <c r="AL386" i="79"/>
  <c r="AG384" i="79"/>
  <c r="AE566" i="79"/>
  <c r="AK382" i="79"/>
  <c r="Y935" i="79"/>
  <c r="AL384" i="79"/>
  <c r="AH386" i="79"/>
  <c r="AI382" i="79"/>
  <c r="AH387" i="79"/>
  <c r="AG205" i="79"/>
  <c r="AD200" i="79"/>
  <c r="AH382" i="79"/>
  <c r="Y384" i="79"/>
  <c r="AG387" i="79"/>
  <c r="Y386" i="79"/>
  <c r="AK387" i="79"/>
  <c r="AL389" i="79"/>
  <c r="AJ387" i="79"/>
  <c r="AF573" i="79"/>
  <c r="AG386" i="79"/>
  <c r="AL385" i="79"/>
  <c r="AJ383" i="79"/>
  <c r="AB573" i="79"/>
  <c r="F71" i="88" s="1"/>
  <c r="AG199" i="79"/>
  <c r="AB569" i="79"/>
  <c r="AC568" i="79"/>
  <c r="AF386" i="79"/>
  <c r="Y941" i="79"/>
  <c r="C77" i="88" s="1"/>
  <c r="Q19" i="47"/>
  <c r="AC566" i="79"/>
  <c r="Q24" i="47"/>
  <c r="AD205" i="79"/>
  <c r="AD203" i="79"/>
  <c r="AG203" i="79"/>
  <c r="Y937" i="79"/>
  <c r="AI521" i="46"/>
  <c r="AG201" i="79"/>
  <c r="AH521" i="46"/>
  <c r="Q26" i="47"/>
  <c r="AK205" i="79"/>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Z200" i="79"/>
  <c r="F94" i="88" s="1"/>
  <c r="AJ573" i="79"/>
  <c r="AB566" i="79"/>
  <c r="AJ565" i="79"/>
  <c r="AF565" i="79"/>
  <c r="Y931" i="79"/>
  <c r="AJ385" i="79"/>
  <c r="Y566" i="79"/>
  <c r="AB565" i="79"/>
  <c r="AJ569" i="79"/>
  <c r="AF567" i="79"/>
  <c r="AD570" i="79"/>
  <c r="Y938" i="79"/>
  <c r="AC383" i="79"/>
  <c r="AE565" i="79"/>
  <c r="AF202" i="79"/>
  <c r="Q31" i="47"/>
  <c r="AE573" i="79"/>
  <c r="Q17" i="47"/>
  <c r="AK200" i="79"/>
  <c r="AL571" i="79"/>
  <c r="Z203" i="79"/>
  <c r="Z385" i="79"/>
  <c r="AC565" i="79"/>
  <c r="AC199" i="79"/>
  <c r="AC387" i="79"/>
  <c r="AF382" i="79"/>
  <c r="AE570" i="79"/>
  <c r="AD566" i="79"/>
  <c r="AI571" i="79"/>
  <c r="AI568" i="79"/>
  <c r="AC386" i="79"/>
  <c r="Q21" i="47"/>
  <c r="AL570" i="79"/>
  <c r="AC573" i="79"/>
  <c r="G71" i="88" s="1"/>
  <c r="Y565" i="79"/>
  <c r="Z382" i="79"/>
  <c r="AC203" i="79"/>
  <c r="AC382" i="79"/>
  <c r="AF385" i="79"/>
  <c r="AD567" i="79"/>
  <c r="Y939" i="79"/>
  <c r="AK199" i="79"/>
  <c r="AF389" i="79"/>
  <c r="AG521" i="46"/>
  <c r="AF261" i="46"/>
  <c r="AC569" i="79"/>
  <c r="AE571" i="79"/>
  <c r="AD387" i="79"/>
  <c r="AC384" i="79"/>
  <c r="AE568" i="79"/>
  <c r="AC571" i="79"/>
  <c r="AE569" i="79"/>
  <c r="AD571" i="79"/>
  <c r="Y573" i="79"/>
  <c r="C71" i="88" s="1"/>
  <c r="AH571" i="79"/>
  <c r="AH570" i="79"/>
  <c r="AH567" i="79"/>
  <c r="AA1120" i="79"/>
  <c r="AA1119" i="79"/>
  <c r="AA1117" i="79"/>
  <c r="AA1115" i="79"/>
  <c r="AA1122" i="79"/>
  <c r="AA1114" i="79"/>
  <c r="AA1121" i="79"/>
  <c r="AA1123" i="79"/>
  <c r="AA1118" i="79"/>
  <c r="AA1116" i="79"/>
  <c r="AI387" i="79"/>
  <c r="Z570" i="79"/>
  <c r="Z565" i="79"/>
  <c r="Z567" i="79"/>
  <c r="Z573" i="79"/>
  <c r="D71" i="88"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AK388" i="46"/>
  <c r="AL205" i="79"/>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AA749" i="79"/>
  <c r="AA751" i="79"/>
  <c r="AA750" i="79"/>
  <c r="AA748" i="79"/>
  <c r="AA754" i="79"/>
  <c r="AA755" i="79"/>
  <c r="AA753" i="79"/>
  <c r="AA752" i="79"/>
  <c r="AI754" i="79"/>
  <c r="AI752" i="79"/>
  <c r="AI755" i="79"/>
  <c r="AI748" i="79"/>
  <c r="AI753" i="79"/>
  <c r="AI750" i="79"/>
  <c r="AI751" i="79"/>
  <c r="AI749" i="79"/>
  <c r="AD202" i="79"/>
  <c r="AD19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Y568" i="79"/>
  <c r="Y569" i="79"/>
  <c r="Y571" i="79"/>
  <c r="Z937" i="79"/>
  <c r="Z931" i="79"/>
  <c r="Z938" i="79"/>
  <c r="Z933" i="79"/>
  <c r="Z939" i="79"/>
  <c r="Z936" i="79"/>
  <c r="Z934" i="79"/>
  <c r="Z935" i="79"/>
  <c r="Z932" i="79"/>
  <c r="AI389" i="79"/>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AK757"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G93" i="88" s="1"/>
  <c r="AA1125" i="79"/>
  <c r="AD757" i="79"/>
  <c r="I74" i="43" s="1"/>
  <c r="AC753" i="79"/>
  <c r="AC751" i="79"/>
  <c r="AC750" i="79"/>
  <c r="AC752" i="79"/>
  <c r="AC754" i="79"/>
  <c r="AC755" i="79"/>
  <c r="AC748" i="79"/>
  <c r="AC749" i="79"/>
  <c r="AI1125" i="79"/>
  <c r="AF1125" i="79"/>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AH935" i="79"/>
  <c r="AH933" i="79"/>
  <c r="AH932" i="79"/>
  <c r="AH936" i="79"/>
  <c r="AH937" i="79"/>
  <c r="AH931" i="79"/>
  <c r="AH938" i="79"/>
  <c r="AH939" i="79"/>
  <c r="AH934" i="79"/>
  <c r="P15" i="47"/>
  <c r="AI205" i="79"/>
  <c r="AF391" i="46"/>
  <c r="AJ521" i="46"/>
  <c r="AF521" i="46"/>
  <c r="AH261" i="46"/>
  <c r="AA388" i="79"/>
  <c r="AG391" i="46"/>
  <c r="D80" i="43"/>
  <c r="Y1124" i="79"/>
  <c r="P17" i="47"/>
  <c r="P18" i="47"/>
  <c r="AJ202" i="79"/>
  <c r="AI200" i="79"/>
  <c r="P21" i="47"/>
  <c r="P24" i="47"/>
  <c r="Q22" i="47"/>
  <c r="Q25" i="47"/>
  <c r="AL200" i="79"/>
  <c r="AI202" i="79"/>
  <c r="AH389" i="46"/>
  <c r="E92" i="43" s="1"/>
  <c r="AH390" i="46"/>
  <c r="AH388" i="46"/>
  <c r="D93" i="88" s="1"/>
  <c r="P19" i="47"/>
  <c r="AJ200" i="79"/>
  <c r="P22" i="47"/>
  <c r="Q23" i="47"/>
  <c r="AI203" i="79"/>
  <c r="P16" i="47"/>
  <c r="P25" i="47"/>
  <c r="P23" i="47"/>
  <c r="Q18" i="47"/>
  <c r="Q16" i="47"/>
  <c r="AL199" i="79"/>
  <c r="AJ199" i="79"/>
  <c r="AJ201" i="79"/>
  <c r="Y756" i="79"/>
  <c r="C73" i="88" s="1"/>
  <c r="AI201" i="79"/>
  <c r="P26" i="47"/>
  <c r="Q20" i="47"/>
  <c r="AJ205" i="79"/>
  <c r="AH203" i="79"/>
  <c r="AH201" i="79"/>
  <c r="AH199" i="79"/>
  <c r="AH200" i="79"/>
  <c r="AH202" i="79"/>
  <c r="AI391" i="46"/>
  <c r="T24" i="47"/>
  <c r="T17" i="47"/>
  <c r="T19" i="47"/>
  <c r="T16" i="47"/>
  <c r="T22" i="47"/>
  <c r="S20" i="47"/>
  <c r="T21" i="47"/>
  <c r="T15" i="47"/>
  <c r="AJ391" i="46"/>
  <c r="S24" i="47"/>
  <c r="T26" i="47"/>
  <c r="T20" i="47"/>
  <c r="T23" i="47"/>
  <c r="T25" i="47"/>
  <c r="S26" i="47"/>
  <c r="S17" i="47"/>
  <c r="S19" i="47"/>
  <c r="S21" i="47"/>
  <c r="S18" i="47"/>
  <c r="S15" i="47"/>
  <c r="S25" i="47"/>
  <c r="S16" i="47"/>
  <c r="S22" i="47"/>
  <c r="V18" i="47"/>
  <c r="Y204" i="79"/>
  <c r="V16" i="47"/>
  <c r="V20" i="47"/>
  <c r="V23" i="47"/>
  <c r="V25" i="47"/>
  <c r="V15" i="47"/>
  <c r="F92" i="43"/>
  <c r="V26" i="47"/>
  <c r="V24" i="47"/>
  <c r="V19" i="47"/>
  <c r="V17" i="47"/>
  <c r="V22" i="47"/>
  <c r="D91" i="43"/>
  <c r="Y261" i="46"/>
  <c r="D92" i="43"/>
  <c r="F91" i="43"/>
  <c r="R56" i="43"/>
  <c r="U20" i="47"/>
  <c r="U22" i="47"/>
  <c r="U23" i="47"/>
  <c r="U16" i="47"/>
  <c r="U15" i="47"/>
  <c r="U24" i="47"/>
  <c r="U25" i="47"/>
  <c r="U18" i="47"/>
  <c r="U26" i="47"/>
  <c r="U19" i="47"/>
  <c r="U21" i="47"/>
  <c r="Q34" i="47"/>
  <c r="Q40" i="47"/>
  <c r="Q41" i="47"/>
  <c r="Q36" i="47"/>
  <c r="Q30" i="47"/>
  <c r="Q35" i="47"/>
  <c r="Q37" i="47"/>
  <c r="Q38" i="47"/>
  <c r="Q39" i="47"/>
  <c r="Q33" i="47"/>
  <c r="Q32" i="47"/>
  <c r="S30" i="47"/>
  <c r="T31" i="47"/>
  <c r="S38" i="47"/>
  <c r="AK521" i="46"/>
  <c r="T36" i="47"/>
  <c r="AL261" i="46"/>
  <c r="AK261" i="46"/>
  <c r="T35" i="47"/>
  <c r="T39" i="47"/>
  <c r="T30" i="47"/>
  <c r="AL391" i="46"/>
  <c r="T34" i="47"/>
  <c r="AK572" i="79"/>
  <c r="AA391" i="46"/>
  <c r="AL521" i="46"/>
  <c r="AC391" i="46"/>
  <c r="AE521" i="46"/>
  <c r="AD391" i="46"/>
  <c r="AB521" i="46"/>
  <c r="AD521" i="46"/>
  <c r="AA521" i="46"/>
  <c r="AC521" i="46"/>
  <c r="Z521" i="46"/>
  <c r="AB391" i="46"/>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3" i="47"/>
  <c r="N20" i="47"/>
  <c r="N26" i="47"/>
  <c r="N15" i="47"/>
  <c r="N32" i="47"/>
  <c r="N36"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Z391" i="46"/>
  <c r="Z261" i="46"/>
  <c r="Y391" i="46"/>
  <c r="J52" i="43"/>
  <c r="K101" i="88" l="1"/>
  <c r="K102" i="88"/>
  <c r="L102" i="88" s="1"/>
  <c r="H99" i="88"/>
  <c r="K77" i="43"/>
  <c r="J77" i="88"/>
  <c r="K100" i="88"/>
  <c r="I97" i="88"/>
  <c r="F95" i="88"/>
  <c r="Q68" i="43"/>
  <c r="P68" i="88"/>
  <c r="P68" i="43"/>
  <c r="O68" i="88"/>
  <c r="M71" i="43"/>
  <c r="L71" i="88"/>
  <c r="F96" i="88"/>
  <c r="Q71" i="43"/>
  <c r="P71" i="88"/>
  <c r="Q53" i="88"/>
  <c r="Q65" i="43"/>
  <c r="P65" i="88"/>
  <c r="K98" i="88"/>
  <c r="I93" i="88"/>
  <c r="K96" i="88"/>
  <c r="N39" i="47"/>
  <c r="N38" i="47"/>
  <c r="N35" i="47"/>
  <c r="T38" i="47"/>
  <c r="T33" i="47"/>
  <c r="N74" i="43"/>
  <c r="M74" i="88"/>
  <c r="N80" i="43"/>
  <c r="M80" i="88"/>
  <c r="K95" i="88"/>
  <c r="I95" i="88"/>
  <c r="H95" i="88"/>
  <c r="K68" i="43"/>
  <c r="J68" i="88"/>
  <c r="O68" i="43"/>
  <c r="N68" i="88"/>
  <c r="P65" i="43"/>
  <c r="O65" i="88"/>
  <c r="I65" i="43"/>
  <c r="H65" i="88"/>
  <c r="H77" i="88"/>
  <c r="J68" i="43"/>
  <c r="I68" i="88"/>
  <c r="E80" i="43"/>
  <c r="D80" i="88"/>
  <c r="D94" i="88"/>
  <c r="D103" i="88" s="1"/>
  <c r="K80" i="43"/>
  <c r="J80" i="88"/>
  <c r="L80" i="43"/>
  <c r="K80" i="88"/>
  <c r="D95" i="88"/>
  <c r="L74" i="43"/>
  <c r="K74" i="88"/>
  <c r="P59" i="43"/>
  <c r="O59" i="88"/>
  <c r="K97" i="88"/>
  <c r="K94" i="88"/>
  <c r="I94" i="88"/>
  <c r="I99" i="88"/>
  <c r="H71" i="88"/>
  <c r="F93" i="88"/>
  <c r="K71" i="43"/>
  <c r="J71" i="88"/>
  <c r="L71" i="43"/>
  <c r="K71" i="88"/>
  <c r="H68" i="43"/>
  <c r="G68" i="88"/>
  <c r="G68" i="43"/>
  <c r="F68" i="88"/>
  <c r="Q59" i="88"/>
  <c r="N65" i="43"/>
  <c r="M65" i="88"/>
  <c r="N68" i="43"/>
  <c r="M68" i="88"/>
  <c r="N41" i="47"/>
  <c r="N34" i="47"/>
  <c r="T41" i="47"/>
  <c r="T32" i="47"/>
  <c r="T37" i="47"/>
  <c r="O65" i="43"/>
  <c r="N65" i="88"/>
  <c r="F80" i="43"/>
  <c r="E80" i="88"/>
  <c r="P74" i="43"/>
  <c r="O74" i="88"/>
  <c r="J94" i="88"/>
  <c r="Q77" i="43"/>
  <c r="P77" i="88"/>
  <c r="K65" i="43"/>
  <c r="J65" i="88"/>
  <c r="K93" i="88"/>
  <c r="K103" i="88" s="1"/>
  <c r="K99" i="88"/>
  <c r="I98" i="88"/>
  <c r="I96" i="88"/>
  <c r="J101" i="88"/>
  <c r="L101" i="88" s="1"/>
  <c r="F97" i="88"/>
  <c r="J71" i="43"/>
  <c r="I71" i="88"/>
  <c r="O71" i="43"/>
  <c r="N71" i="88"/>
  <c r="L65" i="43"/>
  <c r="K65" i="88"/>
  <c r="D102" i="43"/>
  <c r="C104" i="88"/>
  <c r="F103" i="88"/>
  <c r="J58" i="43"/>
  <c r="I58" i="88"/>
  <c r="J61" i="43"/>
  <c r="O67" i="47" s="1"/>
  <c r="I61" i="88"/>
  <c r="P70" i="43"/>
  <c r="O70" i="88"/>
  <c r="S37" i="47"/>
  <c r="S34" i="47"/>
  <c r="S40" i="47"/>
  <c r="S32" i="47"/>
  <c r="N58" i="43"/>
  <c r="S56" i="47" s="1"/>
  <c r="M58" i="88"/>
  <c r="F67" i="43"/>
  <c r="E67" i="88"/>
  <c r="K58" i="43"/>
  <c r="J58" i="88"/>
  <c r="J98" i="88"/>
  <c r="G94" i="88"/>
  <c r="G98" i="88"/>
  <c r="H97" i="88"/>
  <c r="I100" i="88"/>
  <c r="I103" i="88" s="1"/>
  <c r="H93" i="88"/>
  <c r="H94" i="88"/>
  <c r="N61" i="43"/>
  <c r="M61" i="88"/>
  <c r="J64" i="43"/>
  <c r="O82" i="47" s="1"/>
  <c r="I64" i="88"/>
  <c r="L58" i="43"/>
  <c r="K58" i="88"/>
  <c r="J100" i="88"/>
  <c r="G95" i="88"/>
  <c r="J97" i="88"/>
  <c r="I61" i="43"/>
  <c r="H61" i="88"/>
  <c r="P55" i="43"/>
  <c r="U31" i="47" s="1"/>
  <c r="O55" i="88"/>
  <c r="P61" i="43"/>
  <c r="O61" i="88"/>
  <c r="S33" i="47"/>
  <c r="S36" i="47"/>
  <c r="S39" i="47"/>
  <c r="D79" i="43"/>
  <c r="C79" i="88"/>
  <c r="M55" i="43"/>
  <c r="R30" i="47" s="1"/>
  <c r="L55" i="88"/>
  <c r="G96" i="88"/>
  <c r="H96" i="88"/>
  <c r="J99" i="88"/>
  <c r="L99" i="88" s="1"/>
  <c r="G97" i="88"/>
  <c r="I58" i="43"/>
  <c r="N51" i="47" s="1"/>
  <c r="H58" i="88"/>
  <c r="O58" i="43"/>
  <c r="N58" i="88"/>
  <c r="O61" i="43"/>
  <c r="N61" i="88"/>
  <c r="J96" i="88"/>
  <c r="L61" i="43"/>
  <c r="K61" i="88"/>
  <c r="Q61" i="43"/>
  <c r="P61" i="88"/>
  <c r="Q58" i="43"/>
  <c r="P58" i="88"/>
  <c r="Q55" i="43"/>
  <c r="V39" i="47" s="1"/>
  <c r="P55" i="88"/>
  <c r="S35" i="47"/>
  <c r="S31" i="47"/>
  <c r="K61" i="43"/>
  <c r="J61" i="88"/>
  <c r="H98" i="88"/>
  <c r="K55" i="43"/>
  <c r="P39" i="47" s="1"/>
  <c r="J55" i="88"/>
  <c r="Q55" i="88" s="1"/>
  <c r="J93" i="88"/>
  <c r="L93" i="88" s="1"/>
  <c r="J95" i="88"/>
  <c r="M61" i="43"/>
  <c r="L61" i="88"/>
  <c r="C103" i="88"/>
  <c r="M45" i="47"/>
  <c r="D49" i="44"/>
  <c r="Y379" i="79" s="1"/>
  <c r="Y389" i="79" s="1"/>
  <c r="D47" i="44"/>
  <c r="Y514" i="46" s="1"/>
  <c r="Y522" i="46" s="1"/>
  <c r="D48" i="44"/>
  <c r="Y196" i="79" s="1"/>
  <c r="Y205" i="79" s="1"/>
  <c r="D46" i="44"/>
  <c r="Y385" i="46" s="1"/>
  <c r="Y392" i="46" s="1"/>
  <c r="C18" i="45"/>
  <c r="F46" i="44"/>
  <c r="AA385" i="46" s="1"/>
  <c r="AA392" i="46" s="1"/>
  <c r="F49" i="44"/>
  <c r="AA379" i="79" s="1"/>
  <c r="AA389" i="79" s="1"/>
  <c r="F48" i="44"/>
  <c r="AA196" i="79" s="1"/>
  <c r="AA205" i="79" s="1"/>
  <c r="F47" i="44"/>
  <c r="AA514" i="46" s="1"/>
  <c r="AA522" i="46" s="1"/>
  <c r="C32" i="45"/>
  <c r="E49" i="44"/>
  <c r="Z379" i="79" s="1"/>
  <c r="Z389" i="79" s="1"/>
  <c r="E48" i="44"/>
  <c r="Z196" i="79" s="1"/>
  <c r="Z205" i="79" s="1"/>
  <c r="E46" i="44"/>
  <c r="Z385" i="46" s="1"/>
  <c r="Z392" i="46" s="1"/>
  <c r="E47" i="44"/>
  <c r="Z514" i="46" s="1"/>
  <c r="Z522" i="46" s="1"/>
  <c r="C25" i="45"/>
  <c r="R53"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AM935" i="79"/>
  <c r="AM387" i="79"/>
  <c r="AM568" i="79"/>
  <c r="R71" i="43"/>
  <c r="AM573" i="79"/>
  <c r="AM521" i="46"/>
  <c r="AM565" i="79"/>
  <c r="AM937" i="79"/>
  <c r="AM569" i="79"/>
  <c r="AK391" i="46"/>
  <c r="AM386" i="79"/>
  <c r="AM385" i="79"/>
  <c r="AM570" i="79"/>
  <c r="AM931" i="79"/>
  <c r="AM933" i="79"/>
  <c r="AM1125" i="79"/>
  <c r="AM936" i="79"/>
  <c r="AM755" i="79"/>
  <c r="AM939" i="79"/>
  <c r="AM938" i="79"/>
  <c r="AM757" i="79"/>
  <c r="D101" i="43"/>
  <c r="C101" i="43"/>
  <c r="AB204" i="79"/>
  <c r="L81" i="47" s="1"/>
  <c r="AL572" i="79"/>
  <c r="E93" i="43"/>
  <c r="Z388" i="79"/>
  <c r="AA204" i="79"/>
  <c r="AG572" i="79"/>
  <c r="AB388" i="79"/>
  <c r="AA572" i="79"/>
  <c r="E70" i="88" s="1"/>
  <c r="R27" i="47"/>
  <c r="R29" i="47" s="1"/>
  <c r="P37" i="47"/>
  <c r="AG388" i="79"/>
  <c r="AH388" i="79"/>
  <c r="AB572" i="79"/>
  <c r="F70" i="88" s="1"/>
  <c r="AI572" i="79"/>
  <c r="AJ388" i="79"/>
  <c r="AL388" i="79"/>
  <c r="H95" i="43"/>
  <c r="AD204" i="79"/>
  <c r="K93" i="43"/>
  <c r="AF388" i="79"/>
  <c r="AJ572" i="79"/>
  <c r="P54" i="47"/>
  <c r="AF572" i="79"/>
  <c r="AF204" i="79"/>
  <c r="AK388" i="79"/>
  <c r="AG204" i="79"/>
  <c r="AK204" i="79"/>
  <c r="Z204" i="79"/>
  <c r="Y940" i="79"/>
  <c r="H92" i="43"/>
  <c r="H94" i="43"/>
  <c r="AI204" i="79"/>
  <c r="AE572" i="79"/>
  <c r="AD572" i="79"/>
  <c r="I70" i="43" s="1"/>
  <c r="K92" i="43"/>
  <c r="AH572" i="79"/>
  <c r="AC388" i="79"/>
  <c r="I97" i="43"/>
  <c r="H91" i="43"/>
  <c r="H96" i="43"/>
  <c r="AI1124" i="79"/>
  <c r="AB1124" i="79"/>
  <c r="J97" i="43"/>
  <c r="I93" i="43"/>
  <c r="K99" i="43"/>
  <c r="R74" i="43"/>
  <c r="J96" i="43"/>
  <c r="AC204" i="79"/>
  <c r="AC572" i="79"/>
  <c r="G70" i="88" s="1"/>
  <c r="K95" i="43"/>
  <c r="L98" i="43"/>
  <c r="J95" i="43"/>
  <c r="P47" i="47"/>
  <c r="AD388" i="79"/>
  <c r="I67" i="43" s="1"/>
  <c r="AD1124" i="79"/>
  <c r="I79" i="43" s="1"/>
  <c r="AF940" i="79"/>
  <c r="I91" i="43"/>
  <c r="P36" i="47"/>
  <c r="H93" i="43"/>
  <c r="AG940" i="79"/>
  <c r="AI388" i="79"/>
  <c r="I96" i="43"/>
  <c r="L92" i="43"/>
  <c r="P52" i="47"/>
  <c r="J94" i="43"/>
  <c r="L93" i="43"/>
  <c r="K91" i="43"/>
  <c r="L100" i="43"/>
  <c r="M100" i="43" s="1"/>
  <c r="I92" i="43"/>
  <c r="AE388" i="79"/>
  <c r="Z572" i="79"/>
  <c r="D70" i="88" s="1"/>
  <c r="AH940" i="79"/>
  <c r="K97" i="43"/>
  <c r="AD756" i="79"/>
  <c r="I73" i="43" s="1"/>
  <c r="J91" i="43"/>
  <c r="AE940" i="79"/>
  <c r="AL1124" i="79"/>
  <c r="AK756" i="79"/>
  <c r="L91" i="43"/>
  <c r="Z1124" i="79"/>
  <c r="G95" i="43"/>
  <c r="AH1124" i="79"/>
  <c r="AF1124" i="79"/>
  <c r="AC940" i="79"/>
  <c r="AG1124" i="79"/>
  <c r="L96" i="43"/>
  <c r="Z756" i="79"/>
  <c r="D73" i="88" s="1"/>
  <c r="J92" i="43"/>
  <c r="L95" i="43"/>
  <c r="AL756" i="79"/>
  <c r="AF756" i="79"/>
  <c r="AD940" i="79"/>
  <c r="I76" i="43" s="1"/>
  <c r="J93" i="43"/>
  <c r="I94" i="43"/>
  <c r="Y572" i="79"/>
  <c r="C70" i="88" s="1"/>
  <c r="AC756" i="79"/>
  <c r="G73" i="88" s="1"/>
  <c r="K98" i="43"/>
  <c r="AK1124" i="79"/>
  <c r="AJ1124" i="79"/>
  <c r="AI756" i="79"/>
  <c r="AA756" i="79"/>
  <c r="E73" i="88" s="1"/>
  <c r="I95" i="43"/>
  <c r="K94" i="43"/>
  <c r="Y388" i="79"/>
  <c r="L97" i="43"/>
  <c r="R80" i="43"/>
  <c r="AJ940" i="79"/>
  <c r="K96" i="43"/>
  <c r="AE1124" i="79"/>
  <c r="AE756" i="79"/>
  <c r="Z940" i="79"/>
  <c r="AL940" i="79"/>
  <c r="L99" i="43"/>
  <c r="AA940" i="79"/>
  <c r="AC1124" i="79"/>
  <c r="AI940" i="79"/>
  <c r="AB940" i="79"/>
  <c r="AJ756" i="79"/>
  <c r="AH756" i="79"/>
  <c r="AK940" i="79"/>
  <c r="AG756" i="79"/>
  <c r="AB756" i="79"/>
  <c r="F73" i="88" s="1"/>
  <c r="L94" i="43"/>
  <c r="J98" i="43"/>
  <c r="AA1124" i="79"/>
  <c r="AH391" i="46"/>
  <c r="T63" i="47"/>
  <c r="Q61" i="47"/>
  <c r="P67" i="47"/>
  <c r="P70" i="47"/>
  <c r="R38" i="47"/>
  <c r="T47" i="47"/>
  <c r="P63" i="47"/>
  <c r="AJ204" i="79"/>
  <c r="Q27" i="47"/>
  <c r="Q29" i="47" s="1"/>
  <c r="Q42" i="47" s="1"/>
  <c r="Q44" i="47" s="1"/>
  <c r="P27" i="47"/>
  <c r="P29" i="47" s="1"/>
  <c r="Q60" i="47"/>
  <c r="Q67" i="47"/>
  <c r="Q69" i="47"/>
  <c r="Q50" i="47"/>
  <c r="Q71" i="47"/>
  <c r="R41" i="47"/>
  <c r="AL204" i="79"/>
  <c r="Q47" i="47"/>
  <c r="Q52" i="47"/>
  <c r="E91" i="43"/>
  <c r="Q65" i="47"/>
  <c r="Q45" i="47"/>
  <c r="Q62" i="47"/>
  <c r="G92" i="43"/>
  <c r="Q54" i="47"/>
  <c r="Q48" i="47"/>
  <c r="Q70" i="47"/>
  <c r="Q64" i="47"/>
  <c r="Q63" i="47"/>
  <c r="Q66" i="47"/>
  <c r="Q56" i="47"/>
  <c r="Q49" i="47"/>
  <c r="Q53" i="47"/>
  <c r="Q55" i="47"/>
  <c r="G93" i="43"/>
  <c r="Q51" i="47"/>
  <c r="Q68" i="47"/>
  <c r="Q46" i="47"/>
  <c r="G94" i="43"/>
  <c r="AH204" i="79"/>
  <c r="G91" i="43"/>
  <c r="S71" i="47"/>
  <c r="T71" i="47"/>
  <c r="T61" i="47"/>
  <c r="T66" i="47"/>
  <c r="S46" i="47"/>
  <c r="S45" i="47"/>
  <c r="S65" i="47"/>
  <c r="S54"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94" i="43"/>
  <c r="F9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R52" i="43"/>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39" i="47"/>
  <c r="O22" i="47"/>
  <c r="O38" i="47"/>
  <c r="J19" i="47"/>
  <c r="O45" i="47"/>
  <c r="O16" i="47"/>
  <c r="O46" i="47"/>
  <c r="O48" i="47"/>
  <c r="O19" i="47"/>
  <c r="O23" i="47"/>
  <c r="O41" i="47"/>
  <c r="O52" i="47"/>
  <c r="O17" i="47"/>
  <c r="O40" i="47"/>
  <c r="O61" i="47"/>
  <c r="O35" i="47"/>
  <c r="O50" i="47"/>
  <c r="O49" i="47"/>
  <c r="J16" i="47"/>
  <c r="O20" i="47"/>
  <c r="O32" i="47"/>
  <c r="O83" i="47"/>
  <c r="I30" i="47"/>
  <c r="I15" i="47"/>
  <c r="J24" i="47"/>
  <c r="J20" i="47"/>
  <c r="J26" i="47"/>
  <c r="O25" i="47"/>
  <c r="O18" i="47"/>
  <c r="O24" i="47"/>
  <c r="O54" i="47"/>
  <c r="O33" i="47"/>
  <c r="O31" i="47"/>
  <c r="O36" i="47"/>
  <c r="O37" i="47"/>
  <c r="O76" i="47"/>
  <c r="O30" i="47"/>
  <c r="O77" i="47"/>
  <c r="J17" i="47"/>
  <c r="J25" i="47"/>
  <c r="J22" i="47"/>
  <c r="O15" i="47"/>
  <c r="O26" i="47"/>
  <c r="O21" i="47"/>
  <c r="O78"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Q77" i="88" l="1"/>
  <c r="Q71" i="88"/>
  <c r="Q74" i="88"/>
  <c r="G103" i="88"/>
  <c r="T42" i="47"/>
  <c r="T44" i="47" s="1"/>
  <c r="J102" i="43"/>
  <c r="I104" i="88"/>
  <c r="I102" i="43"/>
  <c r="H104" i="88"/>
  <c r="L97" i="88"/>
  <c r="L100" i="88"/>
  <c r="H80" i="88"/>
  <c r="Q80" i="88" s="1"/>
  <c r="L102" i="43"/>
  <c r="K104" i="88"/>
  <c r="K102" i="43"/>
  <c r="J104" i="88"/>
  <c r="D68" i="43"/>
  <c r="C68" i="88"/>
  <c r="L95" i="88"/>
  <c r="L94" i="88"/>
  <c r="L98" i="88"/>
  <c r="Q65" i="88"/>
  <c r="H73" i="88"/>
  <c r="E68" i="43"/>
  <c r="D68" i="88"/>
  <c r="F68" i="43"/>
  <c r="E68" i="88"/>
  <c r="L96" i="88"/>
  <c r="S42" i="47"/>
  <c r="S44" i="47" s="1"/>
  <c r="F79" i="43"/>
  <c r="E79" i="88"/>
  <c r="G76" i="43"/>
  <c r="F76" i="88"/>
  <c r="L79" i="43"/>
  <c r="K79" i="88"/>
  <c r="Q79" i="43"/>
  <c r="P79" i="88"/>
  <c r="G79" i="43"/>
  <c r="F79" i="88"/>
  <c r="O71" i="47"/>
  <c r="O86" i="47"/>
  <c r="O63" i="47"/>
  <c r="O81" i="47"/>
  <c r="O80" i="47"/>
  <c r="O64" i="47"/>
  <c r="R61" i="43"/>
  <c r="S51" i="47"/>
  <c r="S52" i="47"/>
  <c r="S69" i="47"/>
  <c r="S68" i="47"/>
  <c r="S63" i="47"/>
  <c r="S49" i="47"/>
  <c r="S48" i="47"/>
  <c r="R36" i="47"/>
  <c r="O64" i="43"/>
  <c r="T75" i="47" s="1"/>
  <c r="N64" i="88"/>
  <c r="P60" i="47"/>
  <c r="P64" i="47"/>
  <c r="P71" i="47"/>
  <c r="P69" i="47"/>
  <c r="S60" i="47"/>
  <c r="P76" i="43"/>
  <c r="O76" i="88"/>
  <c r="N76" i="43"/>
  <c r="M76" i="88"/>
  <c r="Q76" i="43"/>
  <c r="P76" i="88"/>
  <c r="D67" i="43"/>
  <c r="C67" i="88"/>
  <c r="N73" i="43"/>
  <c r="M73" i="88"/>
  <c r="H76" i="43"/>
  <c r="G76" i="88"/>
  <c r="E79" i="43"/>
  <c r="D79" i="88"/>
  <c r="J76" i="43"/>
  <c r="I76" i="88"/>
  <c r="M76" i="43"/>
  <c r="L76" i="88"/>
  <c r="P46" i="47"/>
  <c r="L76" i="43"/>
  <c r="K76" i="88"/>
  <c r="P53" i="47"/>
  <c r="P50" i="47"/>
  <c r="N79" i="43"/>
  <c r="M79" i="88"/>
  <c r="P51" i="47"/>
  <c r="P64" i="43"/>
  <c r="O64" i="88"/>
  <c r="P67" i="43"/>
  <c r="O67" i="88"/>
  <c r="O70" i="43"/>
  <c r="N70" i="88"/>
  <c r="P48" i="47"/>
  <c r="N70" i="43"/>
  <c r="M70" i="88"/>
  <c r="P32" i="47"/>
  <c r="P30" i="47"/>
  <c r="L70" i="43"/>
  <c r="K70" i="88"/>
  <c r="Q70" i="43"/>
  <c r="P70" i="88"/>
  <c r="H103" i="88"/>
  <c r="E85" i="88"/>
  <c r="AA67" i="88"/>
  <c r="J79" i="43"/>
  <c r="I79" i="88"/>
  <c r="O66" i="47"/>
  <c r="S53" i="47"/>
  <c r="S61" i="47"/>
  <c r="S64" i="47"/>
  <c r="S66" i="47"/>
  <c r="S50" i="47"/>
  <c r="R32" i="47"/>
  <c r="Q64" i="43"/>
  <c r="P64" i="88"/>
  <c r="R40" i="47"/>
  <c r="P65" i="47"/>
  <c r="R37" i="47"/>
  <c r="P68" i="47"/>
  <c r="R31" i="47"/>
  <c r="P66" i="47"/>
  <c r="M73" i="43"/>
  <c r="L73" i="88"/>
  <c r="H79" i="43"/>
  <c r="G79" i="88"/>
  <c r="E76" i="43"/>
  <c r="D76" i="88"/>
  <c r="O76" i="43"/>
  <c r="N76" i="88"/>
  <c r="O79" i="43"/>
  <c r="N79" i="88"/>
  <c r="K73" i="43"/>
  <c r="J73" i="88"/>
  <c r="K79" i="43"/>
  <c r="J79" i="88"/>
  <c r="H70" i="88"/>
  <c r="P49" i="47"/>
  <c r="P38" i="47"/>
  <c r="P55" i="47"/>
  <c r="H67" i="43"/>
  <c r="G67" i="88"/>
  <c r="P40" i="47"/>
  <c r="K64" i="43"/>
  <c r="P83" i="47" s="1"/>
  <c r="J64" i="88"/>
  <c r="K67" i="43"/>
  <c r="J67" i="88"/>
  <c r="P56" i="47"/>
  <c r="J103" i="88"/>
  <c r="Q61" i="88"/>
  <c r="AB67" i="43"/>
  <c r="L73" i="43"/>
  <c r="K73" i="88"/>
  <c r="N67" i="43"/>
  <c r="M67" i="88"/>
  <c r="N64" i="43"/>
  <c r="M64" i="88"/>
  <c r="L64" i="43"/>
  <c r="K64" i="88"/>
  <c r="I64" i="43"/>
  <c r="H64" i="88"/>
  <c r="O67" i="43"/>
  <c r="N67" i="88"/>
  <c r="L67" i="43"/>
  <c r="K67" i="88"/>
  <c r="G67" i="43"/>
  <c r="F67" i="88"/>
  <c r="P58" i="43"/>
  <c r="U47" i="47" s="1"/>
  <c r="O58" i="88"/>
  <c r="O79" i="47"/>
  <c r="O85" i="47"/>
  <c r="O84" i="47"/>
  <c r="O70" i="47"/>
  <c r="O69" i="47"/>
  <c r="O75" i="47"/>
  <c r="O68" i="47"/>
  <c r="O60" i="47"/>
  <c r="O62" i="47"/>
  <c r="S47" i="47"/>
  <c r="S57" i="47" s="1"/>
  <c r="S59" i="47" s="1"/>
  <c r="S62" i="47"/>
  <c r="S70" i="47"/>
  <c r="S67" i="47"/>
  <c r="S55" i="47"/>
  <c r="M64" i="43"/>
  <c r="L64" i="88"/>
  <c r="R35" i="47"/>
  <c r="R33" i="47"/>
  <c r="R39" i="47"/>
  <c r="R34" i="47"/>
  <c r="P61" i="47"/>
  <c r="P62" i="47"/>
  <c r="M58" i="43"/>
  <c r="R68" i="47" s="1"/>
  <c r="L58" i="88"/>
  <c r="Q58" i="88" s="1"/>
  <c r="O73" i="43"/>
  <c r="N73" i="88"/>
  <c r="F76" i="43"/>
  <c r="E29" i="43" s="1"/>
  <c r="E76" i="88"/>
  <c r="D29" i="88" s="1"/>
  <c r="J73" i="43"/>
  <c r="I73" i="88"/>
  <c r="P79" i="43"/>
  <c r="O79" i="88"/>
  <c r="Q73" i="43"/>
  <c r="P73" i="88"/>
  <c r="M79" i="43"/>
  <c r="L79" i="88"/>
  <c r="P73" i="43"/>
  <c r="O73" i="88"/>
  <c r="J67" i="43"/>
  <c r="O98" i="47" s="1"/>
  <c r="I67" i="88"/>
  <c r="P45" i="47"/>
  <c r="P41" i="47"/>
  <c r="P31" i="47"/>
  <c r="K76" i="43"/>
  <c r="J76" i="88"/>
  <c r="P35" i="47"/>
  <c r="M70" i="43"/>
  <c r="L70" i="88"/>
  <c r="J70" i="43"/>
  <c r="I70" i="88"/>
  <c r="D76" i="43"/>
  <c r="C76" i="88"/>
  <c r="P34" i="47"/>
  <c r="K70" i="43"/>
  <c r="J70" i="88"/>
  <c r="Q67" i="43"/>
  <c r="P67" i="88"/>
  <c r="M67" i="43"/>
  <c r="L67" i="88"/>
  <c r="P33" i="47"/>
  <c r="E67" i="43"/>
  <c r="D67" i="88"/>
  <c r="D37" i="88"/>
  <c r="K45" i="47"/>
  <c r="R65" i="43"/>
  <c r="U83" i="47"/>
  <c r="R59" i="43"/>
  <c r="AM389" i="79"/>
  <c r="AM392" i="46"/>
  <c r="R62" i="43"/>
  <c r="AM522" i="46"/>
  <c r="AM205" i="79"/>
  <c r="AM391" i="46"/>
  <c r="U63" i="47"/>
  <c r="U71" i="47"/>
  <c r="AM204" i="79"/>
  <c r="AM1124" i="79"/>
  <c r="AM1126" i="79" s="1"/>
  <c r="U48" i="47"/>
  <c r="U50" i="47"/>
  <c r="AM756" i="79"/>
  <c r="AM758" i="79" s="1"/>
  <c r="U61" i="47"/>
  <c r="U65" i="47"/>
  <c r="U49" i="47"/>
  <c r="U68" i="47"/>
  <c r="U70" i="47"/>
  <c r="U45" i="47"/>
  <c r="U46" i="47"/>
  <c r="U60" i="47"/>
  <c r="U66" i="47"/>
  <c r="U69" i="47"/>
  <c r="U52" i="47"/>
  <c r="AM572" i="79"/>
  <c r="AM574" i="79" s="1"/>
  <c r="AM388" i="79"/>
  <c r="U62" i="47"/>
  <c r="U64" i="47"/>
  <c r="U54" i="47"/>
  <c r="U55" i="47"/>
  <c r="U67" i="47"/>
  <c r="U53" i="47"/>
  <c r="U51" i="47"/>
  <c r="AM940" i="79"/>
  <c r="AM942" i="79" s="1"/>
  <c r="W15" i="47"/>
  <c r="M82" i="47"/>
  <c r="N84" i="47"/>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2" i="47"/>
  <c r="L101" i="47"/>
  <c r="L96" i="47"/>
  <c r="U84" i="47"/>
  <c r="L106" i="47"/>
  <c r="Q86" i="47"/>
  <c r="Q94" i="47"/>
  <c r="L113" i="47"/>
  <c r="Q76" i="47"/>
  <c r="Q110" i="47"/>
  <c r="Q77" i="47"/>
  <c r="Q100" i="47"/>
  <c r="O92" i="47"/>
  <c r="O99" i="47"/>
  <c r="L12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P95" i="47"/>
  <c r="R55" i="47"/>
  <c r="U75" i="47"/>
  <c r="P109" i="47"/>
  <c r="Q114" i="47"/>
  <c r="N152" i="47"/>
  <c r="U94" i="47"/>
  <c r="U82" i="47"/>
  <c r="Q98" i="47"/>
  <c r="Q91" i="47"/>
  <c r="U108" i="47"/>
  <c r="P114" i="47"/>
  <c r="P76" i="47"/>
  <c r="N153" i="47"/>
  <c r="N92" i="47"/>
  <c r="N111" i="47"/>
  <c r="N107" i="47"/>
  <c r="U112" i="47"/>
  <c r="P90" i="47"/>
  <c r="P108" i="47"/>
  <c r="P110" i="47"/>
  <c r="P92" i="47"/>
  <c r="P113" i="47"/>
  <c r="P77" i="47"/>
  <c r="U101" i="47"/>
  <c r="U115" i="47"/>
  <c r="M98" i="47"/>
  <c r="U100" i="47"/>
  <c r="L124" i="47"/>
  <c r="U99" i="47"/>
  <c r="U111" i="47"/>
  <c r="P97" i="47"/>
  <c r="P93" i="47"/>
  <c r="P105" i="47"/>
  <c r="P85" i="47"/>
  <c r="P91" i="47"/>
  <c r="P79" i="47"/>
  <c r="U109" i="47"/>
  <c r="P112" i="47"/>
  <c r="P107" i="47"/>
  <c r="P96" i="47"/>
  <c r="P86" i="47"/>
  <c r="R70" i="43"/>
  <c r="U95" i="47"/>
  <c r="N155" i="47"/>
  <c r="U97" i="47"/>
  <c r="P94" i="47"/>
  <c r="P99" i="47"/>
  <c r="U90" i="47"/>
  <c r="U105" i="47"/>
  <c r="U106" i="47"/>
  <c r="U91" i="47"/>
  <c r="P116" i="47"/>
  <c r="P130" i="47"/>
  <c r="P111" i="47"/>
  <c r="P98" i="47"/>
  <c r="P81" i="47"/>
  <c r="P78" i="47"/>
  <c r="P82" i="47"/>
  <c r="S77" i="47"/>
  <c r="O116" i="47"/>
  <c r="O97" i="47"/>
  <c r="S84" i="47"/>
  <c r="S92" i="47"/>
  <c r="O113" i="47"/>
  <c r="O91" i="47"/>
  <c r="O128" i="47"/>
  <c r="O93" i="47"/>
  <c r="U114" i="47"/>
  <c r="U85" i="47"/>
  <c r="U80" i="47"/>
  <c r="U93" i="47"/>
  <c r="U86" i="47"/>
  <c r="U92" i="47"/>
  <c r="S76" i="47"/>
  <c r="S107" i="47"/>
  <c r="S75" i="47"/>
  <c r="R70" i="47"/>
  <c r="P140" i="47"/>
  <c r="Q121" i="47"/>
  <c r="S82" i="47"/>
  <c r="S160" i="47"/>
  <c r="S83" i="47"/>
  <c r="Q136" i="47"/>
  <c r="U96" i="47"/>
  <c r="U110" i="47"/>
  <c r="U113" i="47"/>
  <c r="U107" i="47"/>
  <c r="U98" i="47"/>
  <c r="S78" i="47"/>
  <c r="S101" i="47"/>
  <c r="O100" i="47"/>
  <c r="S122" i="47"/>
  <c r="O96" i="47"/>
  <c r="U77" i="47"/>
  <c r="U81" i="47"/>
  <c r="U79" i="47"/>
  <c r="S116" i="47"/>
  <c r="P160" i="47"/>
  <c r="N141" i="47"/>
  <c r="S79" i="47"/>
  <c r="O105" i="47"/>
  <c r="S85" i="47"/>
  <c r="S86" i="47"/>
  <c r="O95" i="47"/>
  <c r="O90" i="47"/>
  <c r="O122" i="47"/>
  <c r="U76" i="47"/>
  <c r="U116" i="47"/>
  <c r="S113" i="47"/>
  <c r="S80" i="47"/>
  <c r="S81" i="47"/>
  <c r="M86" i="47"/>
  <c r="M78" i="47"/>
  <c r="U146" i="47"/>
  <c r="N116" i="47"/>
  <c r="M75" i="47"/>
  <c r="M80" i="47"/>
  <c r="M122" i="47"/>
  <c r="Q142" i="47"/>
  <c r="M107" i="47"/>
  <c r="M76" i="47"/>
  <c r="M97" i="47"/>
  <c r="M85" i="47"/>
  <c r="M79" i="47"/>
  <c r="M84" i="47"/>
  <c r="N110" i="47"/>
  <c r="M108" i="47"/>
  <c r="S126" i="47"/>
  <c r="N114" i="47"/>
  <c r="M109" i="47"/>
  <c r="M81" i="47"/>
  <c r="M154" i="47"/>
  <c r="M83" i="47"/>
  <c r="M101" i="47"/>
  <c r="M77" i="47"/>
  <c r="Q151" i="47"/>
  <c r="J107" i="47"/>
  <c r="N122" i="47"/>
  <c r="N91" i="47"/>
  <c r="N99" i="47"/>
  <c r="N106" i="47"/>
  <c r="U142" i="47"/>
  <c r="U153" i="47"/>
  <c r="S94" i="47"/>
  <c r="S97" i="47"/>
  <c r="P125" i="47"/>
  <c r="U123" i="47"/>
  <c r="U140" i="47"/>
  <c r="N98" i="47"/>
  <c r="N100" i="47"/>
  <c r="N109" i="47"/>
  <c r="N112" i="47"/>
  <c r="M124" i="47"/>
  <c r="U124" i="47"/>
  <c r="S156" i="47"/>
  <c r="S96" i="47"/>
  <c r="V155" i="47"/>
  <c r="U120" i="47"/>
  <c r="N135" i="47"/>
  <c r="L128" i="47"/>
  <c r="N115" i="47"/>
  <c r="N105" i="47"/>
  <c r="N136" i="47"/>
  <c r="M135" i="47"/>
  <c r="N94" i="47"/>
  <c r="N137" i="47"/>
  <c r="N96" i="47"/>
  <c r="U138" i="47"/>
  <c r="S110" i="47"/>
  <c r="S106" i="47"/>
  <c r="S99" i="47"/>
  <c r="Q137" i="47"/>
  <c r="L142" i="47"/>
  <c r="R73" i="43"/>
  <c r="U154" i="47"/>
  <c r="P155" i="47"/>
  <c r="L121" i="47"/>
  <c r="L151" i="47"/>
  <c r="N108" i="47"/>
  <c r="N144" i="47"/>
  <c r="U127" i="47"/>
  <c r="U159" i="47"/>
  <c r="S90" i="47"/>
  <c r="E34" i="43"/>
  <c r="S155" i="47"/>
  <c r="L161" i="47"/>
  <c r="R64" i="47"/>
  <c r="P144" i="47"/>
  <c r="R53" i="47"/>
  <c r="L140" i="47"/>
  <c r="N157" i="47"/>
  <c r="M136" i="47"/>
  <c r="N156" i="47"/>
  <c r="S142" i="47"/>
  <c r="R52" i="47"/>
  <c r="R51" i="47"/>
  <c r="P129" i="47"/>
  <c r="R62" i="47"/>
  <c r="O131" i="47"/>
  <c r="O151" i="47"/>
  <c r="O139" i="47"/>
  <c r="L160" i="47"/>
  <c r="L135" i="47"/>
  <c r="N151" i="47"/>
  <c r="N140" i="47"/>
  <c r="N121" i="47"/>
  <c r="E32" i="43"/>
  <c r="M156" i="47"/>
  <c r="M151" i="47"/>
  <c r="N131" i="47"/>
  <c r="S128" i="47"/>
  <c r="S141" i="47"/>
  <c r="R71" i="47"/>
  <c r="R67" i="47"/>
  <c r="R48" i="47"/>
  <c r="R61" i="47"/>
  <c r="P142" i="47"/>
  <c r="R60" i="47"/>
  <c r="R45" i="47"/>
  <c r="L154" i="47"/>
  <c r="O140" i="47"/>
  <c r="L157" i="47"/>
  <c r="N138" i="47"/>
  <c r="M131" i="47"/>
  <c r="R54" i="47"/>
  <c r="R46" i="47"/>
  <c r="P156" i="47"/>
  <c r="R66" i="47"/>
  <c r="P128" i="47"/>
  <c r="O138" i="47"/>
  <c r="O142" i="47"/>
  <c r="L146" i="47"/>
  <c r="N143" i="47"/>
  <c r="N139" i="47"/>
  <c r="N129" i="47"/>
  <c r="N158" i="47"/>
  <c r="N159" i="47"/>
  <c r="M121" i="47"/>
  <c r="M159" i="47"/>
  <c r="M145" i="47"/>
  <c r="N130" i="47"/>
  <c r="N142" i="47"/>
  <c r="N128" i="47"/>
  <c r="U136" i="47"/>
  <c r="U141" i="47"/>
  <c r="S145" i="47"/>
  <c r="S130" i="47"/>
  <c r="S138" i="47"/>
  <c r="S127" i="47"/>
  <c r="S121" i="47"/>
  <c r="R56" i="47"/>
  <c r="R47" i="47"/>
  <c r="R122" i="47"/>
  <c r="P137" i="47"/>
  <c r="P139" i="47"/>
  <c r="P154" i="47"/>
  <c r="Q154" i="47"/>
  <c r="Q158" i="47"/>
  <c r="R58" i="43"/>
  <c r="M139" i="47"/>
  <c r="O144" i="47"/>
  <c r="L150" i="47"/>
  <c r="N160" i="47"/>
  <c r="M144" i="47"/>
  <c r="M138" i="47"/>
  <c r="M141" i="47"/>
  <c r="M129" i="47"/>
  <c r="N127" i="47"/>
  <c r="M160" i="47"/>
  <c r="S143" i="47"/>
  <c r="S136" i="47"/>
  <c r="R50" i="47"/>
  <c r="P143" i="47"/>
  <c r="P124" i="47"/>
  <c r="P151" i="47"/>
  <c r="R65"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T57" i="47"/>
  <c r="T59" i="47" s="1"/>
  <c r="T72" i="47" s="1"/>
  <c r="T74" i="47" s="1"/>
  <c r="W25" i="47"/>
  <c r="V42" i="47"/>
  <c r="V44" i="47" s="1"/>
  <c r="V57" i="47" s="1"/>
  <c r="V59" i="47" s="1"/>
  <c r="V72" i="47" s="1"/>
  <c r="V74" i="47" s="1"/>
  <c r="U42" i="47"/>
  <c r="U44" i="47" s="1"/>
  <c r="W20" i="47"/>
  <c r="W22" i="47"/>
  <c r="W24" i="47"/>
  <c r="R55" i="43"/>
  <c r="W19" i="47"/>
  <c r="W21" i="47"/>
  <c r="W16" i="47"/>
  <c r="W23"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54" i="47"/>
  <c r="I47" i="47"/>
  <c r="I48" i="47"/>
  <c r="I56" i="47"/>
  <c r="I53" i="47"/>
  <c r="I55" i="47"/>
  <c r="I46" i="47"/>
  <c r="I51" i="47"/>
  <c r="I49" i="47"/>
  <c r="I50" i="47"/>
  <c r="I52" i="47"/>
  <c r="I45" i="47"/>
  <c r="I153"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W41" i="47" s="1"/>
  <c r="J52" i="47"/>
  <c r="J66" i="47"/>
  <c r="J53" i="47"/>
  <c r="J49" i="47"/>
  <c r="J67" i="47"/>
  <c r="J37" i="47"/>
  <c r="J31" i="47"/>
  <c r="W31" i="47" s="1"/>
  <c r="J46" i="47"/>
  <c r="J45" i="47"/>
  <c r="J75" i="47"/>
  <c r="J48" i="47"/>
  <c r="J62" i="47"/>
  <c r="J69" i="47"/>
  <c r="J60" i="47"/>
  <c r="J84" i="47"/>
  <c r="J68" i="47"/>
  <c r="J47" i="47"/>
  <c r="J38" i="47"/>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L103" i="88" l="1"/>
  <c r="W33" i="47"/>
  <c r="W35" i="47"/>
  <c r="W38" i="47"/>
  <c r="W37" i="47"/>
  <c r="W40" i="47"/>
  <c r="F102" i="43"/>
  <c r="E104" i="88"/>
  <c r="D36" i="88"/>
  <c r="D34" i="88"/>
  <c r="Q70" i="88"/>
  <c r="R76" i="43"/>
  <c r="H68" i="88"/>
  <c r="Q68" i="88"/>
  <c r="G18" i="88" s="1"/>
  <c r="Q73" i="88"/>
  <c r="E102" i="43"/>
  <c r="D104" i="88"/>
  <c r="D40" i="88"/>
  <c r="R42" i="47"/>
  <c r="R44" i="47" s="1"/>
  <c r="R68" i="43"/>
  <c r="G102" i="43"/>
  <c r="F104" i="88"/>
  <c r="H102" i="43"/>
  <c r="G104" i="88"/>
  <c r="D39" i="88"/>
  <c r="R79" i="43"/>
  <c r="D35" i="88"/>
  <c r="O158" i="47"/>
  <c r="AD67" i="43"/>
  <c r="E31" i="43"/>
  <c r="M92" i="47"/>
  <c r="M93" i="47"/>
  <c r="M113" i="47"/>
  <c r="M96" i="47"/>
  <c r="M94" i="47"/>
  <c r="M99" i="47"/>
  <c r="M150" i="47"/>
  <c r="M126" i="47"/>
  <c r="M127" i="47"/>
  <c r="M130" i="47"/>
  <c r="M120" i="47"/>
  <c r="M146" i="47"/>
  <c r="M112" i="47"/>
  <c r="M100" i="47"/>
  <c r="M95" i="47"/>
  <c r="M114" i="47"/>
  <c r="M90" i="47"/>
  <c r="M105" i="47"/>
  <c r="M106" i="47"/>
  <c r="M116" i="47"/>
  <c r="M111" i="47"/>
  <c r="M110" i="47"/>
  <c r="M91" i="47"/>
  <c r="M115" i="47"/>
  <c r="M155" i="47"/>
  <c r="M143" i="47"/>
  <c r="M123" i="47"/>
  <c r="P153" i="47"/>
  <c r="P161" i="47"/>
  <c r="P120" i="47"/>
  <c r="P150" i="47"/>
  <c r="P146" i="47"/>
  <c r="P135" i="47"/>
  <c r="P152" i="47"/>
  <c r="P42" i="47"/>
  <c r="P44" i="47" s="1"/>
  <c r="P57" i="47" s="1"/>
  <c r="P59" i="47" s="1"/>
  <c r="P72" i="47" s="1"/>
  <c r="P74" i="47" s="1"/>
  <c r="P87" i="47" s="1"/>
  <c r="P89" i="47" s="1"/>
  <c r="P102" i="47" s="1"/>
  <c r="J82" i="88" s="1"/>
  <c r="C85" i="88"/>
  <c r="Y67" i="88"/>
  <c r="D27" i="88"/>
  <c r="S72" i="47"/>
  <c r="S74" i="47" s="1"/>
  <c r="S87" i="47" s="1"/>
  <c r="S89" i="47" s="1"/>
  <c r="O154" i="47"/>
  <c r="O152" i="47"/>
  <c r="D38" i="88"/>
  <c r="AA67" i="43"/>
  <c r="E28" i="43"/>
  <c r="R67" i="43"/>
  <c r="H17" i="43" s="1"/>
  <c r="O107" i="47"/>
  <c r="O109" i="47"/>
  <c r="O124" i="47"/>
  <c r="O115" i="47"/>
  <c r="O127" i="47"/>
  <c r="O160" i="47"/>
  <c r="O150" i="47"/>
  <c r="O155" i="47"/>
  <c r="O157" i="47"/>
  <c r="O161" i="47"/>
  <c r="O159" i="47"/>
  <c r="O146" i="47"/>
  <c r="O141" i="47"/>
  <c r="O108" i="47"/>
  <c r="O111" i="47"/>
  <c r="O112" i="47"/>
  <c r="O135" i="47"/>
  <c r="O126" i="47"/>
  <c r="E33" i="43"/>
  <c r="O106" i="47"/>
  <c r="O114" i="47"/>
  <c r="O110" i="47"/>
  <c r="O137" i="47"/>
  <c r="O120" i="47"/>
  <c r="O123" i="47"/>
  <c r="O145" i="47"/>
  <c r="O121" i="47"/>
  <c r="O143" i="47"/>
  <c r="U125" i="47"/>
  <c r="U158" i="47"/>
  <c r="U150" i="47"/>
  <c r="E39" i="43"/>
  <c r="U129" i="47"/>
  <c r="U161" i="47"/>
  <c r="U122" i="47"/>
  <c r="U121" i="47"/>
  <c r="U156" i="47"/>
  <c r="U151" i="47"/>
  <c r="U144" i="47"/>
  <c r="U131" i="47"/>
  <c r="U130" i="47"/>
  <c r="U126" i="47"/>
  <c r="U128" i="47"/>
  <c r="U145" i="47"/>
  <c r="U160" i="47"/>
  <c r="AC67" i="43"/>
  <c r="E30" i="43"/>
  <c r="L110" i="47"/>
  <c r="L95" i="47"/>
  <c r="L91" i="47"/>
  <c r="L108" i="47"/>
  <c r="L111" i="47"/>
  <c r="L109" i="47"/>
  <c r="L115" i="47"/>
  <c r="L112" i="47"/>
  <c r="L122" i="47"/>
  <c r="L130" i="47"/>
  <c r="L131" i="47"/>
  <c r="L136" i="47"/>
  <c r="L127" i="47"/>
  <c r="L155" i="47"/>
  <c r="L137" i="47"/>
  <c r="L144" i="47"/>
  <c r="L93" i="47"/>
  <c r="L94" i="47"/>
  <c r="L99" i="47"/>
  <c r="L116" i="47"/>
  <c r="L114" i="47"/>
  <c r="L156" i="47"/>
  <c r="L100" i="47"/>
  <c r="L90" i="47"/>
  <c r="L97" i="47"/>
  <c r="L105" i="47"/>
  <c r="L107" i="47"/>
  <c r="L126" i="47"/>
  <c r="L129" i="47"/>
  <c r="L123" i="47"/>
  <c r="L125" i="47"/>
  <c r="L158" i="47"/>
  <c r="L145" i="47"/>
  <c r="L159" i="47"/>
  <c r="Q82" i="47"/>
  <c r="Q95" i="47"/>
  <c r="Q96" i="47"/>
  <c r="Q85" i="47"/>
  <c r="Q109" i="47"/>
  <c r="Q79" i="47"/>
  <c r="Q131" i="47"/>
  <c r="Q90" i="47"/>
  <c r="Q120" i="47"/>
  <c r="Q130" i="47"/>
  <c r="Q124" i="47"/>
  <c r="Q126" i="47"/>
  <c r="Q152" i="47"/>
  <c r="Q141" i="47"/>
  <c r="Q143" i="47"/>
  <c r="Q138" i="47"/>
  <c r="E35" i="43"/>
  <c r="Q106" i="47"/>
  <c r="Q111" i="47"/>
  <c r="Q107" i="47"/>
  <c r="Q97" i="47"/>
  <c r="Q80" i="47"/>
  <c r="Q116" i="47"/>
  <c r="Q99" i="47"/>
  <c r="Q92" i="47"/>
  <c r="Q112" i="47"/>
  <c r="Q113" i="47"/>
  <c r="Q75" i="47"/>
  <c r="Q115" i="47"/>
  <c r="Q157" i="47"/>
  <c r="Q123" i="47"/>
  <c r="Q129" i="47"/>
  <c r="Q145" i="47"/>
  <c r="Q144" i="47"/>
  <c r="Q81" i="47"/>
  <c r="Q84" i="47"/>
  <c r="Q125" i="47"/>
  <c r="Q108" i="47"/>
  <c r="Q101" i="47"/>
  <c r="Q83" i="47"/>
  <c r="Q127" i="47"/>
  <c r="Q105" i="47"/>
  <c r="Q93" i="47"/>
  <c r="Q78" i="47"/>
  <c r="Q135" i="47"/>
  <c r="Q122" i="47"/>
  <c r="Q128" i="47"/>
  <c r="Q139" i="47"/>
  <c r="Q161" i="47"/>
  <c r="Q150" i="47"/>
  <c r="Q146" i="47"/>
  <c r="Q140" i="47"/>
  <c r="Q153" i="47"/>
  <c r="S95" i="47"/>
  <c r="S93" i="47"/>
  <c r="S131" i="47"/>
  <c r="S153" i="47"/>
  <c r="S125" i="47"/>
  <c r="S161" i="47"/>
  <c r="S111" i="47"/>
  <c r="S120" i="47"/>
  <c r="S154" i="47"/>
  <c r="S112" i="47"/>
  <c r="S105" i="47"/>
  <c r="S151" i="47"/>
  <c r="S123" i="47"/>
  <c r="S146" i="47"/>
  <c r="S98" i="47"/>
  <c r="S100" i="47"/>
  <c r="S109" i="47"/>
  <c r="S152" i="47"/>
  <c r="S114" i="47"/>
  <c r="S108" i="47"/>
  <c r="S135" i="47"/>
  <c r="S91" i="47"/>
  <c r="E37" i="43"/>
  <c r="S139" i="47"/>
  <c r="S115" i="47"/>
  <c r="S144" i="47"/>
  <c r="H76" i="88"/>
  <c r="Q76" i="88" s="1"/>
  <c r="D33" i="88"/>
  <c r="Q64" i="88"/>
  <c r="Z67" i="43"/>
  <c r="E27" i="43"/>
  <c r="H79" i="88"/>
  <c r="Q79" i="88" s="1"/>
  <c r="U56" i="47"/>
  <c r="U57" i="47" s="1"/>
  <c r="U59" i="47" s="1"/>
  <c r="U72" i="47" s="1"/>
  <c r="U74" i="47" s="1"/>
  <c r="U87" i="47" s="1"/>
  <c r="U89" i="47" s="1"/>
  <c r="U102" i="47" s="1"/>
  <c r="O82" i="88" s="1"/>
  <c r="Z67" i="88"/>
  <c r="D85" i="88"/>
  <c r="D28" i="88"/>
  <c r="H67" i="88"/>
  <c r="H85" i="88" s="1"/>
  <c r="F85" i="88"/>
  <c r="D30" i="88"/>
  <c r="AB67" i="88"/>
  <c r="AC67" i="88"/>
  <c r="G85" i="88"/>
  <c r="D31" i="88"/>
  <c r="K54" i="47"/>
  <c r="W54" i="47" s="1"/>
  <c r="K55" i="47"/>
  <c r="W55" i="47" s="1"/>
  <c r="K49" i="47"/>
  <c r="W49" i="47" s="1"/>
  <c r="K50" i="47"/>
  <c r="W50" i="47" s="1"/>
  <c r="K52" i="47"/>
  <c r="K53" i="47"/>
  <c r="K51" i="47"/>
  <c r="K46" i="47"/>
  <c r="W46" i="47" s="1"/>
  <c r="K56" i="47"/>
  <c r="K48" i="47"/>
  <c r="K47" i="47"/>
  <c r="W47" i="47" s="1"/>
  <c r="M102" i="43"/>
  <c r="AM393" i="46"/>
  <c r="AM390" i="79"/>
  <c r="H18" i="43"/>
  <c r="I161" i="47"/>
  <c r="I131" i="47"/>
  <c r="I97" i="47"/>
  <c r="I81" i="47"/>
  <c r="W81" i="47" s="1"/>
  <c r="I106" i="47"/>
  <c r="I152" i="47"/>
  <c r="I78" i="47"/>
  <c r="I130" i="47"/>
  <c r="I90" i="47"/>
  <c r="I62" i="47"/>
  <c r="W62" i="47" s="1"/>
  <c r="I68" i="47"/>
  <c r="W68" i="47" s="1"/>
  <c r="I116" i="47"/>
  <c r="I144" i="47"/>
  <c r="I158" i="47"/>
  <c r="I71" i="47"/>
  <c r="W71" i="47" s="1"/>
  <c r="I143" i="47"/>
  <c r="W143" i="47" s="1"/>
  <c r="I84" i="47"/>
  <c r="W84" i="47" s="1"/>
  <c r="I86" i="47"/>
  <c r="W86" i="47" s="1"/>
  <c r="I160" i="47"/>
  <c r="I65" i="47"/>
  <c r="W65" i="47" s="1"/>
  <c r="I142" i="47"/>
  <c r="W142" i="47" s="1"/>
  <c r="I111" i="47"/>
  <c r="I120" i="47"/>
  <c r="I156" i="47"/>
  <c r="W156" i="47" s="1"/>
  <c r="I124" i="47"/>
  <c r="I93" i="47"/>
  <c r="I98" i="47"/>
  <c r="I123" i="47"/>
  <c r="I128" i="47"/>
  <c r="I69" i="47"/>
  <c r="W69" i="47" s="1"/>
  <c r="I112" i="47"/>
  <c r="I99" i="47"/>
  <c r="I79" i="47"/>
  <c r="I77" i="47"/>
  <c r="W77" i="47" s="1"/>
  <c r="I135" i="47"/>
  <c r="I61" i="47"/>
  <c r="W61" i="47" s="1"/>
  <c r="I115" i="47"/>
  <c r="I66" i="47"/>
  <c r="W66" i="47" s="1"/>
  <c r="I109" i="47"/>
  <c r="I155" i="47"/>
  <c r="I154" i="47"/>
  <c r="I110" i="47"/>
  <c r="I92" i="47"/>
  <c r="I91" i="47"/>
  <c r="I129" i="47"/>
  <c r="I146" i="47"/>
  <c r="I105" i="47"/>
  <c r="I141" i="47"/>
  <c r="I95" i="47"/>
  <c r="I83" i="47"/>
  <c r="W83" i="47" s="1"/>
  <c r="I70" i="47"/>
  <c r="W70" i="47" s="1"/>
  <c r="I126" i="47"/>
  <c r="I137" i="47"/>
  <c r="I101" i="47"/>
  <c r="I122" i="47"/>
  <c r="I67" i="47"/>
  <c r="W67" i="47" s="1"/>
  <c r="I145" i="47"/>
  <c r="I140" i="47"/>
  <c r="W140" i="47" s="1"/>
  <c r="I136" i="47"/>
  <c r="W136" i="47" s="1"/>
  <c r="I121" i="47"/>
  <c r="I82" i="47"/>
  <c r="I127" i="47"/>
  <c r="I100" i="47"/>
  <c r="I114" i="47"/>
  <c r="W114" i="47" s="1"/>
  <c r="I139" i="47"/>
  <c r="I64" i="47"/>
  <c r="W64" i="47" s="1"/>
  <c r="I108" i="47"/>
  <c r="I150" i="47"/>
  <c r="I159" i="47"/>
  <c r="I113" i="47"/>
  <c r="I96" i="47"/>
  <c r="I151" i="47"/>
  <c r="I76" i="47"/>
  <c r="W76" i="47" s="1"/>
  <c r="I138" i="47"/>
  <c r="W138" i="47" s="1"/>
  <c r="I94" i="47"/>
  <c r="W94" i="47" s="1"/>
  <c r="I80" i="47"/>
  <c r="I85" i="47"/>
  <c r="W85" i="47" s="1"/>
  <c r="I107" i="47"/>
  <c r="W107" i="47" s="1"/>
  <c r="I157" i="47"/>
  <c r="W157" i="47" s="1"/>
  <c r="I63" i="47"/>
  <c r="W63" i="47" s="1"/>
  <c r="I75" i="47"/>
  <c r="W75" i="47" s="1"/>
  <c r="I60" i="47"/>
  <c r="W60" i="47" s="1"/>
  <c r="I125" i="47"/>
  <c r="AM206" i="79"/>
  <c r="AM523" i="46"/>
  <c r="M101" i="43"/>
  <c r="W27" i="47"/>
  <c r="C103" i="43" s="1"/>
  <c r="R57" i="47"/>
  <c r="R59" i="47" s="1"/>
  <c r="R72" i="47" s="1"/>
  <c r="R74" i="47" s="1"/>
  <c r="R87" i="47" s="1"/>
  <c r="R89" i="47" s="1"/>
  <c r="R102" i="47" s="1"/>
  <c r="L82" i="88" s="1"/>
  <c r="V87" i="47"/>
  <c r="V89" i="47" s="1"/>
  <c r="V102" i="47" s="1"/>
  <c r="P82" i="88" s="1"/>
  <c r="T87" i="47"/>
  <c r="T89" i="47" s="1"/>
  <c r="T102" i="47" s="1"/>
  <c r="N82" i="88" s="1"/>
  <c r="W48" i="47"/>
  <c r="W108" i="47"/>
  <c r="W45" i="47"/>
  <c r="W51" i="47"/>
  <c r="W52" i="47"/>
  <c r="W53"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153" i="47" l="1"/>
  <c r="W109" i="47"/>
  <c r="W139" i="47"/>
  <c r="W151" i="47"/>
  <c r="W91" i="47"/>
  <c r="W99" i="47"/>
  <c r="W82" i="47"/>
  <c r="W125" i="47"/>
  <c r="W100" i="47"/>
  <c r="W105" i="47"/>
  <c r="W92" i="47"/>
  <c r="W135" i="47"/>
  <c r="W98" i="47"/>
  <c r="W160" i="47"/>
  <c r="W78" i="47"/>
  <c r="W97" i="47"/>
  <c r="Q67" i="88"/>
  <c r="L104" i="88"/>
  <c r="G17" i="88"/>
  <c r="S102" i="47"/>
  <c r="M82" i="88" s="1"/>
  <c r="W79" i="47"/>
  <c r="W90" i="47"/>
  <c r="W56" i="47"/>
  <c r="W80" i="47"/>
  <c r="Q87" i="47"/>
  <c r="Q89" i="47" s="1"/>
  <c r="Q102" i="47" s="1"/>
  <c r="K82" i="88" s="1"/>
  <c r="E35" i="88" s="1"/>
  <c r="F35" i="88" s="1"/>
  <c r="W96" i="47"/>
  <c r="W159" i="47"/>
  <c r="W137" i="47"/>
  <c r="W154" i="47"/>
  <c r="E41" i="43"/>
  <c r="W120" i="47"/>
  <c r="W150" i="47"/>
  <c r="W121" i="47"/>
  <c r="W126" i="47"/>
  <c r="W141" i="47"/>
  <c r="W155" i="47"/>
  <c r="W123" i="47"/>
  <c r="W116" i="47"/>
  <c r="W130" i="47"/>
  <c r="W131" i="47"/>
  <c r="W112" i="47"/>
  <c r="E34" i="88"/>
  <c r="F34" i="88" s="1"/>
  <c r="J83" i="88"/>
  <c r="K83" i="88"/>
  <c r="M83" i="88"/>
  <c r="E37" i="88"/>
  <c r="F37" i="88" s="1"/>
  <c r="E38" i="88"/>
  <c r="N83" i="88"/>
  <c r="E39" i="88"/>
  <c r="F39" i="88" s="1"/>
  <c r="O83" i="88"/>
  <c r="W122" i="47"/>
  <c r="W146" i="47"/>
  <c r="W93" i="47"/>
  <c r="W111" i="47"/>
  <c r="W158" i="47"/>
  <c r="W152" i="47"/>
  <c r="D32" i="88"/>
  <c r="E40" i="88"/>
  <c r="F40" i="88" s="1"/>
  <c r="P83" i="88"/>
  <c r="W113" i="47"/>
  <c r="W127" i="47"/>
  <c r="W101" i="47"/>
  <c r="W110" i="47"/>
  <c r="E36" i="88"/>
  <c r="F36" i="88" s="1"/>
  <c r="L83" i="88"/>
  <c r="W145" i="47"/>
  <c r="W95" i="47"/>
  <c r="W129" i="47"/>
  <c r="W115" i="47"/>
  <c r="W128" i="47"/>
  <c r="W124" i="47"/>
  <c r="W144" i="47"/>
  <c r="W106" i="47"/>
  <c r="W161" i="47"/>
  <c r="F38" i="88"/>
  <c r="V104" i="47"/>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G82" i="88" s="1"/>
  <c r="I72" i="47"/>
  <c r="I74" i="47" s="1"/>
  <c r="I87" i="47" s="1"/>
  <c r="I89" i="47" s="1"/>
  <c r="J72" i="47"/>
  <c r="J74" i="47" s="1"/>
  <c r="J87" i="47" s="1"/>
  <c r="J89" i="47" s="1"/>
  <c r="J102" i="47" s="1"/>
  <c r="D82" i="88" s="1"/>
  <c r="N72" i="47"/>
  <c r="N74" i="47" s="1"/>
  <c r="N87" i="47" s="1"/>
  <c r="N89" i="47" s="1"/>
  <c r="N102" i="47" s="1"/>
  <c r="O72" i="47"/>
  <c r="O74" i="47" s="1"/>
  <c r="O87" i="47" s="1"/>
  <c r="O89" i="47" s="1"/>
  <c r="O102" i="47" s="1"/>
  <c r="I82" i="88" s="1"/>
  <c r="L44" i="47"/>
  <c r="L57" i="47" s="1"/>
  <c r="L59" i="47" s="1"/>
  <c r="I83" i="88" l="1"/>
  <c r="E33" i="88"/>
  <c r="F33" i="88" s="1"/>
  <c r="E28" i="88"/>
  <c r="F28" i="88" s="1"/>
  <c r="D83" i="88"/>
  <c r="D41" i="88"/>
  <c r="E31" i="88"/>
  <c r="F31" i="88" s="1"/>
  <c r="G83" i="88"/>
  <c r="F36" i="43"/>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D86" i="88" s="1"/>
  <c r="D87" i="88" s="1"/>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F82" i="88" s="1"/>
  <c r="I102" i="47"/>
  <c r="F31" i="43" l="1"/>
  <c r="G31" i="43" s="1"/>
  <c r="G86" i="88"/>
  <c r="G87" i="88" s="1"/>
  <c r="E30" i="88"/>
  <c r="F30" i="88" s="1"/>
  <c r="F83" i="88"/>
  <c r="C82" i="88"/>
  <c r="D82" i="43"/>
  <c r="C86" i="88" s="1"/>
  <c r="F28" i="43"/>
  <c r="G28" i="43" s="1"/>
  <c r="E83" i="43"/>
  <c r="H83" i="43"/>
  <c r="F32" i="43"/>
  <c r="G32" i="43" s="1"/>
  <c r="I83" i="43"/>
  <c r="L104" i="47"/>
  <c r="L117" i="47" s="1"/>
  <c r="L119" i="47" s="1"/>
  <c r="L132" i="47" s="1"/>
  <c r="L134" i="47" s="1"/>
  <c r="L147" i="47" s="1"/>
  <c r="L149" i="47" s="1"/>
  <c r="L162" i="47" s="1"/>
  <c r="G82" i="43"/>
  <c r="F86" i="88" s="1"/>
  <c r="F87" i="88" s="1"/>
  <c r="I104" i="47"/>
  <c r="I117" i="47" s="1"/>
  <c r="I119" i="47" s="1"/>
  <c r="I132" i="47" s="1"/>
  <c r="I134" i="47" s="1"/>
  <c r="I147" i="47" s="1"/>
  <c r="I149" i="47" s="1"/>
  <c r="I162" i="47" s="1"/>
  <c r="D83" i="43"/>
  <c r="F33" i="43"/>
  <c r="G33" i="43" s="1"/>
  <c r="C87" i="88" l="1"/>
  <c r="E27" i="88"/>
  <c r="C83" i="88"/>
  <c r="F30" i="43"/>
  <c r="G30" i="43" s="1"/>
  <c r="G83" i="43"/>
  <c r="F27" i="43"/>
  <c r="G27" i="43" s="1"/>
  <c r="W42" i="47"/>
  <c r="K42" i="47"/>
  <c r="F27" i="88" l="1"/>
  <c r="D103" i="43"/>
  <c r="D104" i="43" s="1"/>
  <c r="C105" i="88"/>
  <c r="C106" i="88" s="1"/>
  <c r="K44" i="47"/>
  <c r="K57" i="47" s="1"/>
  <c r="K59" i="47" s="1"/>
  <c r="W44" i="47"/>
  <c r="W57" i="47" s="1"/>
  <c r="D105" i="88" s="1"/>
  <c r="D106" i="88" s="1"/>
  <c r="W59" i="47" l="1"/>
  <c r="W72" i="47" s="1"/>
  <c r="E105" i="88" s="1"/>
  <c r="E106" i="88" s="1"/>
  <c r="E103" i="43"/>
  <c r="K72" i="47"/>
  <c r="K74" i="47" s="1"/>
  <c r="K87" i="47" s="1"/>
  <c r="K89" i="47" s="1"/>
  <c r="K102" i="47" s="1"/>
  <c r="E82" i="88" s="1"/>
  <c r="E29" i="88" l="1"/>
  <c r="E83" i="88"/>
  <c r="H83" i="88" s="1"/>
  <c r="H82" i="88"/>
  <c r="E32" i="88" s="1"/>
  <c r="F32" i="88" s="1"/>
  <c r="K104" i="47"/>
  <c r="K117" i="47" s="1"/>
  <c r="K119" i="47" s="1"/>
  <c r="K132" i="47" s="1"/>
  <c r="K134" i="47" s="1"/>
  <c r="K147" i="47" s="1"/>
  <c r="K149" i="47" s="1"/>
  <c r="K162" i="47" s="1"/>
  <c r="F82" i="43"/>
  <c r="E86" i="88" s="1"/>
  <c r="W74" i="47"/>
  <c r="W87" i="47" s="1"/>
  <c r="F105" i="88" s="1"/>
  <c r="F106" i="88" s="1"/>
  <c r="F103" i="43"/>
  <c r="F104" i="43" s="1"/>
  <c r="E104" i="43"/>
  <c r="Q82" i="88" l="1"/>
  <c r="G19" i="88" s="1"/>
  <c r="G20" i="88" s="1"/>
  <c r="Q83" i="88"/>
  <c r="E87" i="88"/>
  <c r="H86" i="88"/>
  <c r="H87" i="88" s="1"/>
  <c r="F29" i="88"/>
  <c r="F41" i="88" s="1"/>
  <c r="E41" i="88"/>
  <c r="F83" i="43"/>
  <c r="F29" i="43"/>
  <c r="G29" i="43" s="1"/>
  <c r="R82" i="43"/>
  <c r="R83" i="43" s="1"/>
  <c r="W89" i="47"/>
  <c r="W102" i="47" s="1"/>
  <c r="G105" i="88" s="1"/>
  <c r="G106" i="88" s="1"/>
  <c r="G103" i="43"/>
  <c r="F41" i="43" l="1"/>
  <c r="H19" i="43"/>
  <c r="H20" i="43" s="1"/>
  <c r="G41" i="43"/>
  <c r="G104" i="43"/>
  <c r="W104" i="47"/>
  <c r="W117" i="47" s="1"/>
  <c r="H105" i="88" s="1"/>
  <c r="H103" i="43"/>
  <c r="H104" i="43" s="1"/>
  <c r="H106" i="88" l="1"/>
  <c r="W119" i="47"/>
  <c r="W132" i="47" s="1"/>
  <c r="I105" i="88" s="1"/>
  <c r="I106" i="88" s="1"/>
  <c r="I103" i="43"/>
  <c r="I104" i="43" s="1"/>
  <c r="W134" i="47" l="1"/>
  <c r="W147" i="47" s="1"/>
  <c r="J105" i="88" s="1"/>
  <c r="J106" i="88" s="1"/>
  <c r="J103" i="43"/>
  <c r="J104" i="43" l="1"/>
  <c r="K103" i="43"/>
  <c r="K104" i="43" s="1"/>
  <c r="W149" i="47"/>
  <c r="W162" i="47" s="1"/>
  <c r="L103" i="43" l="1"/>
  <c r="L104" i="43" s="1"/>
  <c r="K105" i="88"/>
  <c r="M103" i="43" l="1"/>
  <c r="M104" i="43" s="1"/>
  <c r="K106" i="88"/>
  <c r="L105" i="88"/>
  <c r="L106" i="88"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<sst xmlns="http://schemas.openxmlformats.org/spreadsheetml/2006/main" count="4224" uniqueCount="711">
  <si>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</si>
  <si>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</si>
  <si>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</si>
  <si>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</si>
  <si>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</si>
  <si>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</si>
  <si>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</si>
  <si>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</si>
  <si>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</si>
  <si>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</si>
  <si>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</si>
  <si>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</si>
  <si>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</si>
  <si>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</si>
  <si>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</si>
  <si>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</si>
  <si>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</si>
  <si>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</si>
  <si>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</si>
  <si>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</si>
  <si>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</si>
  <si>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</si>
  <si>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</si>
  <si>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</si>
  <si>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</si>
  <si>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</si>
  <si>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</si>
  <si>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</si>
  <si>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</si>
  <si>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</si>
  <si>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</si>
  <si>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</si>
  <si>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</si>
  <si>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</si>
  <si>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</si>
  <si>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</si>
  <si>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</si>
  <si>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</si>
  <si>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</si>
  <si>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</si>
  <si>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</si>
  <si>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</si>
  <si>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</si>
  <si>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</si>
  <si>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</si>
  <si>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</si>
  <si>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</si>
  <si>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</si>
  <si>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</si>
  <si>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</si>
  <si>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</si>
  <si>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</si>
  <si>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</si>
  <si>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</si>
  <si>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</si>
  <si>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</si>
  <si>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</si>
  <si>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</si>
  <si>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</si>
  <si>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</si>
  <si>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</si>
  <si>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</si>
  <si>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</si>
  <si>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</si>
  <si>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</si>
  <si>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</si>
  <si>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</si>
  <si>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</si>
  <si>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</si>
  <si>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</si>
  <si>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</si>
  <si>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</si>
  <si>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</si>
  <si>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</si>
  <si>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</si>
  <si>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</si>
  <si>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</si>
  <si>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</si>
  <si>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</si>
  <si>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</si>
  <si>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</si>
  <si>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</si>
  <si>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</si>
  <si>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</si>
  <si>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</si>
  <si>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</si>
  <si>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</si>
  <si>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</si>
  <si>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</si>
  <si>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</si>
  <si>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</si>
  <si>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</si>
  <si>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</si>
  <si>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</si>
  <si>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</si>
  <si>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</si>
  <si>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</si>
  <si>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</si>
  <si>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</si>
  <si>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</si>
  <si>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</si>
  <si>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</si>
  <si>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</si>
  <si>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</si>
  <si>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</si>
  <si>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</si>
  <si>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</si>
  <si>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</si>
  <si>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</si>
  <si>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</si>
  <si>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</si>
  <si>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</si>
  <si>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</si>
  <si>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</si>
  <si>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</si>
  <si>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</si>
  <si>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</si>
  <si>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</si>
  <si>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</si>
  <si>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</si>
  <si>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</si>
  <si>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</si>
  <si>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</si>
  <si>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</si>
  <si>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</si>
  <si>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</si>
  <si>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</si>
  <si>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</si>
  <si>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</si>
  <si>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</si>
  <si>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</si>
  <si>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</si>
  <si>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</si>
  <si>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</si>
  <si>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</si>
  <si>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</si>
  <si>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</si>
  <si>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</si>
  <si>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</si>
  <si>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</si>
  <si>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</si>
  <si>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</si>
  <si>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</si>
  <si>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</si>
  <si>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</si>
  <si>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</si>
  <si>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</si>
  <si>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</si>
  <si>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</si>
  <si>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</si>
  <si>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</si>
  <si>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</si>
  <si>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</si>
  <si>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</si>
  <si>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</si>
  <si>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</si>
  <si>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</si>
  <si>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</si>
  <si>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</si>
  <si>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</si>
  <si>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</si>
  <si>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</si>
  <si>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</si>
  <si>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</si>
  <si>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</si>
  <si>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</si>
  <si>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</si>
  <si>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</si>
  <si>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</si>
  <si>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</si>
  <si>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</si>
  <si>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</si>
  <si>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</si>
  <si>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</si>
  <si>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</si>
  <si>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</si>
  <si>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</si>
  <si>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</si>
  <si>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</si>
  <si>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</si>
  <si>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</si>
  <si>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</si>
  <si>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</si>
  <si>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</si>
  <si>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</si>
  <si>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</si>
  <si>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</si>
  <si>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</si>
  <si>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</si>
  <si>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</si>
  <si>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</si>
  <si>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</si>
  <si>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</si>
  <si>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</si>
  <si>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</si>
  <si>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</si>
  <si>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</si>
  <si>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</si>
  <si>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</si>
  <si>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</si>
  <si>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</si>
  <si>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</si>
  <si>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</si>
  <si>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</si>
  <si>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</si>
  <si>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</si>
  <si>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</si>
  <si>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</si>
  <si>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</si>
  <si>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</si>
  <si>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</si>
  <si>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</si>
  <si>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</si>
  <si>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</si>
  <si>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</si>
  <si>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</si>
  <si>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</si>
  <si>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</si>
  <si>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</si>
  <si>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</si>
  <si>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</si>
  <si>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</si>
  <si>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</si>
  <si>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</si>
  <si>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</si>
  <si>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</si>
  <si>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</si>
  <si>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</si>
  <si>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</si>
  <si>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</si>
  <si>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</si>
  <si>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</si>
  <si>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</si>
  <si>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</si>
  <si>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</si>
  <si>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</si>
  <si>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</si>
  <si>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</si>
  <si>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</si>
  <si>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</si>
  <si>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</si>
  <si>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</si>
  <si>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</si>
  <si>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</si>
  <si>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</si>
  <si>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</si>
  <si>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</si>
  <si>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</si>
  <si>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</si>
  <si>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</si>
  <si>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</si>
  <si>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</si>
  <si>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</si>
  <si>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</si>
  <si>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</si>
  <si>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</si>
  <si>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</si>
  <si>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</si>
  <si>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</si>
  <si>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</si>
  <si>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</si>
  <si>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</si>
  <si>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</si>
  <si>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</si>
  <si>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</si>
  <si>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</si>
  <si>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</si>
  <si>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</si>
  <si>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</si>
  <si>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</si>
  <si>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</si>
  <si>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</si>
  <si>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</si>
  <si>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</si>
  <si>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</si>
  <si>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</si>
  <si>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</si>
  <si>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</si>
  <si>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</si>
  <si>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</si>
  <si>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</si>
  <si>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</si>
  <si>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</si>
  <si>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</si>
  <si>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</si>
  <si>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</si>
  <si>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</si>
  <si>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</si>
  <si>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</si>
  <si>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</si>
  <si>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</si>
  <si>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</si>
  <si>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</si>
  <si>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</si>
  <si>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</si>
  <si>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</si>
  <si>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</si>
  <si>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</si>
  <si>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</si>
  <si>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</si>
  <si>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</si>
  <si>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</si>
  <si>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</si>
  <si>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</si>
  <si>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</si>
  <si>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</si>
  <si>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</si>
  <si>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</si>
  <si>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</si>
  <si>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</si>
  <si>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</si>
  <si>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</si>
  <si>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</si>
  <si>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</si>
  <si>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</si>
  <si>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</si>
  <si>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</si>
  <si>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</si>
  <si>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</si>
  <si>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</si>
  <si>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</si>
  <si>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</si>
  <si>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</si>
  <si>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</si>
  <si>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</si>
  <si>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</si>
  <si>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</si>
  <si>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</si>
  <si>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</si>
  <si>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</si>
  <si>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</si>
  <si>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</si>
  <si>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</si>
  <si>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</si>
  <si>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</si>
  <si>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</si>
  <si>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</si>
  <si>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</si>
  <si>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</si>
  <si>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</si>
  <si>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</si>
  <si>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</si>
  <si>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</si>
  <si>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</si>
  <si>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</si>
  <si>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</si>
  <si>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</si>
  <si>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</si>
  <si>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</si>
  <si>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</si>
  <si>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</si>
  <si>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</si>
  <si>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</si>
  <si>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</si>
  <si>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</si>
  <si>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</si>
  <si>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</si>
  <si>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</si>
  <si>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</si>
  <si>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</si>
  <si>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</si>
  <si>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</si>
  <si>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</si>
  <si>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</si>
  <si>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</si>
  <si>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</si>
  <si>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</si>
  <si>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</si>
  <si>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</si>
  <si>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</si>
  <si>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</si>
  <si>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</si>
  <si>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</si>
  <si>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</si>
  <si>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</si>
  <si>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</si>
  <si>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</si>
  <si>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</si>
  <si>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</si>
  <si>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</si>
  <si>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</si>
  <si>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</si>
  <si>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</si>
  <si>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</si>
  <si>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</si>
  <si>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</si>
  <si>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</si>
  <si>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</si>
  <si>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</si>
  <si>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</si>
  <si>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</si>
  <si>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</si>
  <si>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</si>
  <si>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</si>
  <si>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</si>
  <si>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</si>
  <si>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</si>
  <si>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</si>
  <si>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</si>
  <si>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</si>
  <si>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</si>
  <si>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</si>
  <si>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</si>
  <si>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</si>
  <si>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</si>
  <si>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</si>
  <si>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</si>
  <si>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</si>
  <si>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</si>
  <si>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</si>
  <si>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</si>
  <si>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</si>
  <si>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</si>
  <si>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</si>
  <si>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</si>
  <si>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</si>
  <si>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</si>
  <si>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</si>
  <si>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</si>
  <si>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</si>
  <si>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</si>
  <si>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</si>
  <si>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</si>
  <si>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</si>
  <si>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</si>
  <si>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</si>
  <si>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</si>
  <si>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</si>
  <si>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</si>
  <si>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</si>
  <si>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</si>
  <si>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</si>
  <si>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</si>
  <si>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</si>
  <si>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</si>
  <si>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</si>
  <si>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</si>
  <si>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</si>
  <si>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</si>
  <si>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</si>
  <si>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</si>
  <si>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</si>
  <si>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</si>
  <si>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</si>
  <si>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</si>
  <si>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</si>
  <si>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</si>
  <si>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</si>
  <si>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</si>
  <si>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</si>
  <si>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</si>
  <si>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</si>
  <si>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</si>
  <si>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</si>
  <si>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</si>
  <si>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</si>
  <si>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</si>
  <si>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</si>
  <si>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</si>
  <si>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</si>
  <si>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</si>
  <si>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</si>
  <si>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</si>
  <si>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</si>
  <si>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</si>
  <si>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</si>
  <si>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</si>
  <si>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</si>
  <si>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</si>
  <si>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</si>
  <si>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</si>
  <si>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</si>
  <si>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</si>
  <si>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</si>
  <si>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</si>
  <si>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</si>
  <si>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</si>
  <si>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</si>
  <si>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</si>
  <si>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</si>
  <si>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</si>
  <si>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</si>
  <si>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</si>
  <si>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</si>
  <si>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</si>
  <si>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</si>
  <si>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</si>
  <si>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</si>
  <si>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</si>
  <si>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</si>
  <si>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</si>
  <si>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</si>
  <si>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</si>
  <si>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</si>
  <si>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</si>
  <si>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</si>
  <si>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</si>
  <si>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</si>
  <si>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</si>
  <si>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</si>
  <si>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</si>
  <si>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</si>
  <si>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</si>
  <si>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</si>
  <si>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</si>
  <si>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</si>
  <si>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</si>
  <si>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</si>
  <si>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</si>
  <si>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</si>
  <si>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</si>
  <si>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</si>
  <si>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</si>
  <si>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</si>
  <si>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</si>
  <si>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</si>
  <si>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</si>
  <si>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</si>
  <si>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</si>
  <si>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</si>
  <si>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</si>
  <si>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</si>
  <si>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</si>
  <si>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</si>
  <si>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</si>
  <si>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</si>
  <si>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</si>
  <si>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</si>
  <si>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</si>
  <si>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</si>
  <si>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</si>
  <si>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</si>
  <si>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</si>
  <si>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</si>
  <si>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</si>
  <si>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</si>
  <si>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</si>
  <si>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</si>
  <si>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</si>
  <si>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</si>
  <si>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</si>
  <si>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</si>
  <si>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</si>
  <si>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</si>
  <si>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</si>
  <si>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</si>
  <si>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</si>
  <si>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</si>
  <si>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</si>
  <si>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</si>
  <si>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</si>
  <si>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</si>
  <si>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</si>
  <si>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</si>
  <si>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</si>
  <si>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</si>
  <si>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</si>
  <si>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</si>
  <si>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</si>
  <si>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</si>
  <si>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</si>
  <si>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</si>
  <si>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</si>
  <si>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</si>
  <si>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</si>
  <si>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</si>
  <si>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</si>
  <si>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</si>
  <si>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</si>
  <si>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</si>
  <si>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</si>
  <si>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</si>
  <si>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</si>
  <si>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</si>
  <si>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</si>
  <si>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</si>
  <si>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</si>
  <si>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</si>
  <si>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</si>
  <si>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</si>
  <si>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</si>
  <si>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</si>
  <si>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</si>
  <si>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</si>
  <si>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</si>
  <si>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</si>
  <si>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</si>
  <si>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</si>
  <si>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</si>
  <si>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</si>
  <si>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</si>
  <si>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</si>
  <si>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</si>
  <si>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</si>
  <si>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</si>
  <si>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</si>
  <si>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</si>
  <si>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</si>
  <si>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</si>
  <si>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</si>
  <si>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</si>
  <si>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</si>
  <si>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</si>
  <si>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</si>
  <si>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</si>
  <si>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</si>
  <si>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</si>
  <si>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</si>
  <si>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</si>
  <si>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</si>
  <si>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</si>
  <si>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</si>
  <si>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</si>
  <si>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</si>
  <si>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</si>
  <si>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</si>
  <si>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</si>
  <si>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</si>
  <si>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</si>
  <si>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</si>
  <si>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</si>
  <si>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</si>
  <si>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</si>
  <si>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</si>
  <si>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</si>
  <si>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</si>
  <si>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</si>
  <si>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</si>
  <si>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</si>
  <si>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</si>
  <si>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</si>
  <si>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</si>
  <si>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</si>
  <si>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</si>
  <si>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</si>
  <si>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</si>
  <si>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</si>
  <si>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</si>
  <si>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</si>
  <si>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</si>
  <si>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</si>
  <si>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</si>
  <si>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</si>
  <si>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</si>
  <si>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</si>
  <si>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</si>
  <si>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</si>
  <si>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</si>
  <si>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</si>
  <si>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</si>
  <si>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</si>
  <si>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</si>
  <si>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</si>
  <si>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</si>
  <si>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</si>
  <si>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</si>
  <si>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</si>
  <si>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</si>
  <si>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</si>
  <si>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</si>
  <si>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</si>
  <si>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</si>
  <si>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</si>
  <si>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</si>
  <si>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</si>
  <si>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</si>
  <si>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</si>
  <si>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</si>
  <si>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</si>
  <si>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</si>
  <si>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</si>
  <si>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</si>
  <si>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</si>
  <si>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</si>
  <si>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</si>
  <si>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</si>
  <si>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</si>
  <si>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</si>
  <si>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</si>
  <si>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</si>
  <si>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</si>
  <si>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</si>
  <si>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</si>
  <si>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</si>
  <si>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EB-2017-0034</t>
  </si>
  <si>
    <t>2018 COS/IRM Application</t>
  </si>
  <si>
    <t>Streetlights</t>
  </si>
  <si>
    <t>RetrofitIndustrial</t>
  </si>
  <si>
    <t>Industrial</t>
  </si>
  <si>
    <t>Business</t>
  </si>
  <si>
    <t>COLLUS Power Corp.</t>
  </si>
  <si>
    <t>Business &amp; Industrial</t>
  </si>
  <si>
    <t>COLLUS PowerStream Corp.</t>
  </si>
  <si>
    <t>Whole Home Pilot Program</t>
  </si>
  <si>
    <t>EB-2018-0025</t>
  </si>
  <si>
    <t>2013 Settlement Agreement, p. 23/24 of 43</t>
  </si>
  <si>
    <t>EB-2009-0220</t>
  </si>
  <si>
    <t>EB-2010-0076</t>
  </si>
  <si>
    <t>EB-2011-0163</t>
  </si>
  <si>
    <t>EB-2012-0116</t>
  </si>
  <si>
    <t>EB-2013-0121</t>
  </si>
  <si>
    <t>EB-2014-0065</t>
  </si>
  <si>
    <t>EB-2015-0062</t>
  </si>
  <si>
    <t>EB-2016-0064</t>
  </si>
  <si>
    <t>KWh</t>
  </si>
  <si>
    <t>Variance</t>
  </si>
  <si>
    <t>2017-0034</t>
  </si>
  <si>
    <t>2013-2015</t>
  </si>
  <si>
    <t>EPCOR ELECTRICITY DISTRIBUTION ONTARIO INC.</t>
  </si>
  <si>
    <t>2013 COS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</si>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</sst>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7" formatCode="&quot;$&quot;#,##0.00_);\(&quot;$&quot;#,##0.0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u/>
      <sz val="11"/>
      <name val="Arial"/>
      <family val="2"/>
    </font>
    <font>
      <b/>
      <i/>
      <sz val="16"/>
      <color rgb="FFFF0000"/>
      <name val="Arial"/>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233A81"/>
        <bgColor rgb="FF000000"/>
      </patternFill>
    </fill>
    <fill>
      <patternFill patternType="solid">
        <fgColor rgb="FF233A81"/>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8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48" fillId="28" borderId="110" xfId="0" applyNumberFormat="1" applyFont="1" applyFill="1" applyBorder="1" applyAlignment="1" applyProtection="1">
      <alignment horizontal="center"/>
      <protection locked="0"/>
    </xf>
    <xf numFmtId="0" fontId="91" fillId="2" borderId="0" xfId="0" applyFont="1" applyFill="1" applyBorder="1" applyAlignment="1">
      <alignment wrapText="1"/>
    </xf>
    <xf numFmtId="175" fontId="91" fillId="28" borderId="122" xfId="0" applyNumberFormat="1" applyFont="1" applyFill="1" applyBorder="1" applyAlignment="1">
      <alignment horizontal="left"/>
    </xf>
    <xf numFmtId="175" fontId="47" fillId="2" borderId="122"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0" fontId="44" fillId="2" borderId="0" xfId="0" applyFont="1" applyFill="1" applyBorder="1" applyAlignment="1">
      <alignment horizontal="left" vertical="top"/>
    </xf>
    <xf numFmtId="8" fontId="13" fillId="2" borderId="0" xfId="0" applyNumberFormat="1" applyFont="1" applyFill="1" applyBorder="1"/>
    <xf numFmtId="8" fontId="91" fillId="2" borderId="103" xfId="0" applyNumberFormat="1" applyFont="1" applyFill="1" applyBorder="1" applyAlignment="1">
      <alignment horizontal="center"/>
    </xf>
    <xf numFmtId="8" fontId="91" fillId="28" borderId="143" xfId="0" applyNumberFormat="1" applyFont="1" applyFill="1" applyBorder="1" applyAlignment="1">
      <alignment horizontal="center"/>
    </xf>
    <xf numFmtId="8" fontId="91" fillId="2" borderId="144" xfId="0" applyNumberFormat="1" applyFont="1" applyFill="1" applyBorder="1" applyAlignment="1">
      <alignment horizontal="center"/>
    </xf>
    <xf numFmtId="175" fontId="47" fillId="2" borderId="134" xfId="0" applyNumberFormat="1" applyFont="1" applyFill="1" applyBorder="1" applyAlignment="1">
      <alignment horizontal="center"/>
    </xf>
    <xf numFmtId="175" fontId="57" fillId="2" borderId="109" xfId="0" applyNumberFormat="1" applyFont="1" applyFill="1" applyBorder="1" applyAlignment="1">
      <alignment horizontal="center"/>
    </xf>
    <xf numFmtId="3" fontId="91" fillId="2" borderId="118" xfId="0" applyNumberFormat="1" applyFont="1" applyFill="1" applyBorder="1" applyAlignment="1">
      <alignment horizontal="center" vertical="center"/>
    </xf>
    <xf numFmtId="3" fontId="91" fillId="2" borderId="103" xfId="0" applyNumberFormat="1" applyFont="1" applyFill="1" applyBorder="1" applyAlignment="1">
      <alignment horizontal="center" vertical="center"/>
    </xf>
    <xf numFmtId="8" fontId="91" fillId="2" borderId="89" xfId="0" applyNumberFormat="1" applyFont="1" applyFill="1" applyBorder="1" applyAlignment="1">
      <alignment horizontal="center"/>
    </xf>
    <xf numFmtId="8" fontId="91" fillId="28" borderId="0" xfId="0" applyNumberFormat="1" applyFont="1" applyFill="1" applyBorder="1" applyAlignment="1">
      <alignment horizontal="center"/>
    </xf>
    <xf numFmtId="175" fontId="47" fillId="2" borderId="89" xfId="0" applyNumberFormat="1" applyFont="1" applyFill="1" applyBorder="1" applyAlignment="1">
      <alignment horizontal="center"/>
    </xf>
    <xf numFmtId="8" fontId="236" fillId="2" borderId="89" xfId="73" applyNumberFormat="1" applyFont="1" applyFill="1" applyBorder="1" applyAlignment="1">
      <alignment horizontal="center" vertical="center"/>
    </xf>
    <xf numFmtId="175" fontId="45" fillId="2" borderId="89" xfId="0" applyNumberFormat="1" applyFont="1" applyFill="1" applyBorder="1" applyAlignment="1">
      <alignment horizontal="center"/>
    </xf>
    <xf numFmtId="3" fontId="47" fillId="2" borderId="97" xfId="0" applyNumberFormat="1" applyFont="1" applyFill="1" applyBorder="1" applyAlignment="1">
      <alignment horizontal="center" vertical="center"/>
    </xf>
    <xf numFmtId="8" fontId="47" fillId="2" borderId="12" xfId="0" applyNumberFormat="1" applyFont="1" applyFill="1" applyBorder="1" applyAlignment="1">
      <alignment horizontal="center"/>
    </xf>
    <xf numFmtId="8" fontId="47" fillId="28" borderId="12" xfId="0" applyNumberFormat="1" applyFont="1" applyFill="1" applyBorder="1" applyAlignment="1">
      <alignment horizontal="center"/>
    </xf>
    <xf numFmtId="8" fontId="44" fillId="2" borderId="12" xfId="0" applyNumberFormat="1" applyFont="1" applyFill="1" applyBorder="1" applyAlignment="1">
      <alignment horizontal="center"/>
    </xf>
    <xf numFmtId="175" fontId="57" fillId="2" borderId="89" xfId="0" applyNumberFormat="1" applyFont="1" applyFill="1" applyBorder="1" applyAlignment="1">
      <alignment horizontal="center"/>
    </xf>
    <xf numFmtId="0" fontId="41" fillId="2" borderId="0" xfId="0" applyFont="1" applyFill="1" applyAlignment="1">
      <alignment vertical="center"/>
    </xf>
    <xf numFmtId="0" fontId="46" fillId="2" borderId="0" xfId="0" applyFont="1" applyFill="1" applyBorder="1" applyAlignment="1">
      <alignment vertical="center"/>
    </xf>
    <xf numFmtId="0" fontId="41" fillId="28" borderId="0" xfId="0" applyFont="1" applyFill="1"/>
    <xf numFmtId="0" fontId="41" fillId="92" borderId="0" xfId="0" applyFont="1" applyFill="1" applyBorder="1" applyAlignment="1">
      <alignment horizontal="left" vertical="center"/>
    </xf>
    <xf numFmtId="0" fontId="42" fillId="2" borderId="0" xfId="0" applyFont="1" applyFill="1" applyBorder="1" applyAlignment="1">
      <alignment vertical="center"/>
    </xf>
    <xf numFmtId="0" fontId="42" fillId="2" borderId="0" xfId="0" applyFont="1" applyFill="1" applyAlignment="1">
      <alignment vertical="center"/>
    </xf>
    <xf numFmtId="0" fontId="46" fillId="2" borderId="0" xfId="0" applyFont="1" applyFill="1" applyBorder="1" applyAlignment="1">
      <alignment horizontal="left" vertical="center"/>
    </xf>
    <xf numFmtId="0" fontId="41" fillId="2" borderId="0" xfId="0" applyFont="1" applyFill="1" applyBorder="1"/>
    <xf numFmtId="0" fontId="44" fillId="2" borderId="9" xfId="0" applyFont="1" applyFill="1" applyBorder="1"/>
    <xf numFmtId="175" fontId="42" fillId="2" borderId="0" xfId="0" applyNumberFormat="1" applyFont="1" applyFill="1"/>
    <xf numFmtId="0" fontId="241" fillId="2" borderId="0" xfId="0" applyFont="1" applyFill="1" applyBorder="1" applyAlignment="1">
      <alignment vertical="center"/>
    </xf>
    <xf numFmtId="0" fontId="42" fillId="2" borderId="0" xfId="0" applyFont="1" applyFill="1" applyBorder="1"/>
    <xf numFmtId="8" fontId="8" fillId="2" borderId="0" xfId="0" applyNumberFormat="1" applyFont="1" applyFill="1" applyBorder="1" applyAlignment="1">
      <alignment horizontal="center"/>
    </xf>
    <xf numFmtId="177" fontId="41" fillId="2" borderId="0" xfId="0" applyNumberFormat="1" applyFont="1" applyFill="1" applyBorder="1"/>
    <xf numFmtId="0" fontId="236" fillId="2" borderId="0" xfId="73" applyFont="1" applyFill="1" applyBorder="1" applyAlignment="1">
      <alignment horizontal="left" vertical="center"/>
    </xf>
    <xf numFmtId="177" fontId="41" fillId="2" borderId="0" xfId="0" applyNumberFormat="1" applyFont="1" applyFill="1"/>
    <xf numFmtId="8" fontId="47" fillId="2" borderId="0" xfId="0" applyNumberFormat="1" applyFont="1" applyFill="1" applyBorder="1" applyAlignment="1">
      <alignment horizontal="center"/>
    </xf>
    <xf numFmtId="0" fontId="91" fillId="2" borderId="0" xfId="0" applyFont="1" applyFill="1" applyBorder="1"/>
    <xf numFmtId="177" fontId="48" fillId="2" borderId="0" xfId="0" applyNumberFormat="1" applyFont="1" applyFill="1"/>
    <xf numFmtId="8" fontId="48" fillId="2" borderId="0" xfId="0" applyNumberFormat="1" applyFont="1" applyFill="1"/>
    <xf numFmtId="8" fontId="44" fillId="2" borderId="0" xfId="0" applyNumberFormat="1" applyFont="1" applyFill="1" applyBorder="1" applyAlignment="1">
      <alignment horizontal="center"/>
    </xf>
    <xf numFmtId="8" fontId="48" fillId="2" borderId="0" xfId="0" applyNumberFormat="1" applyFont="1" applyFill="1" applyBorder="1"/>
    <xf numFmtId="0" fontId="91" fillId="28" borderId="89" xfId="0" applyFont="1" applyFill="1" applyBorder="1" applyAlignment="1" applyProtection="1">
      <protection locked="0"/>
    </xf>
    <xf numFmtId="0" fontId="236" fillId="2" borderId="0" xfId="73" applyFont="1" applyFill="1"/>
    <xf numFmtId="0" fontId="41" fillId="92" borderId="0" xfId="0" applyFont="1" applyFill="1" applyBorder="1" applyAlignment="1">
      <alignment vertical="center"/>
    </xf>
    <xf numFmtId="0" fontId="48" fillId="92" borderId="0" xfId="0" applyFont="1" applyFill="1" applyBorder="1" applyAlignment="1">
      <alignment vertical="center"/>
    </xf>
    <xf numFmtId="7" fontId="91" fillId="2" borderId="0" xfId="0" applyNumberFormat="1" applyFont="1" applyFill="1" applyBorder="1" applyAlignment="1">
      <alignment horizontal="center"/>
    </xf>
    <xf numFmtId="7" fontId="47" fillId="2" borderId="12" xfId="0" applyNumberFormat="1" applyFont="1" applyFill="1" applyBorder="1" applyAlignment="1">
      <alignment horizontal="center"/>
    </xf>
    <xf numFmtId="7" fontId="221" fillId="2" borderId="0" xfId="0" applyNumberFormat="1" applyFont="1" applyFill="1" applyBorder="1" applyAlignment="1">
      <alignment horizontal="center"/>
    </xf>
    <xf numFmtId="7" fontId="231" fillId="2" borderId="12" xfId="0" applyNumberFormat="1" applyFont="1" applyFill="1" applyBorder="1" applyAlignment="1">
      <alignment horizontal="center"/>
    </xf>
    <xf numFmtId="7" fontId="91" fillId="28" borderId="0" xfId="0" applyNumberFormat="1" applyFont="1" applyFill="1" applyBorder="1" applyAlignment="1">
      <alignment horizontal="center"/>
    </xf>
    <xf numFmtId="7" fontId="47" fillId="28" borderId="12" xfId="0" applyNumberFormat="1" applyFont="1" applyFill="1" applyBorder="1" applyAlignment="1">
      <alignment horizontal="center"/>
    </xf>
    <xf numFmtId="7" fontId="47" fillId="2" borderId="0" xfId="0" applyNumberFormat="1" applyFont="1" applyFill="1" applyBorder="1" applyAlignment="1">
      <alignment horizontal="center"/>
    </xf>
    <xf numFmtId="7" fontId="41" fillId="28" borderId="0" xfId="0" applyNumberFormat="1" applyFont="1" applyFill="1" applyBorder="1"/>
    <xf numFmtId="7" fontId="42" fillId="28" borderId="12" xfId="0" applyNumberFormat="1" applyFont="1" applyFill="1" applyBorder="1"/>
    <xf numFmtId="7" fontId="57" fillId="2" borderId="0" xfId="0" applyNumberFormat="1" applyFont="1" applyFill="1" applyBorder="1" applyAlignment="1">
      <alignment horizontal="center"/>
    </xf>
    <xf numFmtId="7" fontId="57" fillId="2" borderId="12" xfId="0" applyNumberFormat="1" applyFont="1" applyFill="1" applyBorder="1" applyAlignment="1">
      <alignment horizontal="center"/>
    </xf>
    <xf numFmtId="7" fontId="208" fillId="2" borderId="0" xfId="0" applyNumberFormat="1" applyFont="1" applyFill="1" applyBorder="1" applyAlignment="1">
      <alignment horizontal="center"/>
    </xf>
    <xf numFmtId="7" fontId="240" fillId="2" borderId="12" xfId="0" applyNumberFormat="1" applyFont="1" applyFill="1" applyBorder="1" applyAlignment="1">
      <alignment horizontal="center"/>
    </xf>
    <xf numFmtId="7" fontId="57" fillId="2" borderId="5" xfId="0" applyNumberFormat="1" applyFont="1" applyFill="1" applyBorder="1" applyAlignment="1">
      <alignment horizontal="center"/>
    </xf>
    <xf numFmtId="7" fontId="57" fillId="2" borderId="112" xfId="0" applyNumberFormat="1" applyFont="1" applyFill="1" applyBorder="1" applyAlignment="1">
      <alignment horizontal="center"/>
    </xf>
    <xf numFmtId="174" fontId="213" fillId="96" borderId="110" xfId="0" applyNumberFormat="1" applyFont="1" applyFill="1" applyBorder="1" applyAlignment="1">
      <alignment horizontal="center" vertical="center" wrapText="1"/>
    </xf>
    <xf numFmtId="174" fontId="213" fillId="97" borderId="110" xfId="6" applyNumberFormat="1" applyFont="1" applyFill="1" applyBorder="1" applyAlignment="1">
      <alignment horizontal="center" vertical="center" wrapText="1"/>
    </xf>
    <xf numFmtId="174" fontId="52" fillId="97" borderId="110" xfId="6" applyNumberFormat="1" applyFont="1" applyFill="1" applyBorder="1" applyAlignment="1">
      <alignment horizontal="center" vertical="center" wrapText="1"/>
    </xf>
    <xf numFmtId="287" fontId="212" fillId="28" borderId="28" xfId="70" applyNumberFormat="1" applyFont="1" applyFill="1" applyBorder="1" applyAlignment="1">
      <alignment horizontal="left" vertical="center"/>
    </xf>
    <xf numFmtId="0" fontId="91" fillId="28" borderId="139" xfId="0" applyFont="1" applyFill="1" applyBorder="1" applyAlignment="1">
      <alignment horizontal="right" vertical="center"/>
    </xf>
    <xf numFmtId="0" fontId="212" fillId="28" borderId="123" xfId="40" applyNumberFormat="1" applyFont="1" applyFill="1" applyBorder="1" applyAlignment="1">
      <alignment horizontal="righ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91" fillId="92" borderId="0" xfId="0" applyFont="1" applyFill="1" applyBorder="1" applyAlignment="1">
      <alignment horizontal="left" vertic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34163" y="205391"/>
          <a:ext cx="6368419" cy="2124484"/>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864" y="127395"/>
          <a:ext cx="6447517" cy="196640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337811" cy="1859159"/>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5508" y="140677"/>
          <a:ext cx="29706277" cy="1746739"/>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11</xdr:col>
      <xdr:colOff>110813</xdr:colOff>
      <xdr:row>2</xdr:row>
      <xdr:rowOff>3380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0"/>
          <a:ext cx="9513670" cy="0"/>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9</xdr:col>
      <xdr:colOff>715855</xdr:colOff>
      <xdr:row>0</xdr:row>
      <xdr:rowOff>1747574</xdr:rowOff>
    </xdr:from>
    <xdr:to>
      <xdr:col>10</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4049375" y="1747574"/>
          <a:ext cx="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1</xdr:col>
          <xdr:colOff>1876425</xdr:colOff>
          <xdr:row>115</xdr:row>
          <xdr:rowOff>0</xdr:rowOff>
        </xdr:from>
        <xdr:to>
          <xdr:col>2</xdr:col>
          <xdr:colOff>428625</xdr:colOff>
          <xdr:row>116</xdr:row>
          <xdr:rowOff>152400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3919512" cy="233974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1390650</xdr:colOff>
          <xdr:row>67</xdr:row>
          <xdr:rowOff>142875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1390650</xdr:colOff>
          <xdr:row>67</xdr:row>
          <xdr:rowOff>142875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1390650</xdr:colOff>
          <xdr:row>67</xdr:row>
          <xdr:rowOff>142875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1390650</xdr:colOff>
          <xdr:row>67</xdr:row>
          <xdr:rowOff>142875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1390650</xdr:colOff>
          <xdr:row>67</xdr:row>
          <xdr:rowOff>142875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49936" y="36576"/>
          <a:ext cx="16724376" cy="210312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6330" y="0"/>
          <a:ext cx="20032252" cy="208088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4464" y="265855"/>
          <a:ext cx="15971769" cy="1482992"/>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topLeftCell="A10" zoomScaleNormal="100" workbookViewId="0">
      <selection activeCell="C32" sqref="C32"/>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16" t="s">
        <v>175</v>
      </c>
      <c r="C3" s="816"/>
    </row>
    <row r="4" spans="1:3" ht="11.25" customHeight="1"/>
    <row r="5" spans="1:3" s="30" customFormat="1" ht="25.5" customHeight="1">
      <c r="B5" s="62" t="s">
        <v>423</v>
      </c>
      <c r="C5" s="62" t="s">
        <v>174</v>
      </c>
    </row>
    <row r="6" spans="1:3" s="178" customFormat="1" ht="48" customHeight="1">
      <c r="A6" s="243"/>
      <c r="B6" s="618" t="s">
        <v>171</v>
      </c>
      <c r="C6" s="671" t="s">
        <v>606</v>
      </c>
    </row>
    <row r="7" spans="1:3" s="178" customFormat="1" ht="21" customHeight="1">
      <c r="A7" s="243"/>
      <c r="B7" s="612" t="s">
        <v>556</v>
      </c>
      <c r="C7" s="672" t="s">
        <v>619</v>
      </c>
    </row>
    <row r="8" spans="1:3" s="178" customFormat="1" ht="32.25" customHeight="1">
      <c r="B8" s="612" t="s">
        <v>370</v>
      </c>
      <c r="C8" s="673" t="s">
        <v>607</v>
      </c>
    </row>
    <row r="9" spans="1:3" s="178" customFormat="1" ht="27.75" customHeight="1">
      <c r="B9" s="612" t="s">
        <v>170</v>
      </c>
      <c r="C9" s="673" t="s">
        <v>608</v>
      </c>
    </row>
    <row r="10" spans="1:3" s="178" customFormat="1" ht="33" customHeight="1">
      <c r="B10" s="612" t="s">
        <v>604</v>
      </c>
      <c r="C10" s="672" t="s">
        <v>612</v>
      </c>
    </row>
    <row r="11" spans="1:3" s="178" customFormat="1" ht="26.25" customHeight="1">
      <c r="B11" s="627" t="s">
        <v>371</v>
      </c>
      <c r="C11" s="675" t="s">
        <v>609</v>
      </c>
    </row>
    <row r="12" spans="1:3" s="178" customFormat="1" ht="39.75" customHeight="1">
      <c r="B12" s="612" t="s">
        <v>372</v>
      </c>
      <c r="C12" s="673" t="s">
        <v>610</v>
      </c>
    </row>
    <row r="13" spans="1:3" s="178" customFormat="1" ht="18" customHeight="1">
      <c r="B13" s="612" t="s">
        <v>373</v>
      </c>
      <c r="C13" s="673" t="s">
        <v>611</v>
      </c>
    </row>
    <row r="14" spans="1:3" s="178" customFormat="1" ht="13.5" customHeight="1">
      <c r="B14" s="612"/>
      <c r="C14" s="674"/>
    </row>
    <row r="15" spans="1:3" s="178" customFormat="1" ht="18" customHeight="1">
      <c r="B15" s="612" t="s">
        <v>683</v>
      </c>
      <c r="C15" s="672" t="s">
        <v>681</v>
      </c>
    </row>
    <row r="16" spans="1:3" s="178" customFormat="1" ht="8.25" customHeight="1">
      <c r="B16" s="612"/>
      <c r="C16" s="674"/>
    </row>
    <row r="17" spans="2:3" s="178" customFormat="1" ht="33" customHeight="1">
      <c r="B17" s="676" t="s">
        <v>605</v>
      </c>
      <c r="C17" s="677" t="s">
        <v>682</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1" fitToHeight="0" orientation="landscape" r:id="rId1"/>
  <headerFooter>
    <oddFooter>&amp;R&amp;P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heetViews>
  <sheetFormatPr defaultRowHeight="15"/>
  <cols>
    <col min="1" max="16384" width="9.140625" style="12"/>
  </cols>
  <sheetData>
    <row r="14" spans="2:24" ht="15.75">
      <c r="B14" s="588" t="s">
        <v>509</v>
      </c>
    </row>
    <row r="15" spans="2:24" ht="15.75">
      <c r="B15" s="588"/>
    </row>
    <row r="16" spans="2:24" s="668" customFormat="1" ht="28.5" customHeight="1">
      <c r="B16" s="865" t="s">
        <v>644</v>
      </c>
      <c r="C16" s="865"/>
      <c r="D16" s="865"/>
      <c r="E16" s="865"/>
      <c r="F16" s="865"/>
      <c r="G16" s="865"/>
      <c r="H16" s="865"/>
      <c r="I16" s="865"/>
      <c r="J16" s="865"/>
      <c r="K16" s="865"/>
      <c r="L16" s="865"/>
      <c r="M16" s="865"/>
      <c r="N16" s="865"/>
      <c r="O16" s="865"/>
      <c r="P16" s="865"/>
      <c r="Q16" s="865"/>
      <c r="R16" s="865"/>
      <c r="S16" s="865"/>
      <c r="T16" s="865"/>
      <c r="U16" s="865"/>
      <c r="V16" s="865"/>
      <c r="W16" s="865"/>
      <c r="X16" s="865"/>
    </row>
  </sheetData>
  <mergeCells count="1">
    <mergeCell ref="B16:X1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P534"/>
  <sheetViews>
    <sheetView topLeftCell="A384" zoomScale="55" zoomScaleNormal="55" zoomScaleSheetLayoutView="80" zoomScalePageLayoutView="85" workbookViewId="0">
      <selection activeCell="C21" sqref="C21"/>
    </sheetView>
  </sheetViews>
  <sheetFormatPr defaultRowHeight="14.25" outlineLevelRow="1" outlineLevelCol="1"/>
  <cols>
    <col min="1" max="1" width="4.7109375" style="509" customWidth="1"/>
    <col min="2" max="2" width="43.7109375" style="256" customWidth="1"/>
    <col min="3" max="3" width="14" style="256" customWidth="1"/>
    <col min="4" max="4" width="18.140625" style="255" customWidth="1"/>
    <col min="5" max="8" width="10.42578125" style="255" hidden="1" customWidth="1" outlineLevel="1"/>
    <col min="9" max="13" width="9.140625" style="255" hidden="1" customWidth="1" outlineLevel="1"/>
    <col min="14" max="14" width="12.42578125" style="255" hidden="1" customWidth="1" outlineLevel="1"/>
    <col min="15" max="15" width="17.5703125" style="255" customWidth="1" collapsed="1"/>
    <col min="16" max="24" width="9.42578125" style="255" hidden="1" customWidth="1" outlineLevel="1"/>
    <col min="25" max="25" width="14.140625" style="257" customWidth="1" collapsed="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66" t="s">
        <v>172</v>
      </c>
      <c r="C3" s="259" t="s">
        <v>176</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66"/>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5"/>
      <c r="C5" s="863" t="s">
        <v>555</v>
      </c>
      <c r="D5" s="864"/>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66" t="s">
        <v>509</v>
      </c>
      <c r="C7" s="867" t="s">
        <v>642</v>
      </c>
      <c r="D7" s="867"/>
      <c r="E7" s="867"/>
      <c r="F7" s="867"/>
      <c r="G7" s="867"/>
      <c r="H7" s="867"/>
      <c r="I7" s="867"/>
      <c r="J7" s="867"/>
      <c r="K7" s="867"/>
      <c r="L7" s="867"/>
      <c r="M7" s="867"/>
      <c r="N7" s="867"/>
      <c r="O7" s="867"/>
      <c r="P7" s="867"/>
      <c r="Q7" s="867"/>
      <c r="R7" s="867"/>
      <c r="S7" s="867"/>
      <c r="T7" s="867"/>
      <c r="U7" s="867"/>
      <c r="V7" s="867"/>
      <c r="W7" s="867"/>
      <c r="X7" s="867"/>
      <c r="Y7" s="606"/>
      <c r="Z7" s="606"/>
      <c r="AA7" s="606"/>
      <c r="AB7" s="606"/>
      <c r="AC7" s="606"/>
      <c r="AD7" s="606"/>
      <c r="AE7" s="272"/>
      <c r="AF7" s="272"/>
      <c r="AG7" s="272"/>
      <c r="AH7" s="272"/>
      <c r="AI7" s="272"/>
      <c r="AJ7" s="272"/>
      <c r="AK7" s="272"/>
      <c r="AL7" s="272"/>
    </row>
    <row r="8" spans="1:39" s="273" customFormat="1" ht="58.5" customHeight="1">
      <c r="A8" s="509"/>
      <c r="B8" s="866"/>
      <c r="C8" s="867" t="s">
        <v>576</v>
      </c>
      <c r="D8" s="867"/>
      <c r="E8" s="867"/>
      <c r="F8" s="867"/>
      <c r="G8" s="867"/>
      <c r="H8" s="867"/>
      <c r="I8" s="867"/>
      <c r="J8" s="867"/>
      <c r="K8" s="867"/>
      <c r="L8" s="867"/>
      <c r="M8" s="867"/>
      <c r="N8" s="867"/>
      <c r="O8" s="867"/>
      <c r="P8" s="867"/>
      <c r="Q8" s="867"/>
      <c r="R8" s="867"/>
      <c r="S8" s="867"/>
      <c r="T8" s="867"/>
      <c r="U8" s="867"/>
      <c r="V8" s="867"/>
      <c r="W8" s="867"/>
      <c r="X8" s="867"/>
      <c r="Y8" s="606"/>
      <c r="Z8" s="606"/>
      <c r="AA8" s="606"/>
      <c r="AB8" s="606"/>
      <c r="AC8" s="606"/>
      <c r="AD8" s="606"/>
      <c r="AE8" s="274"/>
      <c r="AF8" s="257"/>
      <c r="AG8" s="257"/>
      <c r="AH8" s="257"/>
      <c r="AI8" s="257"/>
      <c r="AJ8" s="257"/>
      <c r="AK8" s="257"/>
      <c r="AL8" s="257"/>
      <c r="AM8" s="258"/>
    </row>
    <row r="9" spans="1:39" s="273" customFormat="1" ht="57.75" customHeight="1">
      <c r="A9" s="509"/>
      <c r="B9" s="275"/>
      <c r="C9" s="867" t="s">
        <v>575</v>
      </c>
      <c r="D9" s="867"/>
      <c r="E9" s="867"/>
      <c r="F9" s="867"/>
      <c r="G9" s="867"/>
      <c r="H9" s="867"/>
      <c r="I9" s="867"/>
      <c r="J9" s="867"/>
      <c r="K9" s="867"/>
      <c r="L9" s="867"/>
      <c r="M9" s="867"/>
      <c r="N9" s="867"/>
      <c r="O9" s="867"/>
      <c r="P9" s="867"/>
      <c r="Q9" s="867"/>
      <c r="R9" s="867"/>
      <c r="S9" s="867"/>
      <c r="T9" s="867"/>
      <c r="U9" s="867"/>
      <c r="V9" s="867"/>
      <c r="W9" s="867"/>
      <c r="X9" s="867"/>
      <c r="Y9" s="606"/>
      <c r="Z9" s="606"/>
      <c r="AA9" s="606"/>
      <c r="AB9" s="606"/>
      <c r="AC9" s="606"/>
      <c r="AD9" s="606"/>
      <c r="AE9" s="274"/>
      <c r="AF9" s="257"/>
      <c r="AG9" s="257"/>
      <c r="AH9" s="257"/>
      <c r="AI9" s="257"/>
      <c r="AJ9" s="257"/>
      <c r="AK9" s="257"/>
      <c r="AL9" s="257"/>
      <c r="AM9" s="258"/>
    </row>
    <row r="10" spans="1:39" ht="41.25" customHeight="1">
      <c r="B10" s="277"/>
      <c r="C10" s="867" t="s">
        <v>645</v>
      </c>
      <c r="D10" s="867"/>
      <c r="E10" s="867"/>
      <c r="F10" s="867"/>
      <c r="G10" s="867"/>
      <c r="H10" s="867"/>
      <c r="I10" s="867"/>
      <c r="J10" s="867"/>
      <c r="K10" s="867"/>
      <c r="L10" s="867"/>
      <c r="M10" s="867"/>
      <c r="N10" s="867"/>
      <c r="O10" s="867"/>
      <c r="P10" s="867"/>
      <c r="Q10" s="867"/>
      <c r="R10" s="867"/>
      <c r="S10" s="867"/>
      <c r="T10" s="867"/>
      <c r="U10" s="867"/>
      <c r="V10" s="867"/>
      <c r="W10" s="867"/>
      <c r="X10" s="867"/>
      <c r="Y10" s="606"/>
      <c r="Z10" s="606"/>
      <c r="AA10" s="606"/>
      <c r="AB10" s="606"/>
      <c r="AC10" s="606"/>
      <c r="AD10" s="606"/>
      <c r="AE10" s="274"/>
      <c r="AF10" s="278"/>
      <c r="AG10" s="278"/>
      <c r="AH10" s="278"/>
      <c r="AI10" s="278"/>
      <c r="AJ10" s="278"/>
      <c r="AK10" s="278"/>
      <c r="AL10" s="278"/>
    </row>
    <row r="11" spans="1:39" ht="53.25" customHeight="1">
      <c r="C11" s="867" t="s">
        <v>628</v>
      </c>
      <c r="D11" s="867"/>
      <c r="E11" s="867"/>
      <c r="F11" s="867"/>
      <c r="G11" s="867"/>
      <c r="H11" s="867"/>
      <c r="I11" s="867"/>
      <c r="J11" s="867"/>
      <c r="K11" s="867"/>
      <c r="L11" s="867"/>
      <c r="M11" s="867"/>
      <c r="N11" s="867"/>
      <c r="O11" s="867"/>
      <c r="P11" s="867"/>
      <c r="Q11" s="867"/>
      <c r="R11" s="867"/>
      <c r="S11" s="867"/>
      <c r="T11" s="867"/>
      <c r="U11" s="867"/>
      <c r="V11" s="867"/>
      <c r="W11" s="867"/>
      <c r="X11" s="867"/>
      <c r="Y11" s="606"/>
      <c r="Z11" s="606"/>
      <c r="AA11" s="606"/>
      <c r="AB11" s="606"/>
      <c r="AC11" s="606"/>
      <c r="AD11" s="606"/>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66" t="s">
        <v>531</v>
      </c>
      <c r="C13" s="591" t="s">
        <v>526</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4"/>
      <c r="AF13" s="278"/>
      <c r="AG13" s="278"/>
      <c r="AH13" s="278"/>
      <c r="AI13" s="278"/>
      <c r="AJ13" s="278"/>
      <c r="AK13" s="278"/>
      <c r="AL13" s="278"/>
      <c r="AM13" s="255"/>
    </row>
    <row r="14" spans="1:39" ht="20.25" customHeight="1">
      <c r="B14" s="866"/>
      <c r="C14" s="591" t="s">
        <v>527</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4"/>
      <c r="AF14" s="278"/>
      <c r="AG14" s="278"/>
      <c r="AH14" s="278"/>
      <c r="AI14" s="278"/>
      <c r="AJ14" s="278"/>
      <c r="AK14" s="278"/>
      <c r="AL14" s="278"/>
      <c r="AM14" s="255"/>
    </row>
    <row r="15" spans="1:39" ht="20.25" customHeight="1">
      <c r="C15" s="591" t="s">
        <v>528</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4"/>
      <c r="AF15" s="278"/>
      <c r="AG15" s="278"/>
      <c r="AH15" s="278"/>
      <c r="AI15" s="278"/>
      <c r="AJ15" s="278"/>
      <c r="AK15" s="278"/>
      <c r="AL15" s="278"/>
      <c r="AM15" s="255"/>
    </row>
    <row r="16" spans="1:39" ht="20.25" customHeight="1">
      <c r="C16" s="591" t="s">
        <v>529</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243</v>
      </c>
      <c r="C18" s="283"/>
      <c r="E18" s="590"/>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868" t="s">
        <v>212</v>
      </c>
      <c r="C19" s="870" t="s">
        <v>33</v>
      </c>
      <c r="D19" s="286" t="s">
        <v>425</v>
      </c>
      <c r="E19" s="872" t="s">
        <v>210</v>
      </c>
      <c r="F19" s="873"/>
      <c r="G19" s="873"/>
      <c r="H19" s="873"/>
      <c r="I19" s="873"/>
      <c r="J19" s="873"/>
      <c r="K19" s="873"/>
      <c r="L19" s="873"/>
      <c r="M19" s="874"/>
      <c r="N19" s="878" t="s">
        <v>214</v>
      </c>
      <c r="O19" s="286" t="s">
        <v>426</v>
      </c>
      <c r="P19" s="872" t="s">
        <v>213</v>
      </c>
      <c r="Q19" s="873"/>
      <c r="R19" s="873"/>
      <c r="S19" s="873"/>
      <c r="T19" s="873"/>
      <c r="U19" s="873"/>
      <c r="V19" s="873"/>
      <c r="W19" s="873"/>
      <c r="X19" s="874"/>
      <c r="Y19" s="875" t="s">
        <v>245</v>
      </c>
      <c r="Z19" s="876"/>
      <c r="AA19" s="876"/>
      <c r="AB19" s="876"/>
      <c r="AC19" s="876"/>
      <c r="AD19" s="876"/>
      <c r="AE19" s="876"/>
      <c r="AF19" s="876"/>
      <c r="AG19" s="876"/>
      <c r="AH19" s="876"/>
      <c r="AI19" s="876"/>
      <c r="AJ19" s="876"/>
      <c r="AK19" s="876"/>
      <c r="AL19" s="876"/>
      <c r="AM19" s="877"/>
    </row>
    <row r="20" spans="1:39" s="285" customFormat="1" ht="59.25" customHeight="1">
      <c r="A20" s="509"/>
      <c r="B20" s="869"/>
      <c r="C20" s="871"/>
      <c r="D20" s="287">
        <v>2011</v>
      </c>
      <c r="E20" s="287">
        <v>2012</v>
      </c>
      <c r="F20" s="287">
        <v>2013</v>
      </c>
      <c r="G20" s="287">
        <v>2014</v>
      </c>
      <c r="H20" s="287">
        <v>2015</v>
      </c>
      <c r="I20" s="287">
        <v>2016</v>
      </c>
      <c r="J20" s="287">
        <v>2017</v>
      </c>
      <c r="K20" s="287">
        <v>2018</v>
      </c>
      <c r="L20" s="287">
        <v>2019</v>
      </c>
      <c r="M20" s="287">
        <v>2020</v>
      </c>
      <c r="N20" s="879"/>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GS&gt;50 kW</v>
      </c>
      <c r="AB20" s="288" t="str">
        <f>'1.  LRAMVA Summary'!G50</f>
        <v>Streetlights</v>
      </c>
      <c r="AC20" s="288" t="str">
        <f>'1.  LRAMVA Summary'!H50</f>
        <v>Unmetered Scattered Load</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KWh</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hidden="1" customHeight="1" outlineLevel="1">
      <c r="A22" s="509">
        <v>1</v>
      </c>
      <c r="B22" s="296" t="s">
        <v>1</v>
      </c>
      <c r="C22" s="293" t="s">
        <v>25</v>
      </c>
      <c r="D22" s="297">
        <v>52746.940326103329</v>
      </c>
      <c r="E22" s="297">
        <v>52746.940326103329</v>
      </c>
      <c r="F22" s="297">
        <v>52746.940326103329</v>
      </c>
      <c r="G22" s="297">
        <v>52443.725112754277</v>
      </c>
      <c r="H22" s="297">
        <v>39500.16606746184</v>
      </c>
      <c r="I22" s="297">
        <v>0</v>
      </c>
      <c r="J22" s="297">
        <v>0</v>
      </c>
      <c r="K22" s="297">
        <v>0</v>
      </c>
      <c r="L22" s="297">
        <v>0</v>
      </c>
      <c r="M22" s="297">
        <v>0</v>
      </c>
      <c r="N22" s="293"/>
      <c r="O22" s="297">
        <v>7.626611228809197</v>
      </c>
      <c r="P22" s="297">
        <v>7.626611228809197</v>
      </c>
      <c r="Q22" s="297">
        <v>7.626611228809197</v>
      </c>
      <c r="R22" s="297">
        <v>7.2875408183543122</v>
      </c>
      <c r="S22" s="297">
        <v>5.193470906745727</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 hidden="1" outlineLevel="1">
      <c r="A23" s="509"/>
      <c r="B23" s="296" t="s">
        <v>215</v>
      </c>
      <c r="C23" s="293" t="s">
        <v>164</v>
      </c>
      <c r="D23" s="297"/>
      <c r="E23" s="297"/>
      <c r="F23" s="297"/>
      <c r="G23" s="297"/>
      <c r="H23" s="297"/>
      <c r="I23" s="297"/>
      <c r="J23" s="297"/>
      <c r="K23" s="297"/>
      <c r="L23" s="297"/>
      <c r="M23" s="297"/>
      <c r="N23" s="469"/>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hidden="1" outlineLevel="1">
      <c r="A24" s="511"/>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hidden="1" outlineLevel="1">
      <c r="A25" s="509">
        <v>2</v>
      </c>
      <c r="B25" s="296" t="s">
        <v>2</v>
      </c>
      <c r="C25" s="293" t="s">
        <v>25</v>
      </c>
      <c r="D25" s="297">
        <v>1671.4918706195494</v>
      </c>
      <c r="E25" s="297">
        <v>1671.4918706195494</v>
      </c>
      <c r="F25" s="297">
        <v>1671.4918706195494</v>
      </c>
      <c r="G25" s="297">
        <v>1222.1344022192445</v>
      </c>
      <c r="H25" s="297">
        <v>0</v>
      </c>
      <c r="I25" s="297">
        <v>0</v>
      </c>
      <c r="J25" s="297">
        <v>0</v>
      </c>
      <c r="K25" s="297">
        <v>0</v>
      </c>
      <c r="L25" s="297">
        <v>0</v>
      </c>
      <c r="M25" s="297">
        <v>0</v>
      </c>
      <c r="N25" s="293"/>
      <c r="O25" s="297">
        <v>1.1879073687414818</v>
      </c>
      <c r="P25" s="297">
        <v>1.1879073687414818</v>
      </c>
      <c r="Q25" s="297">
        <v>1.1879073687414818</v>
      </c>
      <c r="R25" s="297">
        <v>0.68541338247813122</v>
      </c>
      <c r="S25" s="297">
        <v>0</v>
      </c>
      <c r="T25" s="297">
        <v>0</v>
      </c>
      <c r="U25" s="297">
        <v>0</v>
      </c>
      <c r="V25" s="297">
        <v>0</v>
      </c>
      <c r="W25" s="297">
        <v>0</v>
      </c>
      <c r="X25" s="297">
        <v>0</v>
      </c>
      <c r="Y25" s="412">
        <v>1</v>
      </c>
      <c r="Z25" s="412"/>
      <c r="AA25" s="412"/>
      <c r="AB25" s="412"/>
      <c r="AC25" s="412"/>
      <c r="AD25" s="412"/>
      <c r="AE25" s="412"/>
      <c r="AF25" s="412"/>
      <c r="AG25" s="412"/>
      <c r="AH25" s="412"/>
      <c r="AI25" s="412"/>
      <c r="AJ25" s="412"/>
      <c r="AK25" s="412"/>
      <c r="AL25" s="412"/>
      <c r="AM25" s="298">
        <f>SUM(Y25:AL25)</f>
        <v>1</v>
      </c>
    </row>
    <row r="26" spans="1:39" s="285" customFormat="1" ht="15" hidden="1" outlineLevel="1">
      <c r="A26" s="509"/>
      <c r="B26" s="296" t="s">
        <v>215</v>
      </c>
      <c r="C26" s="293" t="s">
        <v>164</v>
      </c>
      <c r="D26" s="297"/>
      <c r="E26" s="297"/>
      <c r="F26" s="297"/>
      <c r="G26" s="297"/>
      <c r="H26" s="297"/>
      <c r="I26" s="297"/>
      <c r="J26" s="297"/>
      <c r="K26" s="297"/>
      <c r="L26" s="297"/>
      <c r="M26" s="297"/>
      <c r="N26" s="469"/>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hidden="1" outlineLevel="1">
      <c r="A27" s="511"/>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hidden="1" outlineLevel="1">
      <c r="A28" s="509">
        <v>3</v>
      </c>
      <c r="B28" s="296" t="s">
        <v>3</v>
      </c>
      <c r="C28" s="293" t="s">
        <v>25</v>
      </c>
      <c r="D28" s="297">
        <v>60902.619333977389</v>
      </c>
      <c r="E28" s="297">
        <v>60902.619333977389</v>
      </c>
      <c r="F28" s="297">
        <v>60902.619333977389</v>
      </c>
      <c r="G28" s="297">
        <v>60902.619333977389</v>
      </c>
      <c r="H28" s="297">
        <v>60902.619333977389</v>
      </c>
      <c r="I28" s="297">
        <v>60902.619333977389</v>
      </c>
      <c r="J28" s="297">
        <v>60902.619333977389</v>
      </c>
      <c r="K28" s="297">
        <v>60902.619333977389</v>
      </c>
      <c r="L28" s="297">
        <v>60902.619333977389</v>
      </c>
      <c r="M28" s="297">
        <v>60902.619333977389</v>
      </c>
      <c r="N28" s="293"/>
      <c r="O28" s="297">
        <v>31.598265159682093</v>
      </c>
      <c r="P28" s="297">
        <v>31.598265159682093</v>
      </c>
      <c r="Q28" s="297">
        <v>31.598265159682093</v>
      </c>
      <c r="R28" s="297">
        <v>31.598265159682093</v>
      </c>
      <c r="S28" s="297">
        <v>31.598265159682093</v>
      </c>
      <c r="T28" s="297">
        <v>31.598265159682093</v>
      </c>
      <c r="U28" s="297">
        <v>31.598265159682093</v>
      </c>
      <c r="V28" s="297">
        <v>31.598265159682093</v>
      </c>
      <c r="W28" s="297">
        <v>31.598265159682093</v>
      </c>
      <c r="X28" s="297">
        <v>31.598265159682093</v>
      </c>
      <c r="Y28" s="412">
        <v>1</v>
      </c>
      <c r="Z28" s="412"/>
      <c r="AA28" s="412"/>
      <c r="AB28" s="412"/>
      <c r="AC28" s="412"/>
      <c r="AD28" s="412"/>
      <c r="AE28" s="412"/>
      <c r="AF28" s="412"/>
      <c r="AG28" s="412"/>
      <c r="AH28" s="412"/>
      <c r="AI28" s="412"/>
      <c r="AJ28" s="412"/>
      <c r="AK28" s="412"/>
      <c r="AL28" s="412"/>
      <c r="AM28" s="298">
        <f>SUM(Y28:AL28)</f>
        <v>1</v>
      </c>
    </row>
    <row r="29" spans="1:39" s="285" customFormat="1" ht="15" hidden="1" outlineLevel="1">
      <c r="A29" s="509"/>
      <c r="B29" s="296" t="s">
        <v>215</v>
      </c>
      <c r="C29" s="293" t="s">
        <v>164</v>
      </c>
      <c r="D29" s="297"/>
      <c r="E29" s="297"/>
      <c r="F29" s="297"/>
      <c r="G29" s="297"/>
      <c r="H29" s="297"/>
      <c r="I29" s="297"/>
      <c r="J29" s="297"/>
      <c r="K29" s="297"/>
      <c r="L29" s="297"/>
      <c r="M29" s="297"/>
      <c r="N29" s="469"/>
      <c r="O29" s="297"/>
      <c r="P29" s="297"/>
      <c r="Q29" s="297"/>
      <c r="R29" s="297"/>
      <c r="S29" s="297"/>
      <c r="T29" s="297"/>
      <c r="U29" s="297"/>
      <c r="V29" s="297"/>
      <c r="W29" s="297"/>
      <c r="X29" s="297"/>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hidden="1" outlineLevel="1">
      <c r="A30" s="509"/>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hidden="1" outlineLevel="1">
      <c r="A31" s="509">
        <v>4</v>
      </c>
      <c r="B31" s="296" t="s">
        <v>4</v>
      </c>
      <c r="C31" s="293" t="s">
        <v>25</v>
      </c>
      <c r="D31" s="297">
        <v>54256.762724071887</v>
      </c>
      <c r="E31" s="297">
        <v>54256.762724071887</v>
      </c>
      <c r="F31" s="297">
        <v>54256.762724071887</v>
      </c>
      <c r="G31" s="297">
        <v>54256.762724071887</v>
      </c>
      <c r="H31" s="297">
        <v>49963.072324449298</v>
      </c>
      <c r="I31" s="297">
        <v>45204.398005769297</v>
      </c>
      <c r="J31" s="297">
        <v>35170.073191306939</v>
      </c>
      <c r="K31" s="297">
        <v>34945.224112276381</v>
      </c>
      <c r="L31" s="297">
        <v>43929.590410594581</v>
      </c>
      <c r="M31" s="297">
        <v>16679.091885422826</v>
      </c>
      <c r="N31" s="293"/>
      <c r="O31" s="297">
        <v>3.3392644783408905</v>
      </c>
      <c r="P31" s="297">
        <v>3.3392644783408905</v>
      </c>
      <c r="Q31" s="297">
        <v>3.3392644783408905</v>
      </c>
      <c r="R31" s="297">
        <v>3.3392644783408905</v>
      </c>
      <c r="S31" s="297">
        <v>3.1404539460095009</v>
      </c>
      <c r="T31" s="297">
        <v>2.9201132864753054</v>
      </c>
      <c r="U31" s="297">
        <v>2.4554944452741139</v>
      </c>
      <c r="V31" s="297">
        <v>2.4298267421884345</v>
      </c>
      <c r="W31" s="297">
        <v>2.8458294066063994</v>
      </c>
      <c r="X31" s="297">
        <v>1.5840509331139143</v>
      </c>
      <c r="Y31" s="412">
        <v>1</v>
      </c>
      <c r="Z31" s="412"/>
      <c r="AA31" s="412"/>
      <c r="AB31" s="412"/>
      <c r="AC31" s="412"/>
      <c r="AD31" s="412"/>
      <c r="AE31" s="412"/>
      <c r="AF31" s="412"/>
      <c r="AG31" s="412"/>
      <c r="AH31" s="412"/>
      <c r="AI31" s="412"/>
      <c r="AJ31" s="412"/>
      <c r="AK31" s="412"/>
      <c r="AL31" s="412"/>
      <c r="AM31" s="298">
        <f>SUM(Y31:AL31)</f>
        <v>1</v>
      </c>
    </row>
    <row r="32" spans="1:39" s="285" customFormat="1" ht="15" hidden="1" outlineLevel="1">
      <c r="A32" s="509"/>
      <c r="B32" s="296" t="s">
        <v>215</v>
      </c>
      <c r="C32" s="293" t="s">
        <v>164</v>
      </c>
      <c r="D32" s="297"/>
      <c r="E32" s="297"/>
      <c r="F32" s="297"/>
      <c r="G32" s="297"/>
      <c r="H32" s="297"/>
      <c r="I32" s="297"/>
      <c r="J32" s="297"/>
      <c r="K32" s="297"/>
      <c r="L32" s="297"/>
      <c r="M32" s="297"/>
      <c r="N32" s="469"/>
      <c r="O32" s="297"/>
      <c r="P32" s="297"/>
      <c r="Q32" s="297"/>
      <c r="R32" s="297"/>
      <c r="S32" s="297"/>
      <c r="T32" s="297"/>
      <c r="U32" s="297"/>
      <c r="V32" s="297"/>
      <c r="W32" s="297"/>
      <c r="X32" s="297"/>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hidden="1" outlineLevel="1">
      <c r="A33" s="509"/>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hidden="1" outlineLevel="1">
      <c r="A34" s="509">
        <v>5</v>
      </c>
      <c r="B34" s="296" t="s">
        <v>5</v>
      </c>
      <c r="C34" s="293" t="s">
        <v>25</v>
      </c>
      <c r="D34" s="297">
        <v>90221.827974615051</v>
      </c>
      <c r="E34" s="297">
        <v>90221.827974615051</v>
      </c>
      <c r="F34" s="297">
        <v>90221.827974615051</v>
      </c>
      <c r="G34" s="297">
        <v>90221.827974615051</v>
      </c>
      <c r="H34" s="297">
        <v>82993.171440725331</v>
      </c>
      <c r="I34" s="297">
        <v>74526.576652665623</v>
      </c>
      <c r="J34" s="297">
        <v>54974.639281761061</v>
      </c>
      <c r="K34" s="297">
        <v>54784.637409639443</v>
      </c>
      <c r="L34" s="297">
        <v>69910.296714489392</v>
      </c>
      <c r="M34" s="297">
        <v>22126.681956716464</v>
      </c>
      <c r="N34" s="293"/>
      <c r="O34" s="297">
        <v>5.113504196502344</v>
      </c>
      <c r="P34" s="297">
        <v>5.113504196502344</v>
      </c>
      <c r="Q34" s="297">
        <v>5.113504196502344</v>
      </c>
      <c r="R34" s="297">
        <v>5.113504196502344</v>
      </c>
      <c r="S34" s="297">
        <v>4.7787960737020345</v>
      </c>
      <c r="T34" s="297">
        <v>4.3867677576883164</v>
      </c>
      <c r="U34" s="297">
        <v>3.4814553771866423</v>
      </c>
      <c r="V34" s="297">
        <v>3.4597656657572338</v>
      </c>
      <c r="W34" s="297">
        <v>4.1601283138244458</v>
      </c>
      <c r="X34" s="297">
        <v>1.9476059839550437</v>
      </c>
      <c r="Y34" s="412">
        <v>1</v>
      </c>
      <c r="Z34" s="412"/>
      <c r="AA34" s="412"/>
      <c r="AB34" s="412"/>
      <c r="AC34" s="412"/>
      <c r="AD34" s="412"/>
      <c r="AE34" s="412"/>
      <c r="AF34" s="412"/>
      <c r="AG34" s="412"/>
      <c r="AH34" s="412"/>
      <c r="AI34" s="412"/>
      <c r="AJ34" s="412"/>
      <c r="AK34" s="412"/>
      <c r="AL34" s="412"/>
      <c r="AM34" s="298">
        <f>SUM(Y34:AL34)</f>
        <v>1</v>
      </c>
    </row>
    <row r="35" spans="1:39" s="285" customFormat="1" ht="15" hidden="1" outlineLevel="1">
      <c r="A35" s="509"/>
      <c r="B35" s="296" t="s">
        <v>215</v>
      </c>
      <c r="C35" s="293" t="s">
        <v>164</v>
      </c>
      <c r="D35" s="297"/>
      <c r="E35" s="297"/>
      <c r="F35" s="297"/>
      <c r="G35" s="297"/>
      <c r="H35" s="297"/>
      <c r="I35" s="297"/>
      <c r="J35" s="297"/>
      <c r="K35" s="297"/>
      <c r="L35" s="297"/>
      <c r="M35" s="297"/>
      <c r="N35" s="469"/>
      <c r="O35" s="297"/>
      <c r="P35" s="297"/>
      <c r="Q35" s="297"/>
      <c r="R35" s="297"/>
      <c r="S35" s="297"/>
      <c r="T35" s="297"/>
      <c r="U35" s="297"/>
      <c r="V35" s="297"/>
      <c r="W35" s="297"/>
      <c r="X35" s="297"/>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hidden="1" outlineLevel="1">
      <c r="A36" s="509"/>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hidden="1" outlineLevel="1">
      <c r="A37" s="509">
        <v>6</v>
      </c>
      <c r="B37" s="296" t="s">
        <v>6</v>
      </c>
      <c r="C37" s="293" t="s">
        <v>25</v>
      </c>
      <c r="D37" s="297">
        <v>0</v>
      </c>
      <c r="E37" s="297">
        <v>0</v>
      </c>
      <c r="F37" s="297">
        <v>0</v>
      </c>
      <c r="G37" s="297">
        <v>0</v>
      </c>
      <c r="H37" s="297">
        <v>0</v>
      </c>
      <c r="I37" s="297">
        <v>0</v>
      </c>
      <c r="J37" s="297">
        <v>0</v>
      </c>
      <c r="K37" s="297">
        <v>0</v>
      </c>
      <c r="L37" s="297">
        <v>0</v>
      </c>
      <c r="M37" s="297">
        <v>0</v>
      </c>
      <c r="N37" s="293"/>
      <c r="O37" s="297">
        <v>0</v>
      </c>
      <c r="P37" s="297">
        <v>0</v>
      </c>
      <c r="Q37" s="297">
        <v>0</v>
      </c>
      <c r="R37" s="297">
        <v>0</v>
      </c>
      <c r="S37" s="297">
        <v>0</v>
      </c>
      <c r="T37" s="297">
        <v>0</v>
      </c>
      <c r="U37" s="297">
        <v>0</v>
      </c>
      <c r="V37" s="297">
        <v>0</v>
      </c>
      <c r="W37" s="297">
        <v>0</v>
      </c>
      <c r="X37" s="297">
        <v>0</v>
      </c>
      <c r="Y37" s="412">
        <v>1</v>
      </c>
      <c r="Z37" s="412"/>
      <c r="AA37" s="412"/>
      <c r="AB37" s="412"/>
      <c r="AC37" s="412"/>
      <c r="AD37" s="412"/>
      <c r="AE37" s="412"/>
      <c r="AF37" s="412"/>
      <c r="AG37" s="412"/>
      <c r="AH37" s="412"/>
      <c r="AI37" s="412"/>
      <c r="AJ37" s="412"/>
      <c r="AK37" s="412"/>
      <c r="AL37" s="412"/>
      <c r="AM37" s="298">
        <f>SUM(Y37:AL37)</f>
        <v>1</v>
      </c>
    </row>
    <row r="38" spans="1:39" s="285" customFormat="1" ht="15" hidden="1" outlineLevel="1">
      <c r="A38" s="509"/>
      <c r="B38" s="296" t="s">
        <v>215</v>
      </c>
      <c r="C38" s="293" t="s">
        <v>164</v>
      </c>
      <c r="D38" s="297"/>
      <c r="E38" s="297"/>
      <c r="F38" s="297"/>
      <c r="G38" s="297"/>
      <c r="H38" s="297"/>
      <c r="I38" s="297"/>
      <c r="J38" s="297"/>
      <c r="K38" s="297"/>
      <c r="L38" s="297"/>
      <c r="M38" s="297"/>
      <c r="N38" s="469"/>
      <c r="O38" s="297"/>
      <c r="P38" s="297"/>
      <c r="Q38" s="297"/>
      <c r="R38" s="297"/>
      <c r="S38" s="297"/>
      <c r="T38" s="297"/>
      <c r="U38" s="297"/>
      <c r="V38" s="297"/>
      <c r="W38" s="297"/>
      <c r="X38" s="297"/>
      <c r="Y38" s="413">
        <f>Y37</f>
        <v>1</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hidden="1" outlineLevel="1">
      <c r="A39" s="509"/>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hidden="1" outlineLevel="1">
      <c r="A40" s="509">
        <v>7</v>
      </c>
      <c r="B40" s="296" t="s">
        <v>42</v>
      </c>
      <c r="C40" s="293" t="s">
        <v>25</v>
      </c>
      <c r="D40" s="297" t="s">
        <v>710</v>
      </c>
      <c r="E40" s="297" t="s">
        <v>710</v>
      </c>
      <c r="F40" s="297" t="s">
        <v>710</v>
      </c>
      <c r="G40" s="297" t="s">
        <v>710</v>
      </c>
      <c r="H40" s="297" t="s">
        <v>710</v>
      </c>
      <c r="I40" s="297" t="s">
        <v>710</v>
      </c>
      <c r="J40" s="297" t="s">
        <v>710</v>
      </c>
      <c r="K40" s="297" t="s">
        <v>710</v>
      </c>
      <c r="L40" s="297" t="s">
        <v>710</v>
      </c>
      <c r="M40" s="297" t="s">
        <v>710</v>
      </c>
      <c r="N40" s="293"/>
      <c r="O40" s="297" t="s">
        <v>710</v>
      </c>
      <c r="P40" s="297" t="s">
        <v>710</v>
      </c>
      <c r="Q40" s="297" t="s">
        <v>710</v>
      </c>
      <c r="R40" s="297" t="s">
        <v>710</v>
      </c>
      <c r="S40" s="297" t="s">
        <v>710</v>
      </c>
      <c r="T40" s="297" t="s">
        <v>710</v>
      </c>
      <c r="U40" s="297" t="s">
        <v>710</v>
      </c>
      <c r="V40" s="297" t="s">
        <v>710</v>
      </c>
      <c r="W40" s="297" t="s">
        <v>710</v>
      </c>
      <c r="X40" s="297" t="s">
        <v>710</v>
      </c>
      <c r="Y40" s="412"/>
      <c r="Z40" s="412"/>
      <c r="AA40" s="412"/>
      <c r="AB40" s="412"/>
      <c r="AC40" s="412"/>
      <c r="AD40" s="412"/>
      <c r="AE40" s="412"/>
      <c r="AF40" s="412"/>
      <c r="AG40" s="412"/>
      <c r="AH40" s="412"/>
      <c r="AI40" s="412"/>
      <c r="AJ40" s="412"/>
      <c r="AK40" s="412"/>
      <c r="AL40" s="412"/>
      <c r="AM40" s="298">
        <f>SUM(Y40:AL40)</f>
        <v>0</v>
      </c>
    </row>
    <row r="41" spans="1:39" s="285" customFormat="1" ht="15" hidden="1" outlineLevel="1">
      <c r="A41" s="509"/>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hidden="1" outlineLevel="1">
      <c r="A42" s="509"/>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hidden="1" outlineLevel="1">
      <c r="A43" s="509">
        <v>8</v>
      </c>
      <c r="B43" s="296" t="s">
        <v>488</v>
      </c>
      <c r="C43" s="293" t="s">
        <v>25</v>
      </c>
      <c r="D43" s="297" t="s">
        <v>710</v>
      </c>
      <c r="E43" s="297" t="s">
        <v>710</v>
      </c>
      <c r="F43" s="297" t="s">
        <v>710</v>
      </c>
      <c r="G43" s="297" t="s">
        <v>710</v>
      </c>
      <c r="H43" s="297" t="s">
        <v>710</v>
      </c>
      <c r="I43" s="297" t="s">
        <v>710</v>
      </c>
      <c r="J43" s="297" t="s">
        <v>710</v>
      </c>
      <c r="K43" s="297" t="s">
        <v>710</v>
      </c>
      <c r="L43" s="297" t="s">
        <v>710</v>
      </c>
      <c r="M43" s="297" t="s">
        <v>710</v>
      </c>
      <c r="N43" s="293"/>
      <c r="O43" s="297" t="s">
        <v>710</v>
      </c>
      <c r="P43" s="297" t="s">
        <v>710</v>
      </c>
      <c r="Q43" s="297" t="s">
        <v>710</v>
      </c>
      <c r="R43" s="297" t="s">
        <v>710</v>
      </c>
      <c r="S43" s="297" t="s">
        <v>710</v>
      </c>
      <c r="T43" s="297" t="s">
        <v>710</v>
      </c>
      <c r="U43" s="297" t="s">
        <v>710</v>
      </c>
      <c r="V43" s="297" t="s">
        <v>710</v>
      </c>
      <c r="W43" s="297" t="s">
        <v>710</v>
      </c>
      <c r="X43" s="297" t="s">
        <v>710</v>
      </c>
      <c r="Y43" s="412"/>
      <c r="Z43" s="412"/>
      <c r="AA43" s="412"/>
      <c r="AB43" s="412"/>
      <c r="AC43" s="412"/>
      <c r="AD43" s="412"/>
      <c r="AE43" s="412"/>
      <c r="AF43" s="412"/>
      <c r="AG43" s="412"/>
      <c r="AH43" s="412"/>
      <c r="AI43" s="412"/>
      <c r="AJ43" s="412"/>
      <c r="AK43" s="412"/>
      <c r="AL43" s="412"/>
      <c r="AM43" s="298">
        <f>SUM(Y43:AL43)</f>
        <v>0</v>
      </c>
    </row>
    <row r="44" spans="1:39" s="285" customFormat="1" ht="15" hidden="1" outlineLevel="1">
      <c r="A44" s="509"/>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hidden="1" outlineLevel="1">
      <c r="A45" s="509"/>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hidden="1" outlineLevel="1">
      <c r="A46" s="509">
        <v>9</v>
      </c>
      <c r="B46" s="296" t="s">
        <v>7</v>
      </c>
      <c r="C46" s="293" t="s">
        <v>25</v>
      </c>
      <c r="D46" s="297" t="s">
        <v>710</v>
      </c>
      <c r="E46" s="297" t="s">
        <v>710</v>
      </c>
      <c r="F46" s="297" t="s">
        <v>710</v>
      </c>
      <c r="G46" s="297" t="s">
        <v>710</v>
      </c>
      <c r="H46" s="297" t="s">
        <v>710</v>
      </c>
      <c r="I46" s="297" t="s">
        <v>710</v>
      </c>
      <c r="J46" s="297" t="s">
        <v>710</v>
      </c>
      <c r="K46" s="297" t="s">
        <v>710</v>
      </c>
      <c r="L46" s="297" t="s">
        <v>710</v>
      </c>
      <c r="M46" s="297" t="s">
        <v>710</v>
      </c>
      <c r="N46" s="293"/>
      <c r="O46" s="297" t="s">
        <v>710</v>
      </c>
      <c r="P46" s="297" t="s">
        <v>710</v>
      </c>
      <c r="Q46" s="297" t="s">
        <v>710</v>
      </c>
      <c r="R46" s="297" t="s">
        <v>710</v>
      </c>
      <c r="S46" s="297" t="s">
        <v>710</v>
      </c>
      <c r="T46" s="297" t="s">
        <v>710</v>
      </c>
      <c r="U46" s="297" t="s">
        <v>710</v>
      </c>
      <c r="V46" s="297" t="s">
        <v>710</v>
      </c>
      <c r="W46" s="297" t="s">
        <v>710</v>
      </c>
      <c r="X46" s="297" t="s">
        <v>710</v>
      </c>
      <c r="Y46" s="412"/>
      <c r="Z46" s="412"/>
      <c r="AA46" s="412"/>
      <c r="AB46" s="412"/>
      <c r="AC46" s="412"/>
      <c r="AD46" s="412"/>
      <c r="AE46" s="412"/>
      <c r="AF46" s="412"/>
      <c r="AG46" s="412"/>
      <c r="AH46" s="412"/>
      <c r="AI46" s="412"/>
      <c r="AJ46" s="412"/>
      <c r="AK46" s="412"/>
      <c r="AL46" s="412"/>
      <c r="AM46" s="298">
        <f>SUM(Y46:AL46)</f>
        <v>0</v>
      </c>
    </row>
    <row r="47" spans="1:39" s="285" customFormat="1" ht="15" hidden="1" outlineLevel="1">
      <c r="A47" s="509"/>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hidden="1" outlineLevel="1">
      <c r="A48" s="509"/>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hidden="1" outlineLevel="1">
      <c r="A49" s="510"/>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hidden="1" outlineLevel="1">
      <c r="A50" s="509">
        <v>10</v>
      </c>
      <c r="B50" s="312" t="s">
        <v>22</v>
      </c>
      <c r="C50" s="293" t="s">
        <v>25</v>
      </c>
      <c r="D50" s="297">
        <v>116644.15013152071</v>
      </c>
      <c r="E50" s="297">
        <v>116644.15013152071</v>
      </c>
      <c r="F50" s="297">
        <v>116644.15013152071</v>
      </c>
      <c r="G50" s="297">
        <v>116644.15013152071</v>
      </c>
      <c r="H50" s="297">
        <v>116644.15013152071</v>
      </c>
      <c r="I50" s="297">
        <v>116644.15013152071</v>
      </c>
      <c r="J50" s="297">
        <v>116644.15013152071</v>
      </c>
      <c r="K50" s="297">
        <v>116644.15013152071</v>
      </c>
      <c r="L50" s="297">
        <v>116644.15013152071</v>
      </c>
      <c r="M50" s="297">
        <v>116644.15013152071</v>
      </c>
      <c r="N50" s="297">
        <v>12</v>
      </c>
      <c r="O50" s="297">
        <v>15.542213275204141</v>
      </c>
      <c r="P50" s="297">
        <v>15.542213275204141</v>
      </c>
      <c r="Q50" s="297">
        <v>15.542213275204141</v>
      </c>
      <c r="R50" s="297">
        <v>15.542213275204141</v>
      </c>
      <c r="S50" s="297">
        <v>15.542213275204141</v>
      </c>
      <c r="T50" s="297">
        <v>15.542213275204141</v>
      </c>
      <c r="U50" s="297">
        <v>15.542213275204141</v>
      </c>
      <c r="V50" s="297">
        <v>15.542213275204141</v>
      </c>
      <c r="W50" s="297">
        <v>15.542213275204141</v>
      </c>
      <c r="X50" s="297">
        <v>15.542213275204141</v>
      </c>
      <c r="Y50" s="417">
        <v>0</v>
      </c>
      <c r="Z50" s="417">
        <v>1</v>
      </c>
      <c r="AA50" s="417">
        <v>0</v>
      </c>
      <c r="AB50" s="417"/>
      <c r="AC50" s="417"/>
      <c r="AD50" s="417"/>
      <c r="AE50" s="417"/>
      <c r="AF50" s="417"/>
      <c r="AG50" s="417"/>
      <c r="AH50" s="417"/>
      <c r="AI50" s="417"/>
      <c r="AJ50" s="417"/>
      <c r="AK50" s="417"/>
      <c r="AL50" s="417"/>
      <c r="AM50" s="298">
        <f>SUM(Y50:AL50)</f>
        <v>1</v>
      </c>
    </row>
    <row r="51" spans="1:42" s="285" customFormat="1" ht="15" hidden="1" outlineLevel="1">
      <c r="A51" s="509"/>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1</v>
      </c>
      <c r="AA51" s="413">
        <f>AA50</f>
        <v>0</v>
      </c>
      <c r="AB51" s="413">
        <f t="shared" ref="AB51:AL51" si="9">AB50</f>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hidden="1" outlineLevel="1">
      <c r="A52" s="509"/>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hidden="1" outlineLevel="1">
      <c r="A53" s="509">
        <v>11</v>
      </c>
      <c r="B53" s="316" t="s">
        <v>21</v>
      </c>
      <c r="C53" s="293" t="s">
        <v>25</v>
      </c>
      <c r="D53" s="297">
        <v>161529.24697593649</v>
      </c>
      <c r="E53" s="297">
        <v>161529.24697593649</v>
      </c>
      <c r="F53" s="297">
        <v>161529.24697593649</v>
      </c>
      <c r="G53" s="297">
        <v>79595.894640730126</v>
      </c>
      <c r="H53" s="297">
        <v>79595.894640730126</v>
      </c>
      <c r="I53" s="297">
        <v>79595.894640730126</v>
      </c>
      <c r="J53" s="297">
        <v>17296.754687108401</v>
      </c>
      <c r="K53" s="297">
        <v>17296.754687108401</v>
      </c>
      <c r="L53" s="297">
        <v>17296.754687108401</v>
      </c>
      <c r="M53" s="297">
        <v>17296.754687108401</v>
      </c>
      <c r="N53" s="297">
        <v>12</v>
      </c>
      <c r="O53" s="297">
        <v>60.788904907489417</v>
      </c>
      <c r="P53" s="297">
        <v>60.788904907489417</v>
      </c>
      <c r="Q53" s="297">
        <v>60.788904907489417</v>
      </c>
      <c r="R53" s="297">
        <v>31.725768759739751</v>
      </c>
      <c r="S53" s="297">
        <v>31.725768759739751</v>
      </c>
      <c r="T53" s="297">
        <v>31.725768759739751</v>
      </c>
      <c r="U53" s="297">
        <v>6.0568843103556</v>
      </c>
      <c r="V53" s="297">
        <v>6.0568843103556</v>
      </c>
      <c r="W53" s="297">
        <v>6.0568843103556</v>
      </c>
      <c r="X53" s="297">
        <v>6.0568843103556</v>
      </c>
      <c r="Y53" s="417">
        <v>0</v>
      </c>
      <c r="Z53" s="417">
        <v>1</v>
      </c>
      <c r="AA53" s="417">
        <v>0</v>
      </c>
      <c r="AB53" s="417"/>
      <c r="AC53" s="417"/>
      <c r="AD53" s="417"/>
      <c r="AE53" s="417"/>
      <c r="AF53" s="417"/>
      <c r="AG53" s="417"/>
      <c r="AH53" s="417"/>
      <c r="AI53" s="417"/>
      <c r="AJ53" s="417"/>
      <c r="AK53" s="417"/>
      <c r="AL53" s="417"/>
      <c r="AM53" s="298">
        <f>SUM(Y53:AL53)</f>
        <v>1</v>
      </c>
    </row>
    <row r="54" spans="1:42" s="285" customFormat="1" ht="15" hidden="1" outlineLevel="1">
      <c r="A54" s="509"/>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hidden="1" outlineLevel="1">
      <c r="A55" s="509"/>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hidden="1" outlineLevel="1">
      <c r="A56" s="509">
        <v>12</v>
      </c>
      <c r="B56" s="316" t="s">
        <v>23</v>
      </c>
      <c r="C56" s="293" t="s">
        <v>25</v>
      </c>
      <c r="D56" s="297" t="s">
        <v>710</v>
      </c>
      <c r="E56" s="297" t="s">
        <v>710</v>
      </c>
      <c r="F56" s="297" t="s">
        <v>710</v>
      </c>
      <c r="G56" s="297" t="s">
        <v>710</v>
      </c>
      <c r="H56" s="297" t="s">
        <v>710</v>
      </c>
      <c r="I56" s="297" t="s">
        <v>710</v>
      </c>
      <c r="J56" s="297" t="s">
        <v>710</v>
      </c>
      <c r="K56" s="297" t="s">
        <v>710</v>
      </c>
      <c r="L56" s="297" t="s">
        <v>710</v>
      </c>
      <c r="M56" s="297" t="s">
        <v>710</v>
      </c>
      <c r="N56" s="297">
        <v>3</v>
      </c>
      <c r="O56" s="297" t="s">
        <v>710</v>
      </c>
      <c r="P56" s="297" t="s">
        <v>710</v>
      </c>
      <c r="Q56" s="297" t="s">
        <v>710</v>
      </c>
      <c r="R56" s="297" t="s">
        <v>710</v>
      </c>
      <c r="S56" s="297" t="s">
        <v>710</v>
      </c>
      <c r="T56" s="297" t="s">
        <v>710</v>
      </c>
      <c r="U56" s="297" t="s">
        <v>710</v>
      </c>
      <c r="V56" s="297" t="s">
        <v>710</v>
      </c>
      <c r="W56" s="297" t="s">
        <v>710</v>
      </c>
      <c r="X56" s="297" t="s">
        <v>710</v>
      </c>
      <c r="Y56" s="417"/>
      <c r="Z56" s="417"/>
      <c r="AA56" s="417"/>
      <c r="AB56" s="417"/>
      <c r="AC56" s="417"/>
      <c r="AD56" s="417"/>
      <c r="AE56" s="417"/>
      <c r="AF56" s="417"/>
      <c r="AG56" s="417"/>
      <c r="AH56" s="417"/>
      <c r="AI56" s="417"/>
      <c r="AJ56" s="417"/>
      <c r="AK56" s="417"/>
      <c r="AL56" s="417"/>
      <c r="AM56" s="298">
        <f>SUM(Y56:AL56)</f>
        <v>0</v>
      </c>
    </row>
    <row r="57" spans="1:42" s="285" customFormat="1" ht="15" hidden="1" outlineLevel="1">
      <c r="A57" s="509"/>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hidden="1" outlineLevel="1">
      <c r="A58" s="509"/>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hidden="1" outlineLevel="1">
      <c r="A59" s="509">
        <v>13</v>
      </c>
      <c r="B59" s="316" t="s">
        <v>24</v>
      </c>
      <c r="C59" s="293" t="s">
        <v>25</v>
      </c>
      <c r="D59" s="297" t="s">
        <v>710</v>
      </c>
      <c r="E59" s="297" t="s">
        <v>710</v>
      </c>
      <c r="F59" s="297" t="s">
        <v>710</v>
      </c>
      <c r="G59" s="297" t="s">
        <v>710</v>
      </c>
      <c r="H59" s="297" t="s">
        <v>710</v>
      </c>
      <c r="I59" s="297" t="s">
        <v>710</v>
      </c>
      <c r="J59" s="297" t="s">
        <v>710</v>
      </c>
      <c r="K59" s="297" t="s">
        <v>710</v>
      </c>
      <c r="L59" s="297" t="s">
        <v>710</v>
      </c>
      <c r="M59" s="297" t="s">
        <v>710</v>
      </c>
      <c r="N59" s="297">
        <v>12</v>
      </c>
      <c r="O59" s="297" t="s">
        <v>710</v>
      </c>
      <c r="P59" s="297" t="s">
        <v>710</v>
      </c>
      <c r="Q59" s="297" t="s">
        <v>710</v>
      </c>
      <c r="R59" s="297" t="s">
        <v>710</v>
      </c>
      <c r="S59" s="297" t="s">
        <v>710</v>
      </c>
      <c r="T59" s="297" t="s">
        <v>710</v>
      </c>
      <c r="U59" s="297" t="s">
        <v>710</v>
      </c>
      <c r="V59" s="297" t="s">
        <v>710</v>
      </c>
      <c r="W59" s="297" t="s">
        <v>710</v>
      </c>
      <c r="X59" s="297" t="s">
        <v>710</v>
      </c>
      <c r="Y59" s="417"/>
      <c r="Z59" s="417"/>
      <c r="AA59" s="417"/>
      <c r="AB59" s="417"/>
      <c r="AC59" s="417"/>
      <c r="AD59" s="417"/>
      <c r="AE59" s="417"/>
      <c r="AF59" s="417"/>
      <c r="AG59" s="417"/>
      <c r="AH59" s="417"/>
      <c r="AI59" s="417"/>
      <c r="AJ59" s="417"/>
      <c r="AK59" s="417"/>
      <c r="AL59" s="417"/>
      <c r="AM59" s="298">
        <f>SUM(Y59:AL59)</f>
        <v>0</v>
      </c>
    </row>
    <row r="60" spans="1:42" s="285" customFormat="1" ht="15" hidden="1" outlineLevel="1">
      <c r="A60" s="509"/>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hidden="1" outlineLevel="1">
      <c r="A61" s="509"/>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hidden="1" outlineLevel="1">
      <c r="A62" s="509">
        <v>14</v>
      </c>
      <c r="B62" s="316" t="s">
        <v>20</v>
      </c>
      <c r="C62" s="293" t="s">
        <v>25</v>
      </c>
      <c r="D62" s="297" t="s">
        <v>710</v>
      </c>
      <c r="E62" s="297" t="s">
        <v>710</v>
      </c>
      <c r="F62" s="297" t="s">
        <v>710</v>
      </c>
      <c r="G62" s="297" t="s">
        <v>710</v>
      </c>
      <c r="H62" s="297" t="s">
        <v>710</v>
      </c>
      <c r="I62" s="297" t="s">
        <v>710</v>
      </c>
      <c r="J62" s="297" t="s">
        <v>710</v>
      </c>
      <c r="K62" s="297" t="s">
        <v>710</v>
      </c>
      <c r="L62" s="297" t="s">
        <v>710</v>
      </c>
      <c r="M62" s="297" t="s">
        <v>710</v>
      </c>
      <c r="N62" s="297">
        <v>12</v>
      </c>
      <c r="O62" s="297" t="s">
        <v>710</v>
      </c>
      <c r="P62" s="297" t="s">
        <v>710</v>
      </c>
      <c r="Q62" s="297" t="s">
        <v>710</v>
      </c>
      <c r="R62" s="297" t="s">
        <v>710</v>
      </c>
      <c r="S62" s="297" t="s">
        <v>710</v>
      </c>
      <c r="T62" s="297" t="s">
        <v>710</v>
      </c>
      <c r="U62" s="297" t="s">
        <v>710</v>
      </c>
      <c r="V62" s="297" t="s">
        <v>710</v>
      </c>
      <c r="W62" s="297" t="s">
        <v>710</v>
      </c>
      <c r="X62" s="297" t="s">
        <v>710</v>
      </c>
      <c r="Y62" s="417"/>
      <c r="Z62" s="417"/>
      <c r="AA62" s="417"/>
      <c r="AB62" s="417"/>
      <c r="AC62" s="417"/>
      <c r="AD62" s="417"/>
      <c r="AE62" s="417"/>
      <c r="AF62" s="417"/>
      <c r="AG62" s="417"/>
      <c r="AH62" s="417"/>
      <c r="AI62" s="417"/>
      <c r="AJ62" s="417"/>
      <c r="AK62" s="417"/>
      <c r="AL62" s="417"/>
      <c r="AM62" s="298">
        <f>SUM(Y62:AL62)</f>
        <v>0</v>
      </c>
    </row>
    <row r="63" spans="1:42" s="285" customFormat="1" ht="15" hidden="1" outlineLevel="1">
      <c r="A63" s="509"/>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hidden="1" outlineLevel="1">
      <c r="A64" s="509"/>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hidden="1" outlineLevel="1">
      <c r="A65" s="509">
        <v>15</v>
      </c>
      <c r="B65" s="316" t="s">
        <v>489</v>
      </c>
      <c r="C65" s="293" t="s">
        <v>25</v>
      </c>
      <c r="D65" s="297" t="s">
        <v>710</v>
      </c>
      <c r="E65" s="297" t="s">
        <v>710</v>
      </c>
      <c r="F65" s="297" t="s">
        <v>710</v>
      </c>
      <c r="G65" s="297" t="s">
        <v>710</v>
      </c>
      <c r="H65" s="297" t="s">
        <v>710</v>
      </c>
      <c r="I65" s="297" t="s">
        <v>710</v>
      </c>
      <c r="J65" s="297" t="s">
        <v>710</v>
      </c>
      <c r="K65" s="297" t="s">
        <v>710</v>
      </c>
      <c r="L65" s="297" t="s">
        <v>710</v>
      </c>
      <c r="M65" s="297" t="s">
        <v>710</v>
      </c>
      <c r="N65" s="293"/>
      <c r="O65" s="297" t="s">
        <v>710</v>
      </c>
      <c r="P65" s="297" t="s">
        <v>710</v>
      </c>
      <c r="Q65" s="297" t="s">
        <v>710</v>
      </c>
      <c r="R65" s="297" t="s">
        <v>710</v>
      </c>
      <c r="S65" s="297" t="s">
        <v>710</v>
      </c>
      <c r="T65" s="297" t="s">
        <v>710</v>
      </c>
      <c r="U65" s="297" t="s">
        <v>710</v>
      </c>
      <c r="V65" s="297" t="s">
        <v>710</v>
      </c>
      <c r="W65" s="297" t="s">
        <v>710</v>
      </c>
      <c r="X65" s="297" t="s">
        <v>710</v>
      </c>
      <c r="Y65" s="417"/>
      <c r="Z65" s="417"/>
      <c r="AA65" s="417"/>
      <c r="AB65" s="417"/>
      <c r="AC65" s="417"/>
      <c r="AD65" s="417"/>
      <c r="AE65" s="417"/>
      <c r="AF65" s="417"/>
      <c r="AG65" s="417"/>
      <c r="AH65" s="417"/>
      <c r="AI65" s="417"/>
      <c r="AJ65" s="417"/>
      <c r="AK65" s="417"/>
      <c r="AL65" s="417"/>
      <c r="AM65" s="298">
        <f>SUM(Y65:AL65)</f>
        <v>0</v>
      </c>
    </row>
    <row r="66" spans="1:39" s="285" customFormat="1" ht="15" hidden="1" outlineLevel="1">
      <c r="A66" s="509"/>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hidden="1" outlineLevel="1">
      <c r="A67" s="509"/>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hidden="1" outlineLevel="1">
      <c r="A68" s="509">
        <v>16</v>
      </c>
      <c r="B68" s="316" t="s">
        <v>490</v>
      </c>
      <c r="C68" s="293" t="s">
        <v>25</v>
      </c>
      <c r="D68" s="297" t="s">
        <v>710</v>
      </c>
      <c r="E68" s="297" t="s">
        <v>710</v>
      </c>
      <c r="F68" s="297" t="s">
        <v>710</v>
      </c>
      <c r="G68" s="297" t="s">
        <v>710</v>
      </c>
      <c r="H68" s="297" t="s">
        <v>710</v>
      </c>
      <c r="I68" s="297" t="s">
        <v>710</v>
      </c>
      <c r="J68" s="297" t="s">
        <v>710</v>
      </c>
      <c r="K68" s="297" t="s">
        <v>710</v>
      </c>
      <c r="L68" s="297" t="s">
        <v>710</v>
      </c>
      <c r="M68" s="297" t="s">
        <v>710</v>
      </c>
      <c r="N68" s="293"/>
      <c r="O68" s="297" t="s">
        <v>710</v>
      </c>
      <c r="P68" s="297" t="s">
        <v>710</v>
      </c>
      <c r="Q68" s="297" t="s">
        <v>710</v>
      </c>
      <c r="R68" s="297" t="s">
        <v>710</v>
      </c>
      <c r="S68" s="297" t="s">
        <v>710</v>
      </c>
      <c r="T68" s="297" t="s">
        <v>710</v>
      </c>
      <c r="U68" s="297" t="s">
        <v>710</v>
      </c>
      <c r="V68" s="297" t="s">
        <v>710</v>
      </c>
      <c r="W68" s="297" t="s">
        <v>710</v>
      </c>
      <c r="X68" s="297" t="s">
        <v>710</v>
      </c>
      <c r="Y68" s="417"/>
      <c r="Z68" s="417"/>
      <c r="AA68" s="417"/>
      <c r="AB68" s="417"/>
      <c r="AC68" s="417"/>
      <c r="AD68" s="417"/>
      <c r="AE68" s="417"/>
      <c r="AF68" s="417"/>
      <c r="AG68" s="417"/>
      <c r="AH68" s="417"/>
      <c r="AI68" s="417"/>
      <c r="AJ68" s="417"/>
      <c r="AK68" s="417"/>
      <c r="AL68" s="417"/>
      <c r="AM68" s="298">
        <f>SUM(Y68:AL68)</f>
        <v>0</v>
      </c>
    </row>
    <row r="69" spans="1:39" s="285" customFormat="1" ht="15" hidden="1" outlineLevel="1">
      <c r="A69" s="509"/>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hidden="1" outlineLevel="1">
      <c r="A70" s="509"/>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hidden="1" outlineLevel="1">
      <c r="A71" s="509">
        <v>17</v>
      </c>
      <c r="B71" s="316" t="s">
        <v>9</v>
      </c>
      <c r="C71" s="293" t="s">
        <v>25</v>
      </c>
      <c r="D71" s="297">
        <v>1451.0339999999999</v>
      </c>
      <c r="E71" s="297">
        <v>0</v>
      </c>
      <c r="F71" s="297">
        <v>0</v>
      </c>
      <c r="G71" s="297">
        <v>0</v>
      </c>
      <c r="H71" s="297">
        <v>0</v>
      </c>
      <c r="I71" s="297">
        <v>0</v>
      </c>
      <c r="J71" s="297">
        <v>0</v>
      </c>
      <c r="K71" s="297">
        <v>0</v>
      </c>
      <c r="L71" s="297">
        <v>0</v>
      </c>
      <c r="M71" s="297">
        <v>0</v>
      </c>
      <c r="N71" s="293"/>
      <c r="O71" s="297">
        <v>37.164999999999999</v>
      </c>
      <c r="P71" s="297">
        <v>0</v>
      </c>
      <c r="Q71" s="297">
        <v>0</v>
      </c>
      <c r="R71" s="297">
        <v>0</v>
      </c>
      <c r="S71" s="297">
        <v>0</v>
      </c>
      <c r="T71" s="297">
        <v>0</v>
      </c>
      <c r="U71" s="297">
        <v>0</v>
      </c>
      <c r="V71" s="297">
        <v>0</v>
      </c>
      <c r="W71" s="297">
        <v>0</v>
      </c>
      <c r="X71" s="297">
        <v>0</v>
      </c>
      <c r="Y71" s="417">
        <v>0</v>
      </c>
      <c r="Z71" s="417">
        <v>0</v>
      </c>
      <c r="AA71" s="417">
        <v>1</v>
      </c>
      <c r="AB71" s="417"/>
      <c r="AC71" s="417"/>
      <c r="AD71" s="417"/>
      <c r="AE71" s="417"/>
      <c r="AF71" s="417"/>
      <c r="AG71" s="417"/>
      <c r="AH71" s="417"/>
      <c r="AI71" s="417"/>
      <c r="AJ71" s="417"/>
      <c r="AK71" s="417"/>
      <c r="AL71" s="417"/>
      <c r="AM71" s="298">
        <f>SUM(Y71:AL71)</f>
        <v>1</v>
      </c>
    </row>
    <row r="72" spans="1:39" s="285" customFormat="1" ht="15" hidden="1" outlineLevel="1">
      <c r="A72" s="509"/>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1</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hidden="1" outlineLevel="1">
      <c r="A73" s="509"/>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hidden="1" outlineLevel="1">
      <c r="A74" s="510"/>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hidden="1" outlineLevel="1">
      <c r="A75" s="509">
        <v>18</v>
      </c>
      <c r="B75" s="317" t="s">
        <v>11</v>
      </c>
      <c r="C75" s="293" t="s">
        <v>25</v>
      </c>
      <c r="D75" s="297" t="s">
        <v>710</v>
      </c>
      <c r="E75" s="297" t="s">
        <v>710</v>
      </c>
      <c r="F75" s="297" t="s">
        <v>710</v>
      </c>
      <c r="G75" s="297" t="s">
        <v>710</v>
      </c>
      <c r="H75" s="297" t="s">
        <v>710</v>
      </c>
      <c r="I75" s="297" t="s">
        <v>710</v>
      </c>
      <c r="J75" s="297" t="s">
        <v>710</v>
      </c>
      <c r="K75" s="297" t="s">
        <v>710</v>
      </c>
      <c r="L75" s="297" t="s">
        <v>710</v>
      </c>
      <c r="M75" s="297" t="s">
        <v>710</v>
      </c>
      <c r="N75" s="297">
        <v>12</v>
      </c>
      <c r="O75" s="297" t="s">
        <v>710</v>
      </c>
      <c r="P75" s="297" t="s">
        <v>710</v>
      </c>
      <c r="Q75" s="297" t="s">
        <v>710</v>
      </c>
      <c r="R75" s="297" t="s">
        <v>710</v>
      </c>
      <c r="S75" s="297" t="s">
        <v>710</v>
      </c>
      <c r="T75" s="297" t="s">
        <v>710</v>
      </c>
      <c r="U75" s="297" t="s">
        <v>710</v>
      </c>
      <c r="V75" s="297" t="s">
        <v>710</v>
      </c>
      <c r="W75" s="297" t="s">
        <v>710</v>
      </c>
      <c r="X75" s="297" t="s">
        <v>710</v>
      </c>
      <c r="Y75" s="417"/>
      <c r="Z75" s="417"/>
      <c r="AA75" s="417"/>
      <c r="AB75" s="417"/>
      <c r="AC75" s="417"/>
      <c r="AD75" s="417"/>
      <c r="AE75" s="417"/>
      <c r="AF75" s="417"/>
      <c r="AG75" s="417"/>
      <c r="AH75" s="417"/>
      <c r="AI75" s="417"/>
      <c r="AJ75" s="417"/>
      <c r="AK75" s="417"/>
      <c r="AL75" s="417"/>
      <c r="AM75" s="298">
        <f>SUM(Y75:AL75)</f>
        <v>0</v>
      </c>
    </row>
    <row r="76" spans="1:39" s="285" customFormat="1" ht="15" hidden="1" outlineLevel="1">
      <c r="A76" s="509"/>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hidden="1" outlineLevel="1">
      <c r="A77" s="512"/>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hidden="1" outlineLevel="1">
      <c r="A78" s="509">
        <v>19</v>
      </c>
      <c r="B78" s="317" t="s">
        <v>12</v>
      </c>
      <c r="C78" s="293" t="s">
        <v>25</v>
      </c>
      <c r="D78" s="297" t="s">
        <v>710</v>
      </c>
      <c r="E78" s="297" t="s">
        <v>710</v>
      </c>
      <c r="F78" s="297" t="s">
        <v>710</v>
      </c>
      <c r="G78" s="297" t="s">
        <v>710</v>
      </c>
      <c r="H78" s="297" t="s">
        <v>710</v>
      </c>
      <c r="I78" s="297" t="s">
        <v>710</v>
      </c>
      <c r="J78" s="297" t="s">
        <v>710</v>
      </c>
      <c r="K78" s="297" t="s">
        <v>710</v>
      </c>
      <c r="L78" s="297" t="s">
        <v>710</v>
      </c>
      <c r="M78" s="297" t="s">
        <v>710</v>
      </c>
      <c r="N78" s="297">
        <v>12</v>
      </c>
      <c r="O78" s="297" t="s">
        <v>710</v>
      </c>
      <c r="P78" s="297" t="s">
        <v>710</v>
      </c>
      <c r="Q78" s="297" t="s">
        <v>710</v>
      </c>
      <c r="R78" s="297" t="s">
        <v>710</v>
      </c>
      <c r="S78" s="297" t="s">
        <v>710</v>
      </c>
      <c r="T78" s="297" t="s">
        <v>710</v>
      </c>
      <c r="U78" s="297" t="s">
        <v>710</v>
      </c>
      <c r="V78" s="297" t="s">
        <v>710</v>
      </c>
      <c r="W78" s="297" t="s">
        <v>710</v>
      </c>
      <c r="X78" s="297" t="s">
        <v>710</v>
      </c>
      <c r="Y78" s="412"/>
      <c r="Z78" s="417"/>
      <c r="AA78" s="417"/>
      <c r="AB78" s="417"/>
      <c r="AC78" s="417"/>
      <c r="AD78" s="417"/>
      <c r="AE78" s="417"/>
      <c r="AF78" s="417"/>
      <c r="AG78" s="417"/>
      <c r="AH78" s="417"/>
      <c r="AI78" s="417"/>
      <c r="AJ78" s="417"/>
      <c r="AK78" s="417"/>
      <c r="AL78" s="417"/>
      <c r="AM78" s="298">
        <f>SUM(Y78:AL78)</f>
        <v>0</v>
      </c>
    </row>
    <row r="79" spans="1:39" s="285" customFormat="1" ht="15" hidden="1" outlineLevel="1">
      <c r="A79" s="509"/>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hidden="1" outlineLevel="1">
      <c r="A80" s="509"/>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hidden="1" outlineLevel="1">
      <c r="A81" s="509">
        <v>20</v>
      </c>
      <c r="B81" s="317" t="s">
        <v>13</v>
      </c>
      <c r="C81" s="293" t="s">
        <v>25</v>
      </c>
      <c r="D81" s="297" t="s">
        <v>710</v>
      </c>
      <c r="E81" s="297" t="s">
        <v>710</v>
      </c>
      <c r="F81" s="297" t="s">
        <v>710</v>
      </c>
      <c r="G81" s="297" t="s">
        <v>710</v>
      </c>
      <c r="H81" s="297" t="s">
        <v>710</v>
      </c>
      <c r="I81" s="297" t="s">
        <v>710</v>
      </c>
      <c r="J81" s="297" t="s">
        <v>710</v>
      </c>
      <c r="K81" s="297" t="s">
        <v>710</v>
      </c>
      <c r="L81" s="297" t="s">
        <v>710</v>
      </c>
      <c r="M81" s="297" t="s">
        <v>710</v>
      </c>
      <c r="N81" s="297">
        <v>12</v>
      </c>
      <c r="O81" s="297" t="s">
        <v>710</v>
      </c>
      <c r="P81" s="297" t="s">
        <v>710</v>
      </c>
      <c r="Q81" s="297" t="s">
        <v>710</v>
      </c>
      <c r="R81" s="297" t="s">
        <v>710</v>
      </c>
      <c r="S81" s="297" t="s">
        <v>710</v>
      </c>
      <c r="T81" s="297" t="s">
        <v>710</v>
      </c>
      <c r="U81" s="297" t="s">
        <v>710</v>
      </c>
      <c r="V81" s="297" t="s">
        <v>710</v>
      </c>
      <c r="W81" s="297" t="s">
        <v>710</v>
      </c>
      <c r="X81" s="297" t="s">
        <v>710</v>
      </c>
      <c r="Y81" s="412"/>
      <c r="Z81" s="417"/>
      <c r="AA81" s="417"/>
      <c r="AB81" s="417"/>
      <c r="AC81" s="417"/>
      <c r="AD81" s="417"/>
      <c r="AE81" s="417"/>
      <c r="AF81" s="417"/>
      <c r="AG81" s="417"/>
      <c r="AH81" s="417"/>
      <c r="AI81" s="417"/>
      <c r="AJ81" s="417"/>
      <c r="AK81" s="417"/>
      <c r="AL81" s="417"/>
      <c r="AM81" s="298">
        <f>SUM(Y81:AL81)</f>
        <v>0</v>
      </c>
    </row>
    <row r="82" spans="1:39" s="285" customFormat="1" ht="15" hidden="1" outlineLevel="1">
      <c r="A82" s="509"/>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hidden="1" outlineLevel="1">
      <c r="A83" s="509"/>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hidden="1" outlineLevel="1">
      <c r="A84" s="509">
        <v>21</v>
      </c>
      <c r="B84" s="317" t="s">
        <v>22</v>
      </c>
      <c r="C84" s="293" t="s">
        <v>25</v>
      </c>
      <c r="D84" s="297">
        <v>20486.999999999949</v>
      </c>
      <c r="E84" s="297">
        <v>20486.999999999949</v>
      </c>
      <c r="F84" s="297">
        <v>20486.999999999949</v>
      </c>
      <c r="G84" s="297">
        <v>20486.999999999949</v>
      </c>
      <c r="H84" s="297">
        <v>20486.999999999949</v>
      </c>
      <c r="I84" s="297">
        <v>20486.999999999949</v>
      </c>
      <c r="J84" s="297">
        <v>20486.999999999949</v>
      </c>
      <c r="K84" s="297">
        <v>20486.999999999949</v>
      </c>
      <c r="L84" s="297">
        <v>20486.999999999949</v>
      </c>
      <c r="M84" s="297">
        <v>20486.999999999949</v>
      </c>
      <c r="N84" s="297">
        <v>12</v>
      </c>
      <c r="O84" s="297">
        <v>3</v>
      </c>
      <c r="P84" s="297">
        <v>3</v>
      </c>
      <c r="Q84" s="297">
        <v>3</v>
      </c>
      <c r="R84" s="297">
        <v>3</v>
      </c>
      <c r="S84" s="297">
        <v>3</v>
      </c>
      <c r="T84" s="297">
        <v>3</v>
      </c>
      <c r="U84" s="297">
        <v>3</v>
      </c>
      <c r="V84" s="297">
        <v>3</v>
      </c>
      <c r="W84" s="297">
        <v>3</v>
      </c>
      <c r="X84" s="297">
        <v>3</v>
      </c>
      <c r="Y84" s="417">
        <v>0</v>
      </c>
      <c r="Z84" s="417">
        <v>1</v>
      </c>
      <c r="AA84" s="417">
        <v>0</v>
      </c>
      <c r="AB84" s="417"/>
      <c r="AC84" s="417"/>
      <c r="AD84" s="417"/>
      <c r="AE84" s="417"/>
      <c r="AF84" s="417"/>
      <c r="AG84" s="417"/>
      <c r="AH84" s="417"/>
      <c r="AI84" s="417"/>
      <c r="AJ84" s="417"/>
      <c r="AK84" s="417"/>
      <c r="AL84" s="417"/>
      <c r="AM84" s="298">
        <f>SUM(Y84:AL84)</f>
        <v>1</v>
      </c>
    </row>
    <row r="85" spans="1:39" s="285" customFormat="1" ht="15" hidden="1" outlineLevel="1">
      <c r="A85" s="509"/>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1</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hidden="1" outlineLevel="1">
      <c r="A86" s="509"/>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hidden="1" outlineLevel="1">
      <c r="A87" s="509">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hidden="1" outlineLevel="1">
      <c r="A88" s="509"/>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hidden="1" outlineLevel="1">
      <c r="A89" s="509"/>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hidden="1" outlineLevel="1">
      <c r="A90" s="510"/>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hidden="1" outlineLevel="1">
      <c r="A91" s="509">
        <v>23</v>
      </c>
      <c r="B91" s="317" t="s">
        <v>14</v>
      </c>
      <c r="C91" s="293" t="s">
        <v>25</v>
      </c>
      <c r="D91" s="297" t="s">
        <v>710</v>
      </c>
      <c r="E91" s="297" t="s">
        <v>710</v>
      </c>
      <c r="F91" s="297" t="s">
        <v>710</v>
      </c>
      <c r="G91" s="297" t="s">
        <v>710</v>
      </c>
      <c r="H91" s="297" t="s">
        <v>710</v>
      </c>
      <c r="I91" s="297" t="s">
        <v>710</v>
      </c>
      <c r="J91" s="297" t="s">
        <v>710</v>
      </c>
      <c r="K91" s="297" t="s">
        <v>710</v>
      </c>
      <c r="L91" s="297" t="s">
        <v>710</v>
      </c>
      <c r="M91" s="297" t="s">
        <v>710</v>
      </c>
      <c r="N91" s="293"/>
      <c r="O91" s="297" t="s">
        <v>710</v>
      </c>
      <c r="P91" s="297" t="s">
        <v>710</v>
      </c>
      <c r="Q91" s="297" t="s">
        <v>710</v>
      </c>
      <c r="R91" s="297" t="s">
        <v>710</v>
      </c>
      <c r="S91" s="297" t="s">
        <v>710</v>
      </c>
      <c r="T91" s="297" t="s">
        <v>710</v>
      </c>
      <c r="U91" s="297" t="s">
        <v>710</v>
      </c>
      <c r="V91" s="297" t="s">
        <v>710</v>
      </c>
      <c r="W91" s="297" t="s">
        <v>710</v>
      </c>
      <c r="X91" s="297" t="s">
        <v>710</v>
      </c>
      <c r="Y91" s="412"/>
      <c r="Z91" s="412"/>
      <c r="AA91" s="412"/>
      <c r="AB91" s="412"/>
      <c r="AC91" s="412"/>
      <c r="AD91" s="412"/>
      <c r="AE91" s="412"/>
      <c r="AF91" s="412"/>
      <c r="AG91" s="412"/>
      <c r="AH91" s="412"/>
      <c r="AI91" s="412"/>
      <c r="AJ91" s="412"/>
      <c r="AK91" s="412"/>
      <c r="AL91" s="412"/>
      <c r="AM91" s="298">
        <f>SUM(Y91:AL91)</f>
        <v>0</v>
      </c>
    </row>
    <row r="92" spans="1:39" s="285" customFormat="1" ht="15" hidden="1" outlineLevel="1">
      <c r="A92" s="509"/>
      <c r="B92" s="317" t="s">
        <v>215</v>
      </c>
      <c r="C92" s="293" t="s">
        <v>164</v>
      </c>
      <c r="D92" s="297"/>
      <c r="E92" s="297"/>
      <c r="F92" s="297"/>
      <c r="G92" s="297"/>
      <c r="H92" s="297"/>
      <c r="I92" s="297"/>
      <c r="J92" s="297"/>
      <c r="K92" s="297"/>
      <c r="L92" s="297"/>
      <c r="M92" s="297"/>
      <c r="N92" s="469"/>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hidden="1" outlineLevel="1">
      <c r="A93" s="509"/>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hidden="1" outlineLevel="1">
      <c r="A94" s="510"/>
      <c r="B94" s="290" t="s">
        <v>491</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hidden="1" outlineLevel="1">
      <c r="A95" s="509">
        <v>24</v>
      </c>
      <c r="B95" s="317" t="s">
        <v>14</v>
      </c>
      <c r="C95" s="293" t="s">
        <v>25</v>
      </c>
      <c r="D95" s="297"/>
      <c r="E95" s="297"/>
      <c r="F95" s="297"/>
      <c r="G95" s="297"/>
      <c r="H95" s="297"/>
      <c r="I95" s="297"/>
      <c r="J95" s="297"/>
      <c r="K95" s="297"/>
      <c r="L95" s="297"/>
      <c r="M95" s="297"/>
      <c r="N95" s="293"/>
      <c r="O95" s="297" t="s">
        <v>710</v>
      </c>
      <c r="P95" s="297" t="s">
        <v>710</v>
      </c>
      <c r="Q95" s="297" t="s">
        <v>710</v>
      </c>
      <c r="R95" s="297" t="s">
        <v>710</v>
      </c>
      <c r="S95" s="297" t="s">
        <v>710</v>
      </c>
      <c r="T95" s="297" t="s">
        <v>710</v>
      </c>
      <c r="U95" s="297" t="s">
        <v>710</v>
      </c>
      <c r="V95" s="297" t="s">
        <v>710</v>
      </c>
      <c r="W95" s="297" t="s">
        <v>710</v>
      </c>
      <c r="X95" s="297" t="s">
        <v>710</v>
      </c>
      <c r="Y95" s="412"/>
      <c r="Z95" s="412"/>
      <c r="AA95" s="412"/>
      <c r="AB95" s="412"/>
      <c r="AC95" s="412"/>
      <c r="AD95" s="412"/>
      <c r="AE95" s="412"/>
      <c r="AF95" s="412"/>
      <c r="AG95" s="412"/>
      <c r="AH95" s="412"/>
      <c r="AI95" s="412"/>
      <c r="AJ95" s="412"/>
      <c r="AK95" s="412"/>
      <c r="AL95" s="412"/>
      <c r="AM95" s="298">
        <f>SUM(Y95:AL95)</f>
        <v>0</v>
      </c>
    </row>
    <row r="96" spans="1:39" s="285" customFormat="1" ht="15" hidden="1" outlineLevel="1">
      <c r="A96" s="509"/>
      <c r="B96" s="317" t="s">
        <v>215</v>
      </c>
      <c r="C96" s="293" t="s">
        <v>164</v>
      </c>
      <c r="D96" s="297"/>
      <c r="E96" s="297"/>
      <c r="F96" s="297"/>
      <c r="G96" s="297"/>
      <c r="H96" s="297"/>
      <c r="I96" s="297"/>
      <c r="J96" s="297"/>
      <c r="K96" s="297"/>
      <c r="L96" s="297"/>
      <c r="M96" s="297"/>
      <c r="N96" s="469"/>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hidden="1" outlineLevel="1">
      <c r="A97" s="509"/>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hidden="1" outlineLevel="1">
      <c r="A98" s="509">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hidden="1" outlineLevel="1">
      <c r="A99" s="509"/>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hidden="1" outlineLevel="1">
      <c r="A100" s="509"/>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hidden="1" outlineLevel="1">
      <c r="A101" s="510"/>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hidden="1" outlineLevel="1">
      <c r="A102" s="509">
        <v>26</v>
      </c>
      <c r="B102" s="323" t="s">
        <v>16</v>
      </c>
      <c r="C102" s="293" t="s">
        <v>25</v>
      </c>
      <c r="D102" s="297">
        <v>15806.949478319999</v>
      </c>
      <c r="E102" s="297">
        <v>15806.949478319999</v>
      </c>
      <c r="F102" s="297">
        <v>15806.949478319999</v>
      </c>
      <c r="G102" s="297">
        <v>15806.949478319999</v>
      </c>
      <c r="H102" s="297">
        <v>15806.949478319999</v>
      </c>
      <c r="I102" s="297">
        <v>15806.949478319999</v>
      </c>
      <c r="J102" s="297">
        <v>15806.949478319999</v>
      </c>
      <c r="K102" s="297">
        <v>15806.949478319999</v>
      </c>
      <c r="L102" s="297">
        <v>15806.949478319999</v>
      </c>
      <c r="M102" s="297">
        <v>15806.949478319999</v>
      </c>
      <c r="N102" s="297">
        <v>12</v>
      </c>
      <c r="O102" s="297">
        <v>2.7203176000000004</v>
      </c>
      <c r="P102" s="297">
        <v>2.7203176000000004</v>
      </c>
      <c r="Q102" s="297">
        <v>2.7203176000000004</v>
      </c>
      <c r="R102" s="297">
        <v>2.7203176000000004</v>
      </c>
      <c r="S102" s="297">
        <v>2.7203176000000004</v>
      </c>
      <c r="T102" s="297">
        <v>2.7203176000000004</v>
      </c>
      <c r="U102" s="297">
        <v>2.7203176000000004</v>
      </c>
      <c r="V102" s="297">
        <v>2.7203176000000004</v>
      </c>
      <c r="W102" s="297">
        <v>2.7203176000000004</v>
      </c>
      <c r="X102" s="297">
        <v>2.7203176000000004</v>
      </c>
      <c r="Y102" s="417">
        <v>0</v>
      </c>
      <c r="Z102" s="417">
        <v>1</v>
      </c>
      <c r="AA102" s="417">
        <v>0</v>
      </c>
      <c r="AB102" s="412"/>
      <c r="AC102" s="412"/>
      <c r="AD102" s="412"/>
      <c r="AE102" s="417"/>
      <c r="AF102" s="417"/>
      <c r="AG102" s="417"/>
      <c r="AH102" s="417"/>
      <c r="AI102" s="417"/>
      <c r="AJ102" s="417"/>
      <c r="AK102" s="417"/>
      <c r="AL102" s="417"/>
      <c r="AM102" s="298">
        <f>SUM(Y102:AL102)</f>
        <v>1</v>
      </c>
    </row>
    <row r="103" spans="1:39" s="285" customFormat="1" ht="15" hidden="1" outlineLevel="1">
      <c r="A103" s="509"/>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1</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hidden="1" outlineLevel="1">
      <c r="A104" s="512"/>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hidden="1" outlineLevel="1">
      <c r="A105" s="509">
        <v>27</v>
      </c>
      <c r="B105" s="323" t="s">
        <v>17</v>
      </c>
      <c r="C105" s="293" t="s">
        <v>25</v>
      </c>
      <c r="D105" s="297">
        <v>157827.75200000001</v>
      </c>
      <c r="E105" s="297">
        <v>157827.75200000001</v>
      </c>
      <c r="F105" s="297">
        <v>157827.75200000001</v>
      </c>
      <c r="G105" s="297">
        <v>157827.75200000001</v>
      </c>
      <c r="H105" s="297">
        <v>157827.75200000001</v>
      </c>
      <c r="I105" s="297">
        <v>157827.75200000001</v>
      </c>
      <c r="J105" s="297">
        <v>157827.75200000001</v>
      </c>
      <c r="K105" s="297">
        <v>157827.75200000001</v>
      </c>
      <c r="L105" s="297">
        <v>157827.75200000001</v>
      </c>
      <c r="M105" s="297">
        <v>157827.75200000001</v>
      </c>
      <c r="N105" s="297">
        <v>12</v>
      </c>
      <c r="O105" s="297">
        <v>43.656999999999996</v>
      </c>
      <c r="P105" s="297">
        <v>43.656999999999996</v>
      </c>
      <c r="Q105" s="297">
        <v>43.656999999999996</v>
      </c>
      <c r="R105" s="297">
        <v>43.656999999999996</v>
      </c>
      <c r="S105" s="297">
        <v>43.657000000000004</v>
      </c>
      <c r="T105" s="297">
        <v>43.657000000000004</v>
      </c>
      <c r="U105" s="297">
        <v>43.657000000000004</v>
      </c>
      <c r="V105" s="297">
        <v>43.657000000000004</v>
      </c>
      <c r="W105" s="297">
        <v>43.657000000000004</v>
      </c>
      <c r="X105" s="297">
        <v>43.657000000000004</v>
      </c>
      <c r="Y105" s="417">
        <v>0</v>
      </c>
      <c r="Z105" s="417">
        <v>0</v>
      </c>
      <c r="AA105" s="417">
        <v>1</v>
      </c>
      <c r="AB105" s="412"/>
      <c r="AC105" s="412"/>
      <c r="AD105" s="412"/>
      <c r="AE105" s="417"/>
      <c r="AF105" s="417"/>
      <c r="AG105" s="417"/>
      <c r="AH105" s="417"/>
      <c r="AI105" s="417"/>
      <c r="AJ105" s="417"/>
      <c r="AK105" s="417"/>
      <c r="AL105" s="417"/>
      <c r="AM105" s="298">
        <f>SUM(Y105:AL105)</f>
        <v>1</v>
      </c>
    </row>
    <row r="106" spans="1:39" s="285" customFormat="1" ht="15" hidden="1" outlineLevel="1">
      <c r="A106" s="509"/>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hidden="1" outlineLevel="1">
      <c r="A107" s="512"/>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hidden="1" outlineLevel="1">
      <c r="A108" s="509">
        <v>28</v>
      </c>
      <c r="B108" s="323" t="s">
        <v>18</v>
      </c>
      <c r="C108" s="293" t="s">
        <v>25</v>
      </c>
      <c r="D108" s="297"/>
      <c r="E108" s="297"/>
      <c r="F108" s="297"/>
      <c r="G108" s="297"/>
      <c r="H108" s="297"/>
      <c r="I108" s="297"/>
      <c r="J108" s="297"/>
      <c r="K108" s="297"/>
      <c r="L108" s="297"/>
      <c r="M108" s="297"/>
      <c r="N108" s="297">
        <v>0</v>
      </c>
      <c r="O108" s="297" t="s">
        <v>710</v>
      </c>
      <c r="P108" s="297" t="s">
        <v>710</v>
      </c>
      <c r="Q108" s="297" t="s">
        <v>710</v>
      </c>
      <c r="R108" s="297" t="s">
        <v>710</v>
      </c>
      <c r="S108" s="297" t="s">
        <v>710</v>
      </c>
      <c r="T108" s="297" t="s">
        <v>710</v>
      </c>
      <c r="U108" s="297" t="s">
        <v>710</v>
      </c>
      <c r="V108" s="297" t="s">
        <v>710</v>
      </c>
      <c r="W108" s="297" t="s">
        <v>710</v>
      </c>
      <c r="X108" s="297" t="s">
        <v>710</v>
      </c>
      <c r="Y108" s="412"/>
      <c r="Z108" s="412"/>
      <c r="AA108" s="412"/>
      <c r="AB108" s="412"/>
      <c r="AC108" s="412"/>
      <c r="AD108" s="412"/>
      <c r="AE108" s="417"/>
      <c r="AF108" s="417"/>
      <c r="AG108" s="417"/>
      <c r="AH108" s="417"/>
      <c r="AI108" s="417"/>
      <c r="AJ108" s="417"/>
      <c r="AK108" s="417"/>
      <c r="AL108" s="417"/>
      <c r="AM108" s="298">
        <f>SUM(Y108:AL108)</f>
        <v>0</v>
      </c>
    </row>
    <row r="109" spans="1:39" s="285" customFormat="1" ht="15" hidden="1" outlineLevel="1">
      <c r="A109" s="509"/>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hidden="1" outlineLevel="1">
      <c r="A110" s="512"/>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hidden="1" outlineLevel="1">
      <c r="A111" s="509">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hidden="1" outlineLevel="1">
      <c r="A112" s="509"/>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5"/>
    </row>
    <row r="113" spans="1:39" s="285" customFormat="1" ht="15" hidden="1" outlineLevel="1">
      <c r="A113" s="509"/>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hidden="1" outlineLevel="1">
      <c r="A114" s="509">
        <v>30</v>
      </c>
      <c r="B114" s="326" t="s">
        <v>492</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hidden="1" outlineLevel="1">
      <c r="A115" s="509"/>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5"/>
    </row>
    <row r="116" spans="1:39" s="285" customFormat="1" ht="15" hidden="1" outlineLevel="1">
      <c r="A116" s="509"/>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hidden="1" outlineLevel="1">
      <c r="A117" s="509"/>
      <c r="B117" s="290" t="s">
        <v>493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hidden="1" outlineLevel="1">
      <c r="A118" s="509">
        <v>31</v>
      </c>
      <c r="B118" s="326" t="s">
        <v>494</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hidden="1" outlineLevel="1">
      <c r="A119" s="509"/>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5"/>
    </row>
    <row r="120" spans="1:39" s="285" customFormat="1" ht="15" hidden="1" outlineLevel="1">
      <c r="A120" s="509"/>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hidden="1" outlineLevel="1">
      <c r="A121" s="509">
        <v>32</v>
      </c>
      <c r="B121" s="326" t="s">
        <v>495</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hidden="1" outlineLevel="1">
      <c r="A122" s="509"/>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5"/>
    </row>
    <row r="123" spans="1:39" s="285" customFormat="1" ht="15" hidden="1" outlineLevel="1">
      <c r="A123" s="509"/>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hidden="1" outlineLevel="1">
      <c r="A124" s="509">
        <v>33</v>
      </c>
      <c r="B124" s="326" t="s">
        <v>496</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hidden="1" outlineLevel="1">
      <c r="A125" s="509"/>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5"/>
    </row>
    <row r="126" spans="1:39" s="285" customFormat="1" ht="15" hidden="1" outlineLevel="1">
      <c r="A126" s="509"/>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ollapsed="1">
      <c r="A127" s="509"/>
      <c r="B127" s="329" t="s">
        <v>238</v>
      </c>
      <c r="C127" s="330"/>
      <c r="D127" s="330">
        <f>SUM(D22:D125)</f>
        <v>733545.77481516427</v>
      </c>
      <c r="E127" s="330"/>
      <c r="F127" s="330"/>
      <c r="G127" s="330"/>
      <c r="H127" s="330"/>
      <c r="I127" s="330"/>
      <c r="J127" s="330"/>
      <c r="K127" s="330"/>
      <c r="L127" s="330"/>
      <c r="M127" s="330"/>
      <c r="N127" s="330"/>
      <c r="O127" s="330">
        <f>SUM(O22:O125)</f>
        <v>211.73898821476956</v>
      </c>
      <c r="P127" s="330"/>
      <c r="Q127" s="330"/>
      <c r="R127" s="330"/>
      <c r="S127" s="330"/>
      <c r="T127" s="330"/>
      <c r="U127" s="330"/>
      <c r="V127" s="330"/>
      <c r="W127" s="330"/>
      <c r="X127" s="330"/>
      <c r="Y127" s="331">
        <f>IF(Y21="kWh",SUMPRODUCT(D22:D125,Y22:Y125))</f>
        <v>259799.64222938719</v>
      </c>
      <c r="Z127" s="331">
        <f>IF(Z21="kWh",SUMPRODUCT(D22:D125,Z22:Z125))</f>
        <v>314467.34658577718</v>
      </c>
      <c r="AA127" s="331">
        <f>IF(AA21="kW",SUMPRODUCT(N22:N125,O22:O125,AA22:AA125),SUMPRODUCT(D22:D125,AA22:AA125))</f>
        <v>523.88400000000001</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09"/>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1"/>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08"/>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1.7100000000000001E-2</v>
      </c>
      <c r="Z130" s="343">
        <f>HLOOKUP(Z$20,'3.  Distribution Rates'!$C$122:$P$133,3,FALSE)</f>
        <v>1.11E-2</v>
      </c>
      <c r="AA130" s="343">
        <f>HLOOKUP(AA$20,'3.  Distribution Rates'!$C$122:$P$133,3,FALSE)</f>
        <v>2.504</v>
      </c>
      <c r="AB130" s="343">
        <f>HLOOKUP(AB$20,'3.  Distribution Rates'!$C$122:$P$133,3,FALSE)</f>
        <v>12.955299999999999</v>
      </c>
      <c r="AC130" s="343">
        <f>HLOOKUP(AC$20,'3.  Distribution Rates'!$C$122:$P$133,3,FALSE)</f>
        <v>1.5699999999999999E-2</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1"/>
      <c r="B131" s="300" t="s">
        <v>255</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4442.5738821225214</v>
      </c>
      <c r="Z131" s="348">
        <f t="shared" si="33"/>
        <v>3490.5875471021268</v>
      </c>
      <c r="AA131" s="349">
        <f t="shared" si="33"/>
        <v>1311.8055360000001</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9244.9669652246484</v>
      </c>
    </row>
    <row r="132" spans="1:40" s="305" customFormat="1" ht="15.75">
      <c r="A132" s="511"/>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3"/>
      <c r="B133" s="351" t="s">
        <v>258</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9244.9669652246484</v>
      </c>
    </row>
    <row r="134" spans="1:40" s="356" customFormat="1" ht="19.5" customHeight="1">
      <c r="A134" s="508"/>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09"/>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259799.64222938719</v>
      </c>
      <c r="Z135" s="293">
        <f>SUMPRODUCT(E22:E125,Z22:Z125)</f>
        <v>314467.34658577718</v>
      </c>
      <c r="AA135" s="293">
        <f>IF(AA21="kW",SUMPRODUCT(N22:N125,P22:P125,AA22:AA125),SUMPRODUCT(E22:E125,AA22:AA125))</f>
        <v>523.88400000000001</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09"/>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259799.64222938719</v>
      </c>
      <c r="Z136" s="293">
        <f>SUMPRODUCT(F22:F125,Z22:Z125)</f>
        <v>314467.34658577718</v>
      </c>
      <c r="AA136" s="293">
        <f>IF(AA21="kW",SUMPRODUCT(N22:N125,Q22:Q125,AA22:AA125),SUMPRODUCT(F22:F125,AA22:AA125))</f>
        <v>523.88400000000001</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09"/>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259047.06954763783</v>
      </c>
      <c r="Z137" s="293">
        <f>SUMPRODUCT(G22:G125,Z22:Z125)</f>
        <v>232533.99425057077</v>
      </c>
      <c r="AA137" s="293">
        <f>IF(AA21="kW",SUMPRODUCT(N22:N125,R22:R125,AA22:AA125),SUMPRODUCT(G22:G125,AA22:AA125))</f>
        <v>523.88400000000001</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09"/>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233359.02916661388</v>
      </c>
      <c r="Z138" s="293">
        <f>SUMPRODUCT(H22:H125,Z22:Z125)</f>
        <v>232533.99425057077</v>
      </c>
      <c r="AA138" s="293">
        <f>IF(AA21="kW",SUMPRODUCT(N22:N125,S22:S125,AA22:AA125),SUMPRODUCT(H22:H125,AA22:AA125))</f>
        <v>523.88400000000001</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09"/>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180633.59399241232</v>
      </c>
      <c r="Z139" s="293">
        <f>SUMPRODUCT(I22:I125,Z22:Z125)</f>
        <v>232533.99425057077</v>
      </c>
      <c r="AA139" s="293">
        <f>IF(AA21="kW",SUMPRODUCT(N22:N125,T22:T125,AA22:AA125),SUMPRODUCT(I22:I125,AA22:AA125))</f>
        <v>523.88400000000001</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09"/>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151047.33180704538</v>
      </c>
      <c r="Z140" s="293">
        <f>SUMPRODUCT(J22:J125,Z22:Z125)</f>
        <v>170234.85429694905</v>
      </c>
      <c r="AA140" s="293">
        <f>IF(AA21="kW",SUMPRODUCT(N22:N125,U22:U125,AA22:AA125),SUMPRODUCT(J22:J125,AA22:AA125))</f>
        <v>523.88400000000001</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09"/>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150632.48085589323</v>
      </c>
      <c r="Z141" s="293">
        <f>SUMPRODUCT(K22:K125,Z22:Z125)</f>
        <v>170234.85429694905</v>
      </c>
      <c r="AA141" s="293">
        <f>IF(AA21="kW",SUMPRODUCT(N22:N125,V22:V125,AA22:AA125),SUMPRODUCT(K22:K125,AA22:AA125))</f>
        <v>523.88400000000001</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09"/>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174742.50645906135</v>
      </c>
      <c r="Z142" s="293">
        <f>SUMPRODUCT(L22:L125,Z22:Z125)</f>
        <v>170234.85429694905</v>
      </c>
      <c r="AA142" s="293">
        <f>IF(AA21="kW",SUMPRODUCT(N22:N125,W22:W125,AA22:AA125),SUMPRODUCT(L22:L125,AA22:AA125))</f>
        <v>523.88400000000001</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99708.393176116675</v>
      </c>
      <c r="Z143" s="328">
        <f>SUMPRODUCT(M22:M125,Z22:Z125)</f>
        <v>170234.85429694905</v>
      </c>
      <c r="AA143" s="328">
        <f>IF(AA21="kW",SUMPRODUCT(N22:N125,X22:X125,AA22:AA125),SUMPRODUCT(M22:M125,AA22:AA125))</f>
        <v>523.88400000000001</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594</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244</v>
      </c>
      <c r="C146" s="283"/>
      <c r="D146" s="590" t="s">
        <v>530</v>
      </c>
      <c r="F146" s="590"/>
      <c r="O146" s="283"/>
      <c r="Y146" s="272"/>
      <c r="Z146" s="269"/>
      <c r="AA146" s="269"/>
      <c r="AB146" s="269"/>
      <c r="AC146" s="269"/>
      <c r="AD146" s="269"/>
      <c r="AE146" s="269"/>
      <c r="AF146" s="269"/>
      <c r="AG146" s="269"/>
      <c r="AH146" s="269"/>
      <c r="AI146" s="269"/>
      <c r="AJ146" s="269"/>
      <c r="AK146" s="269"/>
      <c r="AL146" s="269"/>
      <c r="AM146" s="284"/>
    </row>
    <row r="147" spans="1:39" ht="34.5" customHeight="1">
      <c r="B147" s="868" t="s">
        <v>212</v>
      </c>
      <c r="C147" s="870" t="s">
        <v>33</v>
      </c>
      <c r="D147" s="286" t="s">
        <v>425</v>
      </c>
      <c r="E147" s="872" t="s">
        <v>210</v>
      </c>
      <c r="F147" s="873"/>
      <c r="G147" s="873"/>
      <c r="H147" s="873"/>
      <c r="I147" s="873"/>
      <c r="J147" s="873"/>
      <c r="K147" s="873"/>
      <c r="L147" s="873"/>
      <c r="M147" s="874"/>
      <c r="N147" s="878" t="s">
        <v>214</v>
      </c>
      <c r="O147" s="286" t="s">
        <v>426</v>
      </c>
      <c r="P147" s="872" t="s">
        <v>213</v>
      </c>
      <c r="Q147" s="873"/>
      <c r="R147" s="873"/>
      <c r="S147" s="873"/>
      <c r="T147" s="873"/>
      <c r="U147" s="873"/>
      <c r="V147" s="873"/>
      <c r="W147" s="873"/>
      <c r="X147" s="874"/>
      <c r="Y147" s="875" t="s">
        <v>245</v>
      </c>
      <c r="Z147" s="876"/>
      <c r="AA147" s="876"/>
      <c r="AB147" s="876"/>
      <c r="AC147" s="876"/>
      <c r="AD147" s="876"/>
      <c r="AE147" s="876"/>
      <c r="AF147" s="876"/>
      <c r="AG147" s="876"/>
      <c r="AH147" s="876"/>
      <c r="AI147" s="876"/>
      <c r="AJ147" s="876"/>
      <c r="AK147" s="876"/>
      <c r="AL147" s="876"/>
      <c r="AM147" s="877"/>
    </row>
    <row r="148" spans="1:39" ht="60.75" customHeight="1">
      <c r="B148" s="869"/>
      <c r="C148" s="871"/>
      <c r="D148" s="287">
        <v>2012</v>
      </c>
      <c r="E148" s="287">
        <v>2013</v>
      </c>
      <c r="F148" s="287">
        <v>2014</v>
      </c>
      <c r="G148" s="287">
        <v>2015</v>
      </c>
      <c r="H148" s="287">
        <v>2016</v>
      </c>
      <c r="I148" s="287">
        <v>2017</v>
      </c>
      <c r="J148" s="287">
        <v>2018</v>
      </c>
      <c r="K148" s="287">
        <v>2019</v>
      </c>
      <c r="L148" s="287">
        <v>2020</v>
      </c>
      <c r="M148" s="287">
        <v>2021</v>
      </c>
      <c r="N148" s="879"/>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GS&gt;50 kW</v>
      </c>
      <c r="AB148" s="287" t="str">
        <f>'1.  LRAMVA Summary'!G50</f>
        <v>Streetlights</v>
      </c>
      <c r="AC148" s="287" t="str">
        <f>'1.  LRAMVA Summary'!H50</f>
        <v>Unmetered Scattered Load</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KWh</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hidden="1" outlineLevel="1">
      <c r="A150" s="509">
        <v>1</v>
      </c>
      <c r="B150" s="296" t="s">
        <v>1</v>
      </c>
      <c r="C150" s="293" t="s">
        <v>25</v>
      </c>
      <c r="D150" s="297">
        <v>38949.134989276099</v>
      </c>
      <c r="E150" s="297">
        <v>38949.134989276099</v>
      </c>
      <c r="F150" s="297">
        <v>38949.134989276099</v>
      </c>
      <c r="G150" s="297">
        <v>38949.134989276099</v>
      </c>
      <c r="H150" s="297">
        <v>27241.702004079536</v>
      </c>
      <c r="I150" s="297">
        <v>0</v>
      </c>
      <c r="J150" s="297">
        <v>0</v>
      </c>
      <c r="K150" s="297">
        <v>0</v>
      </c>
      <c r="L150" s="297">
        <v>0</v>
      </c>
      <c r="M150" s="297">
        <v>0</v>
      </c>
      <c r="N150" s="293"/>
      <c r="O150" s="297">
        <v>5.1713546641434291</v>
      </c>
      <c r="P150" s="297">
        <v>5.1713546641434291</v>
      </c>
      <c r="Q150" s="297">
        <v>5.1713546641434291</v>
      </c>
      <c r="R150" s="297">
        <v>5.1713546641434291</v>
      </c>
      <c r="S150" s="297">
        <v>3.5817314430221332</v>
      </c>
      <c r="T150" s="297">
        <v>0</v>
      </c>
      <c r="U150" s="297">
        <v>0</v>
      </c>
      <c r="V150" s="297">
        <v>0</v>
      </c>
      <c r="W150" s="297">
        <v>0</v>
      </c>
      <c r="X150" s="297">
        <v>0</v>
      </c>
      <c r="Y150" s="417">
        <v>1</v>
      </c>
      <c r="Z150" s="417">
        <v>0</v>
      </c>
      <c r="AA150" s="417">
        <v>0</v>
      </c>
      <c r="AB150" s="412"/>
      <c r="AC150" s="412"/>
      <c r="AD150" s="412"/>
      <c r="AE150" s="412"/>
      <c r="AF150" s="412"/>
      <c r="AG150" s="412"/>
      <c r="AH150" s="412"/>
      <c r="AI150" s="412"/>
      <c r="AJ150" s="412"/>
      <c r="AK150" s="412"/>
      <c r="AL150" s="412"/>
      <c r="AM150" s="298">
        <f>SUM(Y150:AL150)</f>
        <v>1</v>
      </c>
    </row>
    <row r="151" spans="1:39" ht="15" hidden="1" outlineLevel="1">
      <c r="B151" s="296" t="s">
        <v>246</v>
      </c>
      <c r="C151" s="293" t="s">
        <v>164</v>
      </c>
      <c r="D151" s="297"/>
      <c r="E151" s="297"/>
      <c r="F151" s="297"/>
      <c r="G151" s="297"/>
      <c r="H151" s="297"/>
      <c r="I151" s="297"/>
      <c r="J151" s="297"/>
      <c r="K151" s="297"/>
      <c r="L151" s="297"/>
      <c r="M151" s="297"/>
      <c r="N151" s="469"/>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5"/>
    </row>
    <row r="152" spans="1:39" ht="15.75" hidden="1" outlineLevel="1">
      <c r="A152" s="511"/>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hidden="1" outlineLevel="1">
      <c r="A153" s="509">
        <v>2</v>
      </c>
      <c r="B153" s="296" t="s">
        <v>2</v>
      </c>
      <c r="C153" s="293" t="s">
        <v>25</v>
      </c>
      <c r="D153" s="297">
        <v>542.0042224714316</v>
      </c>
      <c r="E153" s="297">
        <v>542.0042224714316</v>
      </c>
      <c r="F153" s="297">
        <v>542.0042224714316</v>
      </c>
      <c r="G153" s="297">
        <v>536.57135902159587</v>
      </c>
      <c r="H153" s="297">
        <v>0</v>
      </c>
      <c r="I153" s="297">
        <v>0</v>
      </c>
      <c r="J153" s="297">
        <v>0</v>
      </c>
      <c r="K153" s="297">
        <v>0</v>
      </c>
      <c r="L153" s="297">
        <v>0</v>
      </c>
      <c r="M153" s="297">
        <v>0</v>
      </c>
      <c r="N153" s="293"/>
      <c r="O153" s="297">
        <v>0.30700225932008651</v>
      </c>
      <c r="P153" s="297">
        <v>0.30700225932008651</v>
      </c>
      <c r="Q153" s="297">
        <v>0.30700225932008651</v>
      </c>
      <c r="R153" s="297">
        <v>0.30092695980086182</v>
      </c>
      <c r="S153" s="297">
        <v>0</v>
      </c>
      <c r="T153" s="297">
        <v>0</v>
      </c>
      <c r="U153" s="297">
        <v>0</v>
      </c>
      <c r="V153" s="297">
        <v>0</v>
      </c>
      <c r="W153" s="297">
        <v>0</v>
      </c>
      <c r="X153" s="297">
        <v>0</v>
      </c>
      <c r="Y153" s="417">
        <v>1</v>
      </c>
      <c r="Z153" s="417">
        <v>0</v>
      </c>
      <c r="AA153" s="417">
        <v>0</v>
      </c>
      <c r="AB153" s="412"/>
      <c r="AC153" s="412"/>
      <c r="AD153" s="412"/>
      <c r="AE153" s="412"/>
      <c r="AF153" s="412"/>
      <c r="AG153" s="412"/>
      <c r="AH153" s="412"/>
      <c r="AI153" s="412"/>
      <c r="AJ153" s="412"/>
      <c r="AK153" s="412"/>
      <c r="AL153" s="412"/>
      <c r="AM153" s="298">
        <f>SUM(Y153:AL153)</f>
        <v>1</v>
      </c>
    </row>
    <row r="154" spans="1:39" ht="15" hidden="1" outlineLevel="1">
      <c r="B154" s="296" t="s">
        <v>246</v>
      </c>
      <c r="C154" s="293" t="s">
        <v>164</v>
      </c>
      <c r="D154" s="297"/>
      <c r="E154" s="297"/>
      <c r="F154" s="297"/>
      <c r="G154" s="297"/>
      <c r="H154" s="297"/>
      <c r="I154" s="297"/>
      <c r="J154" s="297"/>
      <c r="K154" s="297"/>
      <c r="L154" s="297"/>
      <c r="M154" s="297"/>
      <c r="N154" s="469"/>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5"/>
    </row>
    <row r="155" spans="1:39" ht="15.75" hidden="1" outlineLevel="1">
      <c r="A155" s="511"/>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hidden="1" outlineLevel="1">
      <c r="A156" s="509">
        <v>3</v>
      </c>
      <c r="B156" s="296" t="s">
        <v>3</v>
      </c>
      <c r="C156" s="293" t="s">
        <v>25</v>
      </c>
      <c r="D156" s="297">
        <v>48252.680964467334</v>
      </c>
      <c r="E156" s="297">
        <v>48252.680964467334</v>
      </c>
      <c r="F156" s="297">
        <v>48252.680964467334</v>
      </c>
      <c r="G156" s="297">
        <v>48252.680964467334</v>
      </c>
      <c r="H156" s="297">
        <v>48252.680964467334</v>
      </c>
      <c r="I156" s="297">
        <v>48252.680964467334</v>
      </c>
      <c r="J156" s="297">
        <v>48252.680964467334</v>
      </c>
      <c r="K156" s="297">
        <v>48252.680964467334</v>
      </c>
      <c r="L156" s="297">
        <v>48252.680964467334</v>
      </c>
      <c r="M156" s="297">
        <v>48252.680964467334</v>
      </c>
      <c r="N156" s="293"/>
      <c r="O156" s="297">
        <v>26.946122801105282</v>
      </c>
      <c r="P156" s="297">
        <v>26.946122801105282</v>
      </c>
      <c r="Q156" s="297">
        <v>26.946122801105282</v>
      </c>
      <c r="R156" s="297">
        <v>26.946122801105282</v>
      </c>
      <c r="S156" s="297">
        <v>26.946122801105282</v>
      </c>
      <c r="T156" s="297">
        <v>26.946122801105282</v>
      </c>
      <c r="U156" s="297">
        <v>26.946122801105282</v>
      </c>
      <c r="V156" s="297">
        <v>26.946122801105282</v>
      </c>
      <c r="W156" s="297">
        <v>26.946122801105282</v>
      </c>
      <c r="X156" s="297">
        <v>26.946122801105282</v>
      </c>
      <c r="Y156" s="417">
        <v>1</v>
      </c>
      <c r="Z156" s="417">
        <v>0</v>
      </c>
      <c r="AA156" s="417">
        <v>0</v>
      </c>
      <c r="AB156" s="412"/>
      <c r="AC156" s="412"/>
      <c r="AD156" s="412"/>
      <c r="AE156" s="412"/>
      <c r="AF156" s="412"/>
      <c r="AG156" s="412"/>
      <c r="AH156" s="412"/>
      <c r="AI156" s="412"/>
      <c r="AJ156" s="412"/>
      <c r="AK156" s="412"/>
      <c r="AL156" s="412"/>
      <c r="AM156" s="298">
        <f>SUM(Y156:AL156)</f>
        <v>1</v>
      </c>
    </row>
    <row r="157" spans="1:39" ht="15" hidden="1" outlineLevel="1">
      <c r="B157" s="296" t="s">
        <v>246</v>
      </c>
      <c r="C157" s="293" t="s">
        <v>164</v>
      </c>
      <c r="D157" s="297"/>
      <c r="E157" s="297"/>
      <c r="F157" s="297"/>
      <c r="G157" s="297"/>
      <c r="H157" s="297"/>
      <c r="I157" s="297"/>
      <c r="J157" s="297"/>
      <c r="K157" s="297"/>
      <c r="L157" s="297"/>
      <c r="M157" s="297"/>
      <c r="N157" s="469"/>
      <c r="O157" s="297"/>
      <c r="P157" s="297"/>
      <c r="Q157" s="297"/>
      <c r="R157" s="297"/>
      <c r="S157" s="297"/>
      <c r="T157" s="297"/>
      <c r="U157" s="297"/>
      <c r="V157" s="297"/>
      <c r="W157" s="297"/>
      <c r="X157" s="297"/>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5"/>
    </row>
    <row r="158" spans="1:39" ht="15" hidden="1"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hidden="1" outlineLevel="1">
      <c r="A159" s="509">
        <v>4</v>
      </c>
      <c r="B159" s="296" t="s">
        <v>4</v>
      </c>
      <c r="C159" s="293" t="s">
        <v>25</v>
      </c>
      <c r="D159" s="297">
        <v>3995.7204263027816</v>
      </c>
      <c r="E159" s="297">
        <v>3995.7204263027816</v>
      </c>
      <c r="F159" s="297">
        <v>3995.7204263027816</v>
      </c>
      <c r="G159" s="297">
        <v>3995.7204263027816</v>
      </c>
      <c r="H159" s="297">
        <v>3935.6907627111013</v>
      </c>
      <c r="I159" s="297">
        <v>3935.6907627111013</v>
      </c>
      <c r="J159" s="297">
        <v>1853.3034011010466</v>
      </c>
      <c r="K159" s="297">
        <v>1843.0749634492736</v>
      </c>
      <c r="L159" s="297">
        <v>1843.0749634492736</v>
      </c>
      <c r="M159" s="297">
        <v>1843.0749634492736</v>
      </c>
      <c r="N159" s="293"/>
      <c r="O159" s="297">
        <v>0.65847157903660603</v>
      </c>
      <c r="P159" s="297">
        <v>0.65847157903660603</v>
      </c>
      <c r="Q159" s="297">
        <v>0.65847157903660603</v>
      </c>
      <c r="R159" s="297">
        <v>0.65847157903660603</v>
      </c>
      <c r="S159" s="297">
        <v>0.65569202851862141</v>
      </c>
      <c r="T159" s="297">
        <v>0.65569202851862141</v>
      </c>
      <c r="U159" s="297">
        <v>0.55927135041890519</v>
      </c>
      <c r="V159" s="297">
        <v>0.55810372054998147</v>
      </c>
      <c r="W159" s="297">
        <v>0.55810372054998147</v>
      </c>
      <c r="X159" s="297">
        <v>0.55810372054998147</v>
      </c>
      <c r="Y159" s="417">
        <v>1</v>
      </c>
      <c r="Z159" s="417">
        <v>0</v>
      </c>
      <c r="AA159" s="417">
        <v>0</v>
      </c>
      <c r="AB159" s="412"/>
      <c r="AC159" s="412"/>
      <c r="AD159" s="412"/>
      <c r="AE159" s="412"/>
      <c r="AF159" s="412"/>
      <c r="AG159" s="412"/>
      <c r="AH159" s="412"/>
      <c r="AI159" s="412"/>
      <c r="AJ159" s="412"/>
      <c r="AK159" s="412"/>
      <c r="AL159" s="412"/>
      <c r="AM159" s="298">
        <f>SUM(Y159:AL159)</f>
        <v>1</v>
      </c>
    </row>
    <row r="160" spans="1:39" ht="15" hidden="1" outlineLevel="1">
      <c r="B160" s="296" t="s">
        <v>246</v>
      </c>
      <c r="C160" s="293" t="s">
        <v>164</v>
      </c>
      <c r="D160" s="297"/>
      <c r="E160" s="297"/>
      <c r="F160" s="297"/>
      <c r="G160" s="297"/>
      <c r="H160" s="297"/>
      <c r="I160" s="297"/>
      <c r="J160" s="297"/>
      <c r="K160" s="297"/>
      <c r="L160" s="297"/>
      <c r="M160" s="297"/>
      <c r="N160" s="469"/>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5"/>
    </row>
    <row r="161" spans="1:39" ht="15" hidden="1"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hidden="1" outlineLevel="1">
      <c r="A162" s="509">
        <v>5</v>
      </c>
      <c r="B162" s="296" t="s">
        <v>5</v>
      </c>
      <c r="C162" s="293" t="s">
        <v>25</v>
      </c>
      <c r="D162" s="297">
        <v>76535.503542561826</v>
      </c>
      <c r="E162" s="297">
        <v>76535.503542561826</v>
      </c>
      <c r="F162" s="297">
        <v>76535.503542561826</v>
      </c>
      <c r="G162" s="297">
        <v>76535.503542561826</v>
      </c>
      <c r="H162" s="297">
        <v>68800.548836341186</v>
      </c>
      <c r="I162" s="297">
        <v>55944.67327254705</v>
      </c>
      <c r="J162" s="297">
        <v>38160.005052757042</v>
      </c>
      <c r="K162" s="297">
        <v>38080.68247504942</v>
      </c>
      <c r="L162" s="297">
        <v>38080.68247504942</v>
      </c>
      <c r="M162" s="297">
        <v>19342.088874374971</v>
      </c>
      <c r="N162" s="293"/>
      <c r="O162" s="297">
        <v>4.2294320984335121</v>
      </c>
      <c r="P162" s="297">
        <v>4.2294320984335121</v>
      </c>
      <c r="Q162" s="297">
        <v>4.2294320984335121</v>
      </c>
      <c r="R162" s="297">
        <v>4.2294320984335121</v>
      </c>
      <c r="S162" s="297">
        <v>3.871280876622532</v>
      </c>
      <c r="T162" s="297">
        <v>3.2760159118619909</v>
      </c>
      <c r="U162" s="297">
        <v>2.4525333066829149</v>
      </c>
      <c r="V162" s="297">
        <v>2.4434782179035053</v>
      </c>
      <c r="W162" s="297">
        <v>2.4434782179035053</v>
      </c>
      <c r="X162" s="297">
        <v>1.5758260534113691</v>
      </c>
      <c r="Y162" s="417">
        <v>1</v>
      </c>
      <c r="Z162" s="417">
        <v>0</v>
      </c>
      <c r="AA162" s="417">
        <v>0</v>
      </c>
      <c r="AB162" s="412"/>
      <c r="AC162" s="412"/>
      <c r="AD162" s="412"/>
      <c r="AE162" s="412"/>
      <c r="AF162" s="412"/>
      <c r="AG162" s="412"/>
      <c r="AH162" s="412"/>
      <c r="AI162" s="412"/>
      <c r="AJ162" s="412"/>
      <c r="AK162" s="412"/>
      <c r="AL162" s="412"/>
      <c r="AM162" s="298">
        <f>SUM(Y162:AL162)</f>
        <v>1</v>
      </c>
    </row>
    <row r="163" spans="1:39" ht="15" hidden="1" outlineLevel="1">
      <c r="B163" s="296" t="s">
        <v>246</v>
      </c>
      <c r="C163" s="293" t="s">
        <v>164</v>
      </c>
      <c r="D163" s="297"/>
      <c r="E163" s="297"/>
      <c r="F163" s="297"/>
      <c r="G163" s="297"/>
      <c r="H163" s="297"/>
      <c r="I163" s="297"/>
      <c r="J163" s="297"/>
      <c r="K163" s="297"/>
      <c r="L163" s="297"/>
      <c r="M163" s="297"/>
      <c r="N163" s="469"/>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5"/>
    </row>
    <row r="164" spans="1:39" ht="15" hidden="1"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hidden="1" outlineLevel="1">
      <c r="A165" s="509">
        <v>6</v>
      </c>
      <c r="B165" s="296" t="s">
        <v>6</v>
      </c>
      <c r="C165" s="293" t="s">
        <v>25</v>
      </c>
      <c r="D165" s="297" t="s">
        <v>710</v>
      </c>
      <c r="E165" s="297" t="s">
        <v>710</v>
      </c>
      <c r="F165" s="297" t="s">
        <v>710</v>
      </c>
      <c r="G165" s="297" t="s">
        <v>710</v>
      </c>
      <c r="H165" s="297" t="s">
        <v>710</v>
      </c>
      <c r="I165" s="297" t="s">
        <v>710</v>
      </c>
      <c r="J165" s="297" t="s">
        <v>710</v>
      </c>
      <c r="K165" s="297" t="s">
        <v>710</v>
      </c>
      <c r="L165" s="297" t="s">
        <v>710</v>
      </c>
      <c r="M165" s="297" t="s">
        <v>710</v>
      </c>
      <c r="N165" s="293"/>
      <c r="O165" s="297" t="s">
        <v>710</v>
      </c>
      <c r="P165" s="297" t="s">
        <v>710</v>
      </c>
      <c r="Q165" s="297" t="s">
        <v>710</v>
      </c>
      <c r="R165" s="297" t="s">
        <v>710</v>
      </c>
      <c r="S165" s="297" t="s">
        <v>710</v>
      </c>
      <c r="T165" s="297" t="s">
        <v>710</v>
      </c>
      <c r="U165" s="297" t="s">
        <v>710</v>
      </c>
      <c r="V165" s="297" t="s">
        <v>710</v>
      </c>
      <c r="W165" s="297" t="s">
        <v>710</v>
      </c>
      <c r="X165" s="297" t="s">
        <v>710</v>
      </c>
      <c r="Y165" s="412"/>
      <c r="Z165" s="412"/>
      <c r="AA165" s="412"/>
      <c r="AB165" s="412"/>
      <c r="AC165" s="412"/>
      <c r="AD165" s="412"/>
      <c r="AE165" s="412"/>
      <c r="AF165" s="412"/>
      <c r="AG165" s="412"/>
      <c r="AH165" s="412"/>
      <c r="AI165" s="412"/>
      <c r="AJ165" s="412"/>
      <c r="AK165" s="412"/>
      <c r="AL165" s="412"/>
      <c r="AM165" s="298">
        <f>SUM(Y165:AL165)</f>
        <v>0</v>
      </c>
    </row>
    <row r="166" spans="1:39" ht="15" hidden="1" outlineLevel="1">
      <c r="B166" s="296" t="s">
        <v>246</v>
      </c>
      <c r="C166" s="293" t="s">
        <v>164</v>
      </c>
      <c r="D166" s="297"/>
      <c r="E166" s="297"/>
      <c r="F166" s="297"/>
      <c r="G166" s="297"/>
      <c r="H166" s="297"/>
      <c r="I166" s="297"/>
      <c r="J166" s="297"/>
      <c r="K166" s="297"/>
      <c r="L166" s="297"/>
      <c r="M166" s="297"/>
      <c r="N166" s="469"/>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5"/>
    </row>
    <row r="167" spans="1:39" ht="15" hidden="1"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hidden="1" outlineLevel="1">
      <c r="A168" s="509">
        <v>7</v>
      </c>
      <c r="B168" s="296" t="s">
        <v>42</v>
      </c>
      <c r="C168" s="293" t="s">
        <v>25</v>
      </c>
      <c r="D168" s="297" t="s">
        <v>710</v>
      </c>
      <c r="E168" s="297" t="s">
        <v>710</v>
      </c>
      <c r="F168" s="297" t="s">
        <v>710</v>
      </c>
      <c r="G168" s="297" t="s">
        <v>710</v>
      </c>
      <c r="H168" s="297" t="s">
        <v>710</v>
      </c>
      <c r="I168" s="297" t="s">
        <v>710</v>
      </c>
      <c r="J168" s="297" t="s">
        <v>710</v>
      </c>
      <c r="K168" s="297" t="s">
        <v>710</v>
      </c>
      <c r="L168" s="297" t="s">
        <v>710</v>
      </c>
      <c r="M168" s="297" t="s">
        <v>710</v>
      </c>
      <c r="N168" s="293"/>
      <c r="O168" s="297" t="s">
        <v>710</v>
      </c>
      <c r="P168" s="297" t="s">
        <v>710</v>
      </c>
      <c r="Q168" s="297" t="s">
        <v>710</v>
      </c>
      <c r="R168" s="297" t="s">
        <v>710</v>
      </c>
      <c r="S168" s="297" t="s">
        <v>710</v>
      </c>
      <c r="T168" s="297" t="s">
        <v>710</v>
      </c>
      <c r="U168" s="297" t="s">
        <v>710</v>
      </c>
      <c r="V168" s="297" t="s">
        <v>710</v>
      </c>
      <c r="W168" s="297" t="s">
        <v>710</v>
      </c>
      <c r="X168" s="297" t="s">
        <v>710</v>
      </c>
      <c r="Y168" s="412"/>
      <c r="Z168" s="412"/>
      <c r="AA168" s="412"/>
      <c r="AB168" s="412"/>
      <c r="AC168" s="412"/>
      <c r="AD168" s="412"/>
      <c r="AE168" s="412"/>
      <c r="AF168" s="412"/>
      <c r="AG168" s="412"/>
      <c r="AH168" s="412"/>
      <c r="AI168" s="412"/>
      <c r="AJ168" s="412"/>
      <c r="AK168" s="412"/>
      <c r="AL168" s="412"/>
      <c r="AM168" s="298">
        <f>SUM(Y168:AL168)</f>
        <v>0</v>
      </c>
    </row>
    <row r="169" spans="1:39" ht="15" hidden="1" outlineLevel="1">
      <c r="B169" s="296" t="s">
        <v>246</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5"/>
    </row>
    <row r="170" spans="1:39" ht="15" hidden="1"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hidden="1" outlineLevel="1">
      <c r="A171" s="509">
        <v>8</v>
      </c>
      <c r="B171" s="296" t="s">
        <v>488</v>
      </c>
      <c r="C171" s="293" t="s">
        <v>25</v>
      </c>
      <c r="D171" s="297" t="s">
        <v>710</v>
      </c>
      <c r="E171" s="297" t="s">
        <v>710</v>
      </c>
      <c r="F171" s="297" t="s">
        <v>710</v>
      </c>
      <c r="G171" s="297" t="s">
        <v>710</v>
      </c>
      <c r="H171" s="297" t="s">
        <v>710</v>
      </c>
      <c r="I171" s="297" t="s">
        <v>710</v>
      </c>
      <c r="J171" s="297" t="s">
        <v>710</v>
      </c>
      <c r="K171" s="297" t="s">
        <v>710</v>
      </c>
      <c r="L171" s="297" t="s">
        <v>710</v>
      </c>
      <c r="M171" s="297" t="s">
        <v>710</v>
      </c>
      <c r="N171" s="293"/>
      <c r="O171" s="297" t="s">
        <v>710</v>
      </c>
      <c r="P171" s="297" t="s">
        <v>710</v>
      </c>
      <c r="Q171" s="297" t="s">
        <v>710</v>
      </c>
      <c r="R171" s="297" t="s">
        <v>710</v>
      </c>
      <c r="S171" s="297" t="s">
        <v>710</v>
      </c>
      <c r="T171" s="297" t="s">
        <v>710</v>
      </c>
      <c r="U171" s="297" t="s">
        <v>710</v>
      </c>
      <c r="V171" s="297" t="s">
        <v>710</v>
      </c>
      <c r="W171" s="297" t="s">
        <v>710</v>
      </c>
      <c r="X171" s="297" t="s">
        <v>710</v>
      </c>
      <c r="Y171" s="412"/>
      <c r="Z171" s="412"/>
      <c r="AA171" s="412"/>
      <c r="AB171" s="412"/>
      <c r="AC171" s="412"/>
      <c r="AD171" s="412"/>
      <c r="AE171" s="412"/>
      <c r="AF171" s="412"/>
      <c r="AG171" s="412"/>
      <c r="AH171" s="412"/>
      <c r="AI171" s="412"/>
      <c r="AJ171" s="412"/>
      <c r="AK171" s="412"/>
      <c r="AL171" s="412"/>
      <c r="AM171" s="298">
        <f>SUM(Y171:AL171)</f>
        <v>0</v>
      </c>
    </row>
    <row r="172" spans="1:39" s="285" customFormat="1" ht="15" hidden="1" outlineLevel="1">
      <c r="A172" s="509"/>
      <c r="B172" s="296" t="s">
        <v>246</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5"/>
    </row>
    <row r="173" spans="1:39" s="285" customFormat="1" ht="15" hidden="1" outlineLevel="1">
      <c r="A173" s="509"/>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hidden="1" outlineLevel="1">
      <c r="A174" s="509">
        <v>9</v>
      </c>
      <c r="B174" s="296" t="s">
        <v>7</v>
      </c>
      <c r="C174" s="293" t="s">
        <v>25</v>
      </c>
      <c r="D174" s="297" t="s">
        <v>710</v>
      </c>
      <c r="E174" s="297" t="s">
        <v>710</v>
      </c>
      <c r="F174" s="297" t="s">
        <v>710</v>
      </c>
      <c r="G174" s="297" t="s">
        <v>710</v>
      </c>
      <c r="H174" s="297" t="s">
        <v>710</v>
      </c>
      <c r="I174" s="297" t="s">
        <v>710</v>
      </c>
      <c r="J174" s="297" t="s">
        <v>710</v>
      </c>
      <c r="K174" s="297" t="s">
        <v>710</v>
      </c>
      <c r="L174" s="297" t="s">
        <v>710</v>
      </c>
      <c r="M174" s="297" t="s">
        <v>710</v>
      </c>
      <c r="N174" s="293"/>
      <c r="O174" s="297" t="s">
        <v>710</v>
      </c>
      <c r="P174" s="297" t="s">
        <v>710</v>
      </c>
      <c r="Q174" s="297" t="s">
        <v>710</v>
      </c>
      <c r="R174" s="297" t="s">
        <v>710</v>
      </c>
      <c r="S174" s="297" t="s">
        <v>710</v>
      </c>
      <c r="T174" s="297" t="s">
        <v>710</v>
      </c>
      <c r="U174" s="297" t="s">
        <v>710</v>
      </c>
      <c r="V174" s="297" t="s">
        <v>710</v>
      </c>
      <c r="W174" s="297" t="s">
        <v>710</v>
      </c>
      <c r="X174" s="297" t="s">
        <v>710</v>
      </c>
      <c r="Y174" s="412"/>
      <c r="Z174" s="412"/>
      <c r="AA174" s="412"/>
      <c r="AB174" s="412"/>
      <c r="AC174" s="412"/>
      <c r="AD174" s="412"/>
      <c r="AE174" s="412"/>
      <c r="AF174" s="412"/>
      <c r="AG174" s="412"/>
      <c r="AH174" s="412"/>
      <c r="AI174" s="412"/>
      <c r="AJ174" s="412"/>
      <c r="AK174" s="412"/>
      <c r="AL174" s="412"/>
      <c r="AM174" s="298">
        <f>SUM(Y174:AL174)</f>
        <v>0</v>
      </c>
    </row>
    <row r="175" spans="1:39" ht="15" hidden="1" outlineLevel="1">
      <c r="B175" s="296" t="s">
        <v>246</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5"/>
    </row>
    <row r="176" spans="1:39" ht="15" hidden="1"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hidden="1" outlineLevel="1">
      <c r="A177" s="510"/>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hidden="1" outlineLevel="1">
      <c r="A178" s="509">
        <v>10</v>
      </c>
      <c r="B178" s="312" t="s">
        <v>22</v>
      </c>
      <c r="C178" s="293" t="s">
        <v>25</v>
      </c>
      <c r="D178" s="297">
        <v>1338949.9999999998</v>
      </c>
      <c r="E178" s="297">
        <v>1316740.908589297</v>
      </c>
      <c r="F178" s="297">
        <v>1315188.406756781</v>
      </c>
      <c r="G178" s="297">
        <v>1278808.0112923288</v>
      </c>
      <c r="H178" s="297">
        <v>1278808.0112923288</v>
      </c>
      <c r="I178" s="297">
        <v>1276061.020276367</v>
      </c>
      <c r="J178" s="297">
        <v>1262218.2564969042</v>
      </c>
      <c r="K178" s="297">
        <v>1262218.2564969042</v>
      </c>
      <c r="L178" s="297">
        <v>1187772.2102303214</v>
      </c>
      <c r="M178" s="297">
        <v>682976.82626781112</v>
      </c>
      <c r="N178" s="297">
        <v>12</v>
      </c>
      <c r="O178" s="297">
        <v>267.51327501047109</v>
      </c>
      <c r="P178" s="297">
        <v>258.2416110905416</v>
      </c>
      <c r="Q178" s="297">
        <v>257.59348573683076</v>
      </c>
      <c r="R178" s="297">
        <v>242.40570548131015</v>
      </c>
      <c r="S178" s="297">
        <v>242.40570548131015</v>
      </c>
      <c r="T178" s="297">
        <v>241.27083157862046</v>
      </c>
      <c r="U178" s="297">
        <v>234.93532770854429</v>
      </c>
      <c r="V178" s="297">
        <v>234.93532770854429</v>
      </c>
      <c r="W178" s="297">
        <v>206.76778675027953</v>
      </c>
      <c r="X178" s="297">
        <v>137.36350477173204</v>
      </c>
      <c r="Y178" s="417">
        <v>0</v>
      </c>
      <c r="Z178" s="417">
        <v>0.84845481540299583</v>
      </c>
      <c r="AA178" s="417">
        <v>0.15154518459700417</v>
      </c>
      <c r="AB178" s="417"/>
      <c r="AC178" s="417"/>
      <c r="AD178" s="417"/>
      <c r="AE178" s="417"/>
      <c r="AF178" s="417"/>
      <c r="AG178" s="417"/>
      <c r="AH178" s="417"/>
      <c r="AI178" s="417"/>
      <c r="AJ178" s="417"/>
      <c r="AK178" s="417"/>
      <c r="AL178" s="417"/>
      <c r="AM178" s="298">
        <f>SUM(Y178:AL178)</f>
        <v>1</v>
      </c>
    </row>
    <row r="179" spans="1:39" ht="15" hidden="1" outlineLevel="1">
      <c r="B179" s="296" t="s">
        <v>246</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0.84845481540299583</v>
      </c>
      <c r="AA179" s="413">
        <f t="shared" ref="AA179:AL179" si="46">AA178</f>
        <v>0.15154518459700417</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5"/>
    </row>
    <row r="180" spans="1:39" ht="15" hidden="1"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hidden="1" outlineLevel="1">
      <c r="A181" s="509">
        <v>11</v>
      </c>
      <c r="B181" s="316" t="s">
        <v>21</v>
      </c>
      <c r="C181" s="293" t="s">
        <v>25</v>
      </c>
      <c r="D181" s="297">
        <v>179920.70160477795</v>
      </c>
      <c r="E181" s="297">
        <v>179920.70160477798</v>
      </c>
      <c r="F181" s="297">
        <v>179920.70160477798</v>
      </c>
      <c r="G181" s="297">
        <v>116076.88019301901</v>
      </c>
      <c r="H181" s="297">
        <v>116076.88019301901</v>
      </c>
      <c r="I181" s="297">
        <v>21155.651674336819</v>
      </c>
      <c r="J181" s="297">
        <v>21155.651674336819</v>
      </c>
      <c r="K181" s="297">
        <v>21155.651674336819</v>
      </c>
      <c r="L181" s="297">
        <v>21155.651674336819</v>
      </c>
      <c r="M181" s="297">
        <v>21155.651674336819</v>
      </c>
      <c r="N181" s="297">
        <v>12</v>
      </c>
      <c r="O181" s="297">
        <v>46.955552418229615</v>
      </c>
      <c r="P181" s="297">
        <v>46.955552418229615</v>
      </c>
      <c r="Q181" s="297">
        <v>46.955552418229615</v>
      </c>
      <c r="R181" s="297">
        <v>31.663990904127672</v>
      </c>
      <c r="S181" s="297">
        <v>31.434557888425051</v>
      </c>
      <c r="T181" s="297">
        <v>6.4295317587025691</v>
      </c>
      <c r="U181" s="297">
        <v>5.1486035074728917</v>
      </c>
      <c r="V181" s="297">
        <v>5.1486035074728917</v>
      </c>
      <c r="W181" s="297">
        <v>5.1486035074728917</v>
      </c>
      <c r="X181" s="297">
        <v>5.1486035074728917</v>
      </c>
      <c r="Y181" s="417">
        <v>0</v>
      </c>
      <c r="Z181" s="417">
        <v>1</v>
      </c>
      <c r="AA181" s="417">
        <v>0</v>
      </c>
      <c r="AB181" s="417"/>
      <c r="AC181" s="417"/>
      <c r="AD181" s="417"/>
      <c r="AE181" s="417"/>
      <c r="AF181" s="417"/>
      <c r="AG181" s="417"/>
      <c r="AH181" s="417"/>
      <c r="AI181" s="417"/>
      <c r="AJ181" s="417"/>
      <c r="AK181" s="417"/>
      <c r="AL181" s="417"/>
      <c r="AM181" s="298">
        <f>SUM(Y181:AL181)</f>
        <v>1</v>
      </c>
    </row>
    <row r="182" spans="1:39" ht="15" hidden="1" outlineLevel="1">
      <c r="B182" s="296" t="s">
        <v>246</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5"/>
    </row>
    <row r="183" spans="1:39" ht="15" hidden="1"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hidden="1" outlineLevel="1">
      <c r="A184" s="509">
        <v>12</v>
      </c>
      <c r="B184" s="316" t="s">
        <v>23</v>
      </c>
      <c r="C184" s="293" t="s">
        <v>25</v>
      </c>
      <c r="D184" s="297" t="s">
        <v>710</v>
      </c>
      <c r="E184" s="297" t="s">
        <v>710</v>
      </c>
      <c r="F184" s="297" t="s">
        <v>710</v>
      </c>
      <c r="G184" s="297" t="s">
        <v>710</v>
      </c>
      <c r="H184" s="297" t="s">
        <v>710</v>
      </c>
      <c r="I184" s="297" t="s">
        <v>710</v>
      </c>
      <c r="J184" s="297" t="s">
        <v>710</v>
      </c>
      <c r="K184" s="297" t="s">
        <v>710</v>
      </c>
      <c r="L184" s="297" t="s">
        <v>710</v>
      </c>
      <c r="M184" s="297" t="s">
        <v>710</v>
      </c>
      <c r="N184" s="297">
        <v>3</v>
      </c>
      <c r="O184" s="297" t="s">
        <v>710</v>
      </c>
      <c r="P184" s="297" t="s">
        <v>710</v>
      </c>
      <c r="Q184" s="297" t="s">
        <v>710</v>
      </c>
      <c r="R184" s="297" t="s">
        <v>710</v>
      </c>
      <c r="S184" s="297" t="s">
        <v>710</v>
      </c>
      <c r="T184" s="297" t="s">
        <v>710</v>
      </c>
      <c r="U184" s="297" t="s">
        <v>710</v>
      </c>
      <c r="V184" s="297" t="s">
        <v>710</v>
      </c>
      <c r="W184" s="297" t="s">
        <v>710</v>
      </c>
      <c r="X184" s="297" t="s">
        <v>710</v>
      </c>
      <c r="Y184" s="417"/>
      <c r="Z184" s="417"/>
      <c r="AA184" s="417"/>
      <c r="AB184" s="417"/>
      <c r="AC184" s="417"/>
      <c r="AD184" s="417"/>
      <c r="AE184" s="417"/>
      <c r="AF184" s="417"/>
      <c r="AG184" s="417"/>
      <c r="AH184" s="417"/>
      <c r="AI184" s="417"/>
      <c r="AJ184" s="417"/>
      <c r="AK184" s="417"/>
      <c r="AL184" s="417"/>
      <c r="AM184" s="298">
        <f>SUM(Y184:AL184)</f>
        <v>0</v>
      </c>
    </row>
    <row r="185" spans="1:39" ht="15" hidden="1" outlineLevel="1">
      <c r="B185" s="296" t="s">
        <v>246</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5"/>
    </row>
    <row r="186" spans="1:39" ht="15" hidden="1"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hidden="1" outlineLevel="1">
      <c r="A187" s="509">
        <v>13</v>
      </c>
      <c r="B187" s="316" t="s">
        <v>24</v>
      </c>
      <c r="C187" s="293" t="s">
        <v>25</v>
      </c>
      <c r="D187" s="297" t="s">
        <v>710</v>
      </c>
      <c r="E187" s="297" t="s">
        <v>710</v>
      </c>
      <c r="F187" s="297" t="s">
        <v>710</v>
      </c>
      <c r="G187" s="297" t="s">
        <v>710</v>
      </c>
      <c r="H187" s="297" t="s">
        <v>710</v>
      </c>
      <c r="I187" s="297" t="s">
        <v>710</v>
      </c>
      <c r="J187" s="297" t="s">
        <v>710</v>
      </c>
      <c r="K187" s="297" t="s">
        <v>710</v>
      </c>
      <c r="L187" s="297" t="s">
        <v>710</v>
      </c>
      <c r="M187" s="297" t="s">
        <v>710</v>
      </c>
      <c r="N187" s="297">
        <v>12</v>
      </c>
      <c r="O187" s="297" t="s">
        <v>710</v>
      </c>
      <c r="P187" s="297" t="s">
        <v>710</v>
      </c>
      <c r="Q187" s="297" t="s">
        <v>710</v>
      </c>
      <c r="R187" s="297" t="s">
        <v>710</v>
      </c>
      <c r="S187" s="297" t="s">
        <v>710</v>
      </c>
      <c r="T187" s="297" t="s">
        <v>710</v>
      </c>
      <c r="U187" s="297" t="s">
        <v>710</v>
      </c>
      <c r="V187" s="297" t="s">
        <v>710</v>
      </c>
      <c r="W187" s="297" t="s">
        <v>710</v>
      </c>
      <c r="X187" s="297" t="s">
        <v>710</v>
      </c>
      <c r="Y187" s="417"/>
      <c r="Z187" s="417"/>
      <c r="AA187" s="417"/>
      <c r="AB187" s="417"/>
      <c r="AC187" s="417"/>
      <c r="AD187" s="417"/>
      <c r="AE187" s="417"/>
      <c r="AF187" s="417"/>
      <c r="AG187" s="417"/>
      <c r="AH187" s="417"/>
      <c r="AI187" s="417"/>
      <c r="AJ187" s="417"/>
      <c r="AK187" s="417"/>
      <c r="AL187" s="417"/>
      <c r="AM187" s="298">
        <f>SUM(Y187:AL187)</f>
        <v>0</v>
      </c>
    </row>
    <row r="188" spans="1:39" ht="15" hidden="1" outlineLevel="1">
      <c r="B188" s="296" t="s">
        <v>246</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5"/>
    </row>
    <row r="189" spans="1:39" ht="15" hidden="1"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hidden="1" outlineLevel="1">
      <c r="A190" s="509">
        <v>14</v>
      </c>
      <c r="B190" s="316" t="s">
        <v>20</v>
      </c>
      <c r="C190" s="293" t="s">
        <v>25</v>
      </c>
      <c r="D190" s="297">
        <v>17855</v>
      </c>
      <c r="E190" s="297">
        <v>17855</v>
      </c>
      <c r="F190" s="297">
        <v>17855</v>
      </c>
      <c r="G190" s="297">
        <v>17855</v>
      </c>
      <c r="H190" s="297">
        <v>0</v>
      </c>
      <c r="I190" s="297">
        <v>0</v>
      </c>
      <c r="J190" s="297">
        <v>0</v>
      </c>
      <c r="K190" s="297">
        <v>0</v>
      </c>
      <c r="L190" s="297">
        <v>0</v>
      </c>
      <c r="M190" s="297">
        <v>0</v>
      </c>
      <c r="N190" s="297">
        <v>12</v>
      </c>
      <c r="O190" s="297">
        <v>0</v>
      </c>
      <c r="P190" s="297">
        <v>0</v>
      </c>
      <c r="Q190" s="297">
        <v>0</v>
      </c>
      <c r="R190" s="297">
        <v>0</v>
      </c>
      <c r="S190" s="297">
        <v>0</v>
      </c>
      <c r="T190" s="297">
        <v>0</v>
      </c>
      <c r="U190" s="297">
        <v>0</v>
      </c>
      <c r="V190" s="297">
        <v>0</v>
      </c>
      <c r="W190" s="297">
        <v>0</v>
      </c>
      <c r="X190" s="297">
        <v>0</v>
      </c>
      <c r="Y190" s="417">
        <v>0</v>
      </c>
      <c r="Z190" s="417">
        <v>0</v>
      </c>
      <c r="AA190" s="417">
        <v>1</v>
      </c>
      <c r="AB190" s="417"/>
      <c r="AC190" s="417"/>
      <c r="AD190" s="417"/>
      <c r="AE190" s="417"/>
      <c r="AF190" s="417"/>
      <c r="AG190" s="417"/>
      <c r="AH190" s="417"/>
      <c r="AI190" s="417"/>
      <c r="AJ190" s="417"/>
      <c r="AK190" s="417"/>
      <c r="AL190" s="417"/>
      <c r="AM190" s="298">
        <f>SUM(Y190:AL190)</f>
        <v>1</v>
      </c>
    </row>
    <row r="191" spans="1:39" ht="15" hidden="1" outlineLevel="1">
      <c r="B191" s="296" t="s">
        <v>246</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1</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5"/>
    </row>
    <row r="192" spans="1:39" ht="15" hidden="1"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hidden="1" outlineLevel="1">
      <c r="A193" s="509">
        <v>15</v>
      </c>
      <c r="B193" s="316" t="s">
        <v>489</v>
      </c>
      <c r="C193" s="293" t="s">
        <v>25</v>
      </c>
      <c r="D193" s="297" t="s">
        <v>710</v>
      </c>
      <c r="E193" s="297" t="s">
        <v>710</v>
      </c>
      <c r="F193" s="297" t="s">
        <v>710</v>
      </c>
      <c r="G193" s="297" t="s">
        <v>710</v>
      </c>
      <c r="H193" s="297" t="s">
        <v>710</v>
      </c>
      <c r="I193" s="297" t="s">
        <v>710</v>
      </c>
      <c r="J193" s="297" t="s">
        <v>710</v>
      </c>
      <c r="K193" s="297" t="s">
        <v>710</v>
      </c>
      <c r="L193" s="297" t="s">
        <v>710</v>
      </c>
      <c r="M193" s="297" t="s">
        <v>710</v>
      </c>
      <c r="N193" s="293"/>
      <c r="O193" s="297" t="s">
        <v>710</v>
      </c>
      <c r="P193" s="297" t="s">
        <v>710</v>
      </c>
      <c r="Q193" s="297" t="s">
        <v>710</v>
      </c>
      <c r="R193" s="297" t="s">
        <v>710</v>
      </c>
      <c r="S193" s="297" t="s">
        <v>710</v>
      </c>
      <c r="T193" s="297" t="s">
        <v>710</v>
      </c>
      <c r="U193" s="297" t="s">
        <v>710</v>
      </c>
      <c r="V193" s="297" t="s">
        <v>710</v>
      </c>
      <c r="W193" s="297" t="s">
        <v>710</v>
      </c>
      <c r="X193" s="297" t="s">
        <v>710</v>
      </c>
      <c r="Y193" s="417"/>
      <c r="Z193" s="417"/>
      <c r="AA193" s="417"/>
      <c r="AB193" s="417"/>
      <c r="AC193" s="417"/>
      <c r="AD193" s="417"/>
      <c r="AE193" s="417"/>
      <c r="AF193" s="417"/>
      <c r="AG193" s="417"/>
      <c r="AH193" s="417"/>
      <c r="AI193" s="417"/>
      <c r="AJ193" s="417"/>
      <c r="AK193" s="417"/>
      <c r="AL193" s="417"/>
      <c r="AM193" s="298">
        <f>SUM(Y193:AL193)</f>
        <v>0</v>
      </c>
    </row>
    <row r="194" spans="1:39" s="285" customFormat="1" ht="15" hidden="1" outlineLevel="1">
      <c r="A194" s="509"/>
      <c r="B194" s="317" t="s">
        <v>246</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5"/>
    </row>
    <row r="195" spans="1:39" s="285" customFormat="1" ht="15" hidden="1" outlineLevel="1">
      <c r="A195" s="509"/>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hidden="1" outlineLevel="1">
      <c r="A196" s="509">
        <v>16</v>
      </c>
      <c r="B196" s="316" t="s">
        <v>490</v>
      </c>
      <c r="C196" s="293" t="s">
        <v>25</v>
      </c>
      <c r="D196" s="297" t="s">
        <v>710</v>
      </c>
      <c r="E196" s="297" t="s">
        <v>710</v>
      </c>
      <c r="F196" s="297" t="s">
        <v>710</v>
      </c>
      <c r="G196" s="297" t="s">
        <v>710</v>
      </c>
      <c r="H196" s="297" t="s">
        <v>710</v>
      </c>
      <c r="I196" s="297" t="s">
        <v>710</v>
      </c>
      <c r="J196" s="297" t="s">
        <v>710</v>
      </c>
      <c r="K196" s="297" t="s">
        <v>710</v>
      </c>
      <c r="L196" s="297" t="s">
        <v>710</v>
      </c>
      <c r="M196" s="297" t="s">
        <v>710</v>
      </c>
      <c r="N196" s="293"/>
      <c r="O196" s="297" t="s">
        <v>710</v>
      </c>
      <c r="P196" s="297" t="s">
        <v>710</v>
      </c>
      <c r="Q196" s="297" t="s">
        <v>710</v>
      </c>
      <c r="R196" s="297" t="s">
        <v>710</v>
      </c>
      <c r="S196" s="297" t="s">
        <v>710</v>
      </c>
      <c r="T196" s="297" t="s">
        <v>710</v>
      </c>
      <c r="U196" s="297" t="s">
        <v>710</v>
      </c>
      <c r="V196" s="297" t="s">
        <v>710</v>
      </c>
      <c r="W196" s="297" t="s">
        <v>710</v>
      </c>
      <c r="X196" s="297" t="s">
        <v>710</v>
      </c>
      <c r="Y196" s="417"/>
      <c r="Z196" s="417"/>
      <c r="AA196" s="417"/>
      <c r="AB196" s="417"/>
      <c r="AC196" s="417"/>
      <c r="AD196" s="417"/>
      <c r="AE196" s="417"/>
      <c r="AF196" s="417"/>
      <c r="AG196" s="417"/>
      <c r="AH196" s="417"/>
      <c r="AI196" s="417"/>
      <c r="AJ196" s="417"/>
      <c r="AK196" s="417"/>
      <c r="AL196" s="417"/>
      <c r="AM196" s="298">
        <f>SUM(Y196:AL196)</f>
        <v>0</v>
      </c>
    </row>
    <row r="197" spans="1:39" s="285" customFormat="1" ht="15" hidden="1" outlineLevel="1">
      <c r="A197" s="509"/>
      <c r="B197" s="317" t="s">
        <v>246</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5"/>
    </row>
    <row r="198" spans="1:39" s="285" customFormat="1" ht="15" hidden="1" outlineLevel="1">
      <c r="A198" s="509"/>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hidden="1" outlineLevel="1">
      <c r="A199" s="509">
        <v>17</v>
      </c>
      <c r="B199" s="316" t="s">
        <v>9</v>
      </c>
      <c r="C199" s="293" t="s">
        <v>25</v>
      </c>
      <c r="D199" s="297">
        <v>541.79780000000005</v>
      </c>
      <c r="E199" s="297">
        <v>0</v>
      </c>
      <c r="F199" s="297">
        <v>0</v>
      </c>
      <c r="G199" s="297">
        <v>0</v>
      </c>
      <c r="H199" s="297">
        <v>0</v>
      </c>
      <c r="I199" s="297">
        <v>0</v>
      </c>
      <c r="J199" s="297">
        <v>0</v>
      </c>
      <c r="K199" s="297">
        <v>0</v>
      </c>
      <c r="L199" s="297">
        <v>0</v>
      </c>
      <c r="M199" s="297">
        <v>0</v>
      </c>
      <c r="N199" s="293"/>
      <c r="O199" s="297">
        <v>37.274569499999998</v>
      </c>
      <c r="P199" s="297">
        <v>0</v>
      </c>
      <c r="Q199" s="297">
        <v>0</v>
      </c>
      <c r="R199" s="297">
        <v>0</v>
      </c>
      <c r="S199" s="297">
        <v>0</v>
      </c>
      <c r="T199" s="297">
        <v>0</v>
      </c>
      <c r="U199" s="297">
        <v>0</v>
      </c>
      <c r="V199" s="297">
        <v>0</v>
      </c>
      <c r="W199" s="297">
        <v>0</v>
      </c>
      <c r="X199" s="297">
        <v>0</v>
      </c>
      <c r="Y199" s="417">
        <v>0</v>
      </c>
      <c r="Z199" s="417">
        <v>0</v>
      </c>
      <c r="AA199" s="417">
        <v>1</v>
      </c>
      <c r="AB199" s="417"/>
      <c r="AC199" s="417"/>
      <c r="AD199" s="417"/>
      <c r="AE199" s="417"/>
      <c r="AF199" s="417"/>
      <c r="AG199" s="417"/>
      <c r="AH199" s="417"/>
      <c r="AI199" s="417"/>
      <c r="AJ199" s="417"/>
      <c r="AK199" s="417"/>
      <c r="AL199" s="417"/>
      <c r="AM199" s="298">
        <f>SUM(Y199:AL199)</f>
        <v>1</v>
      </c>
    </row>
    <row r="200" spans="1:39" ht="15" hidden="1" outlineLevel="1">
      <c r="B200" s="296" t="s">
        <v>246</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1</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5"/>
    </row>
    <row r="201" spans="1:39" ht="15" hidden="1"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hidden="1" outlineLevel="1">
      <c r="A202" s="510"/>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hidden="1" outlineLevel="1">
      <c r="A203" s="509">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hidden="1" outlineLevel="1">
      <c r="B204" s="296" t="s">
        <v>246</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5"/>
    </row>
    <row r="205" spans="1:39" ht="15" hidden="1" outlineLevel="1">
      <c r="A205" s="512"/>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hidden="1" outlineLevel="1">
      <c r="A206" s="509">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hidden="1" outlineLevel="1">
      <c r="B207" s="296" t="s">
        <v>246</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5"/>
    </row>
    <row r="208" spans="1:39" ht="15" hidden="1"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hidden="1" outlineLevel="1">
      <c r="A209" s="509">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hidden="1" outlineLevel="1">
      <c r="B210" s="296" t="s">
        <v>246</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5"/>
    </row>
    <row r="211" spans="1:39" ht="15" hidden="1"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hidden="1" outlineLevel="1">
      <c r="A212" s="509">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hidden="1" outlineLevel="1">
      <c r="B213" s="296" t="s">
        <v>246</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5"/>
    </row>
    <row r="214" spans="1:39" ht="15" hidden="1"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hidden="1" outlineLevel="1">
      <c r="A215" s="509">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hidden="1" outlineLevel="1">
      <c r="B216" s="296" t="s">
        <v>246</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5"/>
    </row>
    <row r="217" spans="1:39" ht="15" hidden="1"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hidden="1" outlineLevel="1">
      <c r="A218" s="510"/>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hidden="1" outlineLevel="1">
      <c r="A219" s="509">
        <v>23</v>
      </c>
      <c r="B219" s="317" t="s">
        <v>14</v>
      </c>
      <c r="C219" s="293" t="s">
        <v>25</v>
      </c>
      <c r="D219" s="297">
        <v>14523.323989868164</v>
      </c>
      <c r="E219" s="297">
        <v>14523.324035644531</v>
      </c>
      <c r="F219" s="297">
        <v>14523.324035644531</v>
      </c>
      <c r="G219" s="297">
        <v>13687.323989868166</v>
      </c>
      <c r="H219" s="297">
        <v>13372.323989868162</v>
      </c>
      <c r="I219" s="297">
        <v>13372.323989868162</v>
      </c>
      <c r="J219" s="297">
        <v>12900.15998840332</v>
      </c>
      <c r="K219" s="297">
        <v>12159.940002441406</v>
      </c>
      <c r="L219" s="297">
        <v>3699.9400024414063</v>
      </c>
      <c r="M219" s="297">
        <v>3699.9400024414063</v>
      </c>
      <c r="N219" s="293"/>
      <c r="O219" s="297">
        <v>1.1396128369960934</v>
      </c>
      <c r="P219" s="297">
        <v>1.0961857405491173</v>
      </c>
      <c r="Q219" s="297">
        <v>1.0961857405491173</v>
      </c>
      <c r="R219" s="297">
        <v>1.0961857405491173</v>
      </c>
      <c r="S219" s="297">
        <v>1.0961857405491173</v>
      </c>
      <c r="T219" s="297">
        <v>1.0961857405491173</v>
      </c>
      <c r="U219" s="297">
        <v>1.0716585735790434</v>
      </c>
      <c r="V219" s="297">
        <v>1.0716585735790434</v>
      </c>
      <c r="W219" s="297">
        <v>0.63219298096373677</v>
      </c>
      <c r="X219" s="297">
        <v>0.63219298096373677</v>
      </c>
      <c r="Y219" s="417">
        <v>1</v>
      </c>
      <c r="Z219" s="417">
        <v>0</v>
      </c>
      <c r="AA219" s="417">
        <v>0</v>
      </c>
      <c r="AB219" s="412"/>
      <c r="AC219" s="412"/>
      <c r="AD219" s="412"/>
      <c r="AE219" s="412"/>
      <c r="AF219" s="412"/>
      <c r="AG219" s="412"/>
      <c r="AH219" s="412"/>
      <c r="AI219" s="412"/>
      <c r="AJ219" s="412"/>
      <c r="AK219" s="412"/>
      <c r="AL219" s="412"/>
      <c r="AM219" s="298">
        <f>SUM(Y219:AL219)</f>
        <v>1</v>
      </c>
    </row>
    <row r="220" spans="1:39" ht="15" hidden="1" outlineLevel="1">
      <c r="B220" s="296" t="s">
        <v>246</v>
      </c>
      <c r="C220" s="293" t="s">
        <v>164</v>
      </c>
      <c r="D220" s="297"/>
      <c r="E220" s="297"/>
      <c r="F220" s="297"/>
      <c r="G220" s="297"/>
      <c r="H220" s="297"/>
      <c r="I220" s="297"/>
      <c r="J220" s="297"/>
      <c r="K220" s="297"/>
      <c r="L220" s="297"/>
      <c r="M220" s="297"/>
      <c r="N220" s="469"/>
      <c r="O220" s="297"/>
      <c r="P220" s="297"/>
      <c r="Q220" s="297"/>
      <c r="R220" s="297"/>
      <c r="S220" s="297"/>
      <c r="T220" s="297"/>
      <c r="U220" s="297"/>
      <c r="V220" s="297"/>
      <c r="W220" s="297"/>
      <c r="X220" s="297"/>
      <c r="Y220" s="413">
        <f>Y219</f>
        <v>1</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5"/>
    </row>
    <row r="221" spans="1:39" ht="15" hidden="1"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hidden="1" outlineLevel="1">
      <c r="A222" s="510"/>
      <c r="B222" s="290" t="s">
        <v>491</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hidden="1" outlineLevel="1">
      <c r="A223" s="509">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hidden="1" outlineLevel="1">
      <c r="A224" s="509"/>
      <c r="B224" s="317" t="s">
        <v>246</v>
      </c>
      <c r="C224" s="293" t="s">
        <v>164</v>
      </c>
      <c r="D224" s="297"/>
      <c r="E224" s="297"/>
      <c r="F224" s="297"/>
      <c r="G224" s="297"/>
      <c r="H224" s="297"/>
      <c r="I224" s="297"/>
      <c r="J224" s="297"/>
      <c r="K224" s="297"/>
      <c r="L224" s="297"/>
      <c r="M224" s="297"/>
      <c r="N224" s="469"/>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5"/>
    </row>
    <row r="225" spans="1:39" s="285" customFormat="1" ht="15" hidden="1" outlineLevel="1">
      <c r="A225" s="509"/>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hidden="1" outlineLevel="1">
      <c r="A226" s="509">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hidden="1" outlineLevel="1">
      <c r="A227" s="509"/>
      <c r="B227" s="317" t="s">
        <v>246</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5"/>
    </row>
    <row r="228" spans="1:39" s="285" customFormat="1" ht="15" hidden="1" outlineLevel="1">
      <c r="A228" s="509"/>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hidden="1" outlineLevel="1">
      <c r="A229" s="510"/>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hidden="1" outlineLevel="1">
      <c r="A230" s="509">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0"/>
      <c r="AB230" s="417"/>
      <c r="AC230" s="417"/>
      <c r="AD230" s="417"/>
      <c r="AE230" s="417"/>
      <c r="AF230" s="417"/>
      <c r="AG230" s="417"/>
      <c r="AH230" s="417"/>
      <c r="AI230" s="417"/>
      <c r="AJ230" s="417"/>
      <c r="AK230" s="417"/>
      <c r="AL230" s="417"/>
      <c r="AM230" s="298">
        <f>SUM(Y230:AL230)</f>
        <v>0</v>
      </c>
    </row>
    <row r="231" spans="1:39" ht="15" hidden="1" outlineLevel="1">
      <c r="B231" s="296" t="s">
        <v>246</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5"/>
    </row>
    <row r="232" spans="1:39" ht="15" hidden="1" outlineLevel="1">
      <c r="A232" s="512"/>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hidden="1" outlineLevel="1">
      <c r="A233" s="509">
        <v>27</v>
      </c>
      <c r="B233" s="323" t="s">
        <v>17</v>
      </c>
      <c r="C233" s="293" t="s">
        <v>25</v>
      </c>
      <c r="D233" s="297">
        <v>312.86289399373942</v>
      </c>
      <c r="E233" s="297">
        <v>312.86289399373942</v>
      </c>
      <c r="F233" s="297">
        <v>312.86289399373942</v>
      </c>
      <c r="G233" s="297">
        <v>312.86289399373942</v>
      </c>
      <c r="H233" s="297">
        <v>312.86289399373942</v>
      </c>
      <c r="I233" s="297">
        <v>312.86289399373942</v>
      </c>
      <c r="J233" s="297">
        <v>312.86289399373942</v>
      </c>
      <c r="K233" s="297">
        <v>312.86289399373942</v>
      </c>
      <c r="L233" s="297">
        <v>312.86289399373942</v>
      </c>
      <c r="M233" s="297">
        <v>312.86289399373942</v>
      </c>
      <c r="N233" s="297">
        <v>12</v>
      </c>
      <c r="O233" s="297">
        <v>0.32292648347659642</v>
      </c>
      <c r="P233" s="297">
        <v>0.32292648347659642</v>
      </c>
      <c r="Q233" s="297">
        <v>0.32292648347659642</v>
      </c>
      <c r="R233" s="297">
        <v>0.32292648347659642</v>
      </c>
      <c r="S233" s="297">
        <v>0.32292648347659642</v>
      </c>
      <c r="T233" s="297">
        <v>0.32292648347659642</v>
      </c>
      <c r="U233" s="297">
        <v>0.32292648347659642</v>
      </c>
      <c r="V233" s="297">
        <v>0.32292648347659642</v>
      </c>
      <c r="W233" s="297">
        <v>0.32292648347659642</v>
      </c>
      <c r="X233" s="297">
        <v>0.32292648347659642</v>
      </c>
      <c r="Y233" s="417">
        <v>0</v>
      </c>
      <c r="Z233" s="417">
        <v>0</v>
      </c>
      <c r="AA233" s="417">
        <v>1</v>
      </c>
      <c r="AB233" s="417"/>
      <c r="AC233" s="417"/>
      <c r="AD233" s="417"/>
      <c r="AE233" s="417"/>
      <c r="AF233" s="417"/>
      <c r="AG233" s="417"/>
      <c r="AH233" s="417"/>
      <c r="AI233" s="417"/>
      <c r="AJ233" s="417"/>
      <c r="AK233" s="417"/>
      <c r="AL233" s="417"/>
      <c r="AM233" s="298">
        <f>SUM(Y233:AL233)</f>
        <v>1</v>
      </c>
    </row>
    <row r="234" spans="1:39" ht="15" hidden="1" outlineLevel="1">
      <c r="B234" s="296" t="s">
        <v>246</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1</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5"/>
    </row>
    <row r="235" spans="1:39" ht="15.75" hidden="1" outlineLevel="1">
      <c r="A235" s="512"/>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hidden="1" outlineLevel="1">
      <c r="A236" s="509">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hidden="1" outlineLevel="1">
      <c r="B237" s="296" t="s">
        <v>246</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5"/>
    </row>
    <row r="238" spans="1:39" ht="15" hidden="1" outlineLevel="1">
      <c r="A238" s="512"/>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hidden="1" outlineLevel="1">
      <c r="A239" s="509">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hidden="1" outlineLevel="1">
      <c r="B240" s="326" t="s">
        <v>246</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5"/>
    </row>
    <row r="241" spans="1:39" ht="15" hidden="1"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hidden="1" outlineLevel="1">
      <c r="A242" s="509">
        <v>30</v>
      </c>
      <c r="B242" s="326" t="s">
        <v>492</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hidden="1" outlineLevel="1">
      <c r="A243" s="509"/>
      <c r="B243" s="326" t="s">
        <v>246</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5"/>
    </row>
    <row r="244" spans="1:39" s="285" customFormat="1" ht="15" hidden="1" outlineLevel="1">
      <c r="A244" s="509"/>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hidden="1" outlineLevel="1">
      <c r="A245" s="509"/>
      <c r="B245" s="290" t="s">
        <v>493</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hidden="1" outlineLevel="1">
      <c r="A246" s="509">
        <v>31</v>
      </c>
      <c r="B246" s="326" t="s">
        <v>494</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hidden="1" outlineLevel="1">
      <c r="A247" s="509"/>
      <c r="B247" s="326" t="s">
        <v>246</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5"/>
    </row>
    <row r="248" spans="1:39" s="285" customFormat="1" ht="15" hidden="1" outlineLevel="1">
      <c r="A248" s="509"/>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hidden="1" outlineLevel="1">
      <c r="A249" s="509">
        <v>32</v>
      </c>
      <c r="B249" s="326" t="s">
        <v>495</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hidden="1" outlineLevel="1">
      <c r="A250" s="509"/>
      <c r="B250" s="326" t="s">
        <v>246</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5"/>
    </row>
    <row r="251" spans="1:39" s="285" customFormat="1" ht="15" hidden="1" outlineLevel="1">
      <c r="A251" s="509"/>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hidden="1" outlineLevel="1">
      <c r="A252" s="509">
        <v>33</v>
      </c>
      <c r="B252" s="326" t="s">
        <v>496</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hidden="1" outlineLevel="1">
      <c r="A253" s="509"/>
      <c r="B253" s="326" t="s">
        <v>246</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5"/>
    </row>
    <row r="254" spans="1:39" ht="15" hidden="1"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ollapsed="1">
      <c r="B255" s="329" t="s">
        <v>247</v>
      </c>
      <c r="C255" s="331"/>
      <c r="D255" s="331">
        <f>SUM(D150:D253)</f>
        <v>1720378.7304337192</v>
      </c>
      <c r="E255" s="331"/>
      <c r="F255" s="331"/>
      <c r="G255" s="331"/>
      <c r="H255" s="331"/>
      <c r="I255" s="331"/>
      <c r="J255" s="331"/>
      <c r="K255" s="331"/>
      <c r="L255" s="331"/>
      <c r="M255" s="331"/>
      <c r="N255" s="331"/>
      <c r="O255" s="331">
        <f>SUM(O150:O253)</f>
        <v>390.51831965121227</v>
      </c>
      <c r="P255" s="331"/>
      <c r="Q255" s="331"/>
      <c r="R255" s="331"/>
      <c r="S255" s="331"/>
      <c r="T255" s="331"/>
      <c r="U255" s="331"/>
      <c r="V255" s="331"/>
      <c r="W255" s="331"/>
      <c r="X255" s="331"/>
      <c r="Y255" s="331">
        <f>IF(Y149="kWh",SUMPRODUCT(D150:D253,Y150:Y253))</f>
        <v>182798.36813494764</v>
      </c>
      <c r="Z255" s="331">
        <f>IF(Z149="kWh",SUMPRODUCT(D150:D253,Z150:Z253))</f>
        <v>1315959.2766886191</v>
      </c>
      <c r="AA255" s="331">
        <f>IF(AA149="kW",SUMPRODUCT(N150:N253,O150:O253,AA150:AA253),SUMPRODUCT(D150:D253,AA150:AA253))</f>
        <v>490.35930152505102</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248</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1.6799999999999999E-2</v>
      </c>
      <c r="Z258" s="343">
        <f>HLOOKUP(Z$20,'3.  Distribution Rates'!$C$122:$P$133,4,FALSE)</f>
        <v>1.12E-2</v>
      </c>
      <c r="AA258" s="343">
        <f>HLOOKUP(AA$20,'3.  Distribution Rates'!$C$122:$P$133,4,FALSE)</f>
        <v>2.6152000000000002</v>
      </c>
      <c r="AB258" s="343">
        <f>HLOOKUP(AB$20,'3.  Distribution Rates'!$C$122:$P$133,4,FALSE)</f>
        <v>13.776899999999999</v>
      </c>
      <c r="AC258" s="343">
        <f>HLOOKUP(AC$20,'3.  Distribution Rates'!$C$122:$P$133,4,FALSE)</f>
        <v>1.7000000000000001E-2</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4364.6339894537041</v>
      </c>
      <c r="Z259" s="380">
        <f t="shared" si="70"/>
        <v>3522.0342817607043</v>
      </c>
      <c r="AA259" s="380">
        <f t="shared" si="70"/>
        <v>1370.0614368000001</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9">
        <f>SUM(Y259:AL259)</f>
        <v>9256.729708014409</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3071.0125846671203</v>
      </c>
      <c r="Z260" s="380">
        <f t="shared" si="71"/>
        <v>14738.743898912533</v>
      </c>
      <c r="AA260" s="381">
        <f t="shared" si="71"/>
        <v>1282.3876453483135</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9">
        <f>SUM(Y260:AL260)</f>
        <v>19092.144128927968</v>
      </c>
    </row>
    <row r="261" spans="1:41" s="382" customFormat="1" ht="15.75">
      <c r="A261" s="511"/>
      <c r="B261" s="351" t="s">
        <v>256</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7435.6465741208249</v>
      </c>
      <c r="Z261" s="348">
        <f t="shared" ref="Z261:AE261" si="73">SUM(Z259:Z260)</f>
        <v>18260.778180673238</v>
      </c>
      <c r="AA261" s="348">
        <f t="shared" si="73"/>
        <v>2652.4490821483137</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28348.873836942377</v>
      </c>
    </row>
    <row r="262" spans="1:41" s="382" customFormat="1" ht="15.75">
      <c r="A262" s="511"/>
      <c r="B262" s="351" t="s">
        <v>249</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1"/>
      <c r="B263" s="351" t="s">
        <v>257</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28348.873836942377</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182798.36818072401</v>
      </c>
      <c r="Z265" s="293">
        <f>SUMPRODUCT(E150:E253,Z150:Z253)</f>
        <v>1297115.8661354829</v>
      </c>
      <c r="AA265" s="293">
        <f>IF(AA149="kW",SUMPRODUCT(N150:N253,P150:P253,AA150:AA253),SUMPRODUCT(E150:E253,AA150:AA253))</f>
        <v>473.49838928184579</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182798.36818072401</v>
      </c>
      <c r="Z266" s="293">
        <f>SUMPRODUCT(F150:F253,Z150:Z253)</f>
        <v>1295798.6384797627</v>
      </c>
      <c r="AA266" s="293">
        <f>IF(AA149="kW",SUMPRODUCT(N150:N253,Q150:Q253,AA150:AA253),SUMPRODUCT(F150:F253,AA150:AA253))</f>
        <v>472.31974596540448</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181956.93527149782</v>
      </c>
      <c r="Z267" s="293">
        <f>SUMPRODUCT(G150:G253,Z150:Z253)</f>
        <v>1201087.695349924</v>
      </c>
      <c r="AA267" s="293">
        <f>IF(AA149="kW",SUMPRODUCT(N150:N253,R150:R253,AA150:AA253),SUMPRODUCT(G150:G253,AA150:AA253))</f>
        <v>444.70012641610521</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161602.94655746734</v>
      </c>
      <c r="Z268" s="293">
        <f>SUMPRODUCT(H150:H253,Z150:Z253)</f>
        <v>1201087.695349924</v>
      </c>
      <c r="AA268" s="293">
        <f>IF(AA149="kW",SUMPRODUCT(N150:N253,S150:S253,AA150:AA253),SUMPRODUCT(H150:H253,AA150:AA253))</f>
        <v>444.70012641610521</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121505.36898959364</v>
      </c>
      <c r="Z269" s="293">
        <f>SUMPRODUCT(I150:I253,Z150:Z253)</f>
        <v>1103835.7690758803</v>
      </c>
      <c r="AA269" s="293">
        <f>IF(AA149="kW",SUMPRODUCT(N150:N253,T150:T253,AA150:AA253),SUMPRODUCT(I150:I253,AA150:AA253))</f>
        <v>442.63631031517605</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101166.14940672874</v>
      </c>
      <c r="Z270" s="293">
        <f>SUMPRODUCT(J150:J253,Z150:Z253)</f>
        <v>1092090.8094887089</v>
      </c>
      <c r="AA270" s="293">
        <f>IF(AA149="kW",SUMPRODUCT(N150:N253,U150:U253,AA150:AA253),SUMPRODUCT(J150:J253,AA150:AA253))</f>
        <v>431.11492907310736</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100336.37840540743</v>
      </c>
      <c r="Z271" s="293">
        <f>SUMPRODUCT(K150:K253,Z150:Z253)</f>
        <v>1092090.8094887089</v>
      </c>
      <c r="AA271" s="293">
        <f>IF(AA149="kW",SUMPRODUCT(N150:N253,V150:V253,AA150:AA253),SUMPRODUCT(K150:K253,AA150:AA253))</f>
        <v>431.11492907310736</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91876.378405407435</v>
      </c>
      <c r="Z272" s="328">
        <f>SUMPRODUCT(L150:L253,Z150:Z253)</f>
        <v>1028926.7030461126</v>
      </c>
      <c r="AA272" s="328">
        <f>IF(AA149="kW",SUMPRODUCT(N150:N253,W150:W253,AA150:AA253),SUMPRODUCT(L150:L253,AA150:AA253))</f>
        <v>379.89106674314036</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594</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250</v>
      </c>
      <c r="C275" s="283"/>
      <c r="D275" s="592" t="s">
        <v>530</v>
      </c>
      <c r="E275" s="590"/>
      <c r="O275" s="283"/>
      <c r="Y275" s="272"/>
      <c r="Z275" s="269"/>
      <c r="AA275" s="269"/>
      <c r="AB275" s="269"/>
      <c r="AC275" s="269"/>
      <c r="AD275" s="269"/>
      <c r="AE275" s="269"/>
      <c r="AF275" s="269"/>
      <c r="AG275" s="269"/>
      <c r="AH275" s="269"/>
      <c r="AI275" s="269"/>
      <c r="AJ275" s="269"/>
      <c r="AK275" s="269"/>
      <c r="AL275" s="269"/>
      <c r="AM275" s="284"/>
    </row>
    <row r="276" spans="1:39" ht="33" customHeight="1">
      <c r="B276" s="868" t="s">
        <v>212</v>
      </c>
      <c r="C276" s="870" t="s">
        <v>33</v>
      </c>
      <c r="D276" s="286" t="s">
        <v>425</v>
      </c>
      <c r="E276" s="872" t="s">
        <v>210</v>
      </c>
      <c r="F276" s="873"/>
      <c r="G276" s="873"/>
      <c r="H276" s="873"/>
      <c r="I276" s="873"/>
      <c r="J276" s="873"/>
      <c r="K276" s="873"/>
      <c r="L276" s="873"/>
      <c r="M276" s="874"/>
      <c r="N276" s="878" t="s">
        <v>214</v>
      </c>
      <c r="O276" s="286" t="s">
        <v>426</v>
      </c>
      <c r="P276" s="872" t="s">
        <v>213</v>
      </c>
      <c r="Q276" s="873"/>
      <c r="R276" s="873"/>
      <c r="S276" s="873"/>
      <c r="T276" s="873"/>
      <c r="U276" s="873"/>
      <c r="V276" s="873"/>
      <c r="W276" s="873"/>
      <c r="X276" s="874"/>
      <c r="Y276" s="875" t="s">
        <v>245</v>
      </c>
      <c r="Z276" s="876"/>
      <c r="AA276" s="876"/>
      <c r="AB276" s="876"/>
      <c r="AC276" s="876"/>
      <c r="AD276" s="876"/>
      <c r="AE276" s="876"/>
      <c r="AF276" s="876"/>
      <c r="AG276" s="876"/>
      <c r="AH276" s="876"/>
      <c r="AI276" s="876"/>
      <c r="AJ276" s="876"/>
      <c r="AK276" s="876"/>
      <c r="AL276" s="876"/>
      <c r="AM276" s="877"/>
    </row>
    <row r="277" spans="1:39" ht="60.75" customHeight="1">
      <c r="B277" s="869"/>
      <c r="C277" s="871"/>
      <c r="D277" s="287">
        <v>2013</v>
      </c>
      <c r="E277" s="287">
        <v>2014</v>
      </c>
      <c r="F277" s="287">
        <v>2015</v>
      </c>
      <c r="G277" s="287">
        <v>2016</v>
      </c>
      <c r="H277" s="287">
        <v>2017</v>
      </c>
      <c r="I277" s="287">
        <v>2018</v>
      </c>
      <c r="J277" s="287">
        <v>2019</v>
      </c>
      <c r="K277" s="287">
        <v>2020</v>
      </c>
      <c r="L277" s="287">
        <v>2021</v>
      </c>
      <c r="M277" s="287">
        <v>2022</v>
      </c>
      <c r="N277" s="879"/>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GS&gt;50 kW</v>
      </c>
      <c r="AB277" s="287" t="str">
        <f>'1.  LRAMVA Summary'!G50</f>
        <v>Streetlights</v>
      </c>
      <c r="AC277" s="287" t="str">
        <f>'1.  LRAMVA Summary'!H50</f>
        <v>Unmetered Scattered Load</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KWh</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hidden="1" outlineLevel="1">
      <c r="A279" s="509">
        <v>1</v>
      </c>
      <c r="B279" s="296" t="s">
        <v>1</v>
      </c>
      <c r="C279" s="293" t="s">
        <v>25</v>
      </c>
      <c r="D279" s="297">
        <v>19121.613504303874</v>
      </c>
      <c r="E279" s="297">
        <v>19121.613504303874</v>
      </c>
      <c r="F279" s="297">
        <v>19121.613504303874</v>
      </c>
      <c r="G279" s="297">
        <v>19019.068985970542</v>
      </c>
      <c r="H279" s="297">
        <v>10735.90253343334</v>
      </c>
      <c r="I279" s="297">
        <v>0</v>
      </c>
      <c r="J279" s="297">
        <v>0</v>
      </c>
      <c r="K279" s="297">
        <v>0</v>
      </c>
      <c r="L279" s="297">
        <v>0</v>
      </c>
      <c r="M279" s="297">
        <v>0</v>
      </c>
      <c r="N279" s="293"/>
      <c r="O279" s="297">
        <v>2.9523212232111886</v>
      </c>
      <c r="P279" s="297">
        <v>2.9523212232111886</v>
      </c>
      <c r="Q279" s="297">
        <v>2.9523212232111886</v>
      </c>
      <c r="R279" s="297">
        <v>2.847537193591164</v>
      </c>
      <c r="S279" s="297">
        <v>1.5778427170262748</v>
      </c>
      <c r="T279" s="297">
        <v>0</v>
      </c>
      <c r="U279" s="297">
        <v>0</v>
      </c>
      <c r="V279" s="297">
        <v>0</v>
      </c>
      <c r="W279" s="297">
        <v>0</v>
      </c>
      <c r="X279" s="297">
        <v>0</v>
      </c>
      <c r="Y279" s="417">
        <v>1</v>
      </c>
      <c r="Z279" s="417">
        <v>0</v>
      </c>
      <c r="AA279" s="417">
        <v>0</v>
      </c>
      <c r="AB279" s="412"/>
      <c r="AC279" s="412"/>
      <c r="AD279" s="412"/>
      <c r="AE279" s="412"/>
      <c r="AF279" s="412"/>
      <c r="AG279" s="412"/>
      <c r="AH279" s="412"/>
      <c r="AI279" s="412"/>
      <c r="AJ279" s="412"/>
      <c r="AK279" s="412"/>
      <c r="AL279" s="412"/>
      <c r="AM279" s="298">
        <f>SUM(Y279:AL279)</f>
        <v>1</v>
      </c>
    </row>
    <row r="280" spans="1:39" ht="15" hidden="1" outlineLevel="1">
      <c r="B280" s="296" t="s">
        <v>251</v>
      </c>
      <c r="C280" s="293" t="s">
        <v>164</v>
      </c>
      <c r="D280" s="297"/>
      <c r="E280" s="297"/>
      <c r="F280" s="297"/>
      <c r="G280" s="297"/>
      <c r="H280" s="297"/>
      <c r="I280" s="297"/>
      <c r="J280" s="297"/>
      <c r="K280" s="297"/>
      <c r="L280" s="297"/>
      <c r="M280" s="297"/>
      <c r="N280" s="469"/>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hidden="1" outlineLevel="1">
      <c r="A281" s="511"/>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hidden="1" outlineLevel="1">
      <c r="A282" s="509">
        <v>2</v>
      </c>
      <c r="B282" s="296" t="s">
        <v>2</v>
      </c>
      <c r="C282" s="293" t="s">
        <v>25</v>
      </c>
      <c r="D282" s="297">
        <v>7758.2374371089982</v>
      </c>
      <c r="E282" s="297">
        <v>7758.2374371089982</v>
      </c>
      <c r="F282" s="297">
        <v>7758.2374371089982</v>
      </c>
      <c r="G282" s="297">
        <v>7758.2374371089982</v>
      </c>
      <c r="H282" s="297">
        <v>0</v>
      </c>
      <c r="I282" s="297">
        <v>0</v>
      </c>
      <c r="J282" s="297">
        <v>0</v>
      </c>
      <c r="K282" s="297">
        <v>0</v>
      </c>
      <c r="L282" s="297">
        <v>0</v>
      </c>
      <c r="M282" s="297">
        <v>0</v>
      </c>
      <c r="N282" s="293"/>
      <c r="O282" s="297">
        <v>4.3510760798331551</v>
      </c>
      <c r="P282" s="297">
        <v>4.3510760798331551</v>
      </c>
      <c r="Q282" s="297">
        <v>4.3510760798331551</v>
      </c>
      <c r="R282" s="297">
        <v>4.3510760798331551</v>
      </c>
      <c r="S282" s="297">
        <v>0</v>
      </c>
      <c r="T282" s="297">
        <v>0</v>
      </c>
      <c r="U282" s="297">
        <v>0</v>
      </c>
      <c r="V282" s="297">
        <v>0</v>
      </c>
      <c r="W282" s="297">
        <v>0</v>
      </c>
      <c r="X282" s="297">
        <v>0</v>
      </c>
      <c r="Y282" s="417">
        <v>1</v>
      </c>
      <c r="Z282" s="417">
        <v>0</v>
      </c>
      <c r="AA282" s="417">
        <v>0</v>
      </c>
      <c r="AB282" s="412"/>
      <c r="AC282" s="412"/>
      <c r="AD282" s="412"/>
      <c r="AE282" s="412"/>
      <c r="AF282" s="412"/>
      <c r="AG282" s="412"/>
      <c r="AH282" s="412"/>
      <c r="AI282" s="412"/>
      <c r="AJ282" s="412"/>
      <c r="AK282" s="412"/>
      <c r="AL282" s="412"/>
      <c r="AM282" s="298">
        <f>SUM(Y282:AL282)</f>
        <v>1</v>
      </c>
    </row>
    <row r="283" spans="1:39" ht="15" hidden="1" outlineLevel="1">
      <c r="B283" s="296" t="s">
        <v>251</v>
      </c>
      <c r="C283" s="293" t="s">
        <v>164</v>
      </c>
      <c r="D283" s="297"/>
      <c r="E283" s="297"/>
      <c r="F283" s="297"/>
      <c r="G283" s="297"/>
      <c r="H283" s="297"/>
      <c r="I283" s="297"/>
      <c r="J283" s="297"/>
      <c r="K283" s="297"/>
      <c r="L283" s="297"/>
      <c r="M283" s="297"/>
      <c r="N283" s="469"/>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hidden="1" outlineLevel="1">
      <c r="A284" s="511"/>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hidden="1" outlineLevel="1">
      <c r="A285" s="509">
        <v>3</v>
      </c>
      <c r="B285" s="296" t="s">
        <v>3</v>
      </c>
      <c r="C285" s="293" t="s">
        <v>25</v>
      </c>
      <c r="D285" s="297">
        <v>63246.155788642405</v>
      </c>
      <c r="E285" s="297">
        <v>63246.155788642405</v>
      </c>
      <c r="F285" s="297">
        <v>63246.155788642405</v>
      </c>
      <c r="G285" s="297">
        <v>63246.155788642405</v>
      </c>
      <c r="H285" s="297">
        <v>63246.155788642405</v>
      </c>
      <c r="I285" s="297">
        <v>63246.155788642405</v>
      </c>
      <c r="J285" s="297">
        <v>63246.155788642405</v>
      </c>
      <c r="K285" s="297">
        <v>63246.155788642405</v>
      </c>
      <c r="L285" s="297">
        <v>63246.155788642405</v>
      </c>
      <c r="M285" s="297">
        <v>63246.155788642405</v>
      </c>
      <c r="N285" s="293"/>
      <c r="O285" s="297">
        <v>34.690399470213158</v>
      </c>
      <c r="P285" s="297">
        <v>34.690399470213158</v>
      </c>
      <c r="Q285" s="297">
        <v>34.690399470213158</v>
      </c>
      <c r="R285" s="297">
        <v>34.690399470213158</v>
      </c>
      <c r="S285" s="297">
        <v>34.690399470213158</v>
      </c>
      <c r="T285" s="297">
        <v>34.690399470213158</v>
      </c>
      <c r="U285" s="297">
        <v>34.690399470213158</v>
      </c>
      <c r="V285" s="297">
        <v>34.690399470213158</v>
      </c>
      <c r="W285" s="297">
        <v>34.690399470213158</v>
      </c>
      <c r="X285" s="297">
        <v>34.690399470213158</v>
      </c>
      <c r="Y285" s="417">
        <v>1</v>
      </c>
      <c r="Z285" s="417">
        <v>0</v>
      </c>
      <c r="AA285" s="417">
        <v>0</v>
      </c>
      <c r="AB285" s="412"/>
      <c r="AC285" s="412"/>
      <c r="AD285" s="412"/>
      <c r="AE285" s="412"/>
      <c r="AF285" s="412"/>
      <c r="AG285" s="412"/>
      <c r="AH285" s="412"/>
      <c r="AI285" s="412"/>
      <c r="AJ285" s="412"/>
      <c r="AK285" s="412"/>
      <c r="AL285" s="412"/>
      <c r="AM285" s="298">
        <f>SUM(Y285:AL285)</f>
        <v>1</v>
      </c>
    </row>
    <row r="286" spans="1:39" ht="15" hidden="1" outlineLevel="1">
      <c r="B286" s="296" t="s">
        <v>251</v>
      </c>
      <c r="C286" s="293" t="s">
        <v>164</v>
      </c>
      <c r="D286" s="297"/>
      <c r="E286" s="297"/>
      <c r="F286" s="297"/>
      <c r="G286" s="297"/>
      <c r="H286" s="297"/>
      <c r="I286" s="297"/>
      <c r="J286" s="297"/>
      <c r="K286" s="297"/>
      <c r="L286" s="297"/>
      <c r="M286" s="297"/>
      <c r="N286" s="469"/>
      <c r="O286" s="297"/>
      <c r="P286" s="297"/>
      <c r="Q286" s="297"/>
      <c r="R286" s="297"/>
      <c r="S286" s="297"/>
      <c r="T286" s="297"/>
      <c r="U286" s="297"/>
      <c r="V286" s="297"/>
      <c r="W286" s="297"/>
      <c r="X286" s="297"/>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hidden="1"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hidden="1" outlineLevel="1">
      <c r="A288" s="509">
        <v>4</v>
      </c>
      <c r="B288" s="296" t="s">
        <v>4</v>
      </c>
      <c r="C288" s="293" t="s">
        <v>25</v>
      </c>
      <c r="D288" s="297">
        <v>22093</v>
      </c>
      <c r="E288" s="297">
        <v>22093</v>
      </c>
      <c r="F288" s="297">
        <v>20610.459973497607</v>
      </c>
      <c r="G288" s="297">
        <v>19894.005094043372</v>
      </c>
      <c r="H288" s="297">
        <v>19894.005094043372</v>
      </c>
      <c r="I288" s="297">
        <v>19894.005094043372</v>
      </c>
      <c r="J288" s="297">
        <v>19894.005094043372</v>
      </c>
      <c r="K288" s="297">
        <v>19894.005094043372</v>
      </c>
      <c r="L288" s="297">
        <v>19040.172781679059</v>
      </c>
      <c r="M288" s="297">
        <v>19040.172781679059</v>
      </c>
      <c r="N288" s="293"/>
      <c r="O288" s="297">
        <v>1</v>
      </c>
      <c r="P288" s="297">
        <v>0.93289548605882433</v>
      </c>
      <c r="Q288" s="297">
        <v>0.90046644158979638</v>
      </c>
      <c r="R288" s="297">
        <v>0.90046644158979638</v>
      </c>
      <c r="S288" s="297">
        <v>0.90046644158979638</v>
      </c>
      <c r="T288" s="297">
        <v>0.90046644158979638</v>
      </c>
      <c r="U288" s="297">
        <v>0.90046644158979638</v>
      </c>
      <c r="V288" s="297">
        <v>0.86181925413837235</v>
      </c>
      <c r="W288" s="297">
        <v>0.86181925413837235</v>
      </c>
      <c r="X288" s="297">
        <v>0.71400096049362416</v>
      </c>
      <c r="Y288" s="417">
        <v>1</v>
      </c>
      <c r="Z288" s="417">
        <v>0</v>
      </c>
      <c r="AA288" s="417">
        <v>0</v>
      </c>
      <c r="AB288" s="412"/>
      <c r="AC288" s="412"/>
      <c r="AD288" s="412"/>
      <c r="AE288" s="412"/>
      <c r="AF288" s="412"/>
      <c r="AG288" s="412"/>
      <c r="AH288" s="412"/>
      <c r="AI288" s="412"/>
      <c r="AJ288" s="412"/>
      <c r="AK288" s="412"/>
      <c r="AL288" s="412"/>
      <c r="AM288" s="298">
        <f>SUM(Y288:AL288)</f>
        <v>1</v>
      </c>
    </row>
    <row r="289" spans="1:39" ht="15" hidden="1" outlineLevel="1">
      <c r="B289" s="296" t="s">
        <v>251</v>
      </c>
      <c r="C289" s="293" t="s">
        <v>164</v>
      </c>
      <c r="D289" s="297"/>
      <c r="E289" s="297"/>
      <c r="F289" s="297"/>
      <c r="G289" s="297"/>
      <c r="H289" s="297"/>
      <c r="I289" s="297"/>
      <c r="J289" s="297"/>
      <c r="K289" s="297"/>
      <c r="L289" s="297"/>
      <c r="M289" s="297"/>
      <c r="N289" s="469"/>
      <c r="O289" s="297"/>
      <c r="P289" s="297"/>
      <c r="Q289" s="297"/>
      <c r="R289" s="297"/>
      <c r="S289" s="297"/>
      <c r="T289" s="297"/>
      <c r="U289" s="297"/>
      <c r="V289" s="297"/>
      <c r="W289" s="297"/>
      <c r="X289" s="297"/>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hidden="1"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hidden="1" outlineLevel="1">
      <c r="A291" s="509">
        <v>5</v>
      </c>
      <c r="B291" s="296" t="s">
        <v>5</v>
      </c>
      <c r="C291" s="293" t="s">
        <v>25</v>
      </c>
      <c r="D291" s="297">
        <v>49096</v>
      </c>
      <c r="E291" s="297">
        <v>49096</v>
      </c>
      <c r="F291" s="297">
        <v>42590.261380968041</v>
      </c>
      <c r="G291" s="297">
        <v>39199.830635316241</v>
      </c>
      <c r="H291" s="297">
        <v>39199.830635316241</v>
      </c>
      <c r="I291" s="297">
        <v>39199.830635316241</v>
      </c>
      <c r="J291" s="297">
        <v>39199.830635316241</v>
      </c>
      <c r="K291" s="297">
        <v>39199.830635316241</v>
      </c>
      <c r="L291" s="297">
        <v>39182.849863746684</v>
      </c>
      <c r="M291" s="297">
        <v>39182.849863746684</v>
      </c>
      <c r="N291" s="293"/>
      <c r="O291" s="297">
        <v>3</v>
      </c>
      <c r="P291" s="297">
        <v>2.6024683099010941</v>
      </c>
      <c r="Q291" s="297">
        <v>2.3952968043414682</v>
      </c>
      <c r="R291" s="297">
        <v>2.3952968043414682</v>
      </c>
      <c r="S291" s="297">
        <v>2.3952968043414682</v>
      </c>
      <c r="T291" s="297">
        <v>2.3952968043414682</v>
      </c>
      <c r="U291" s="297">
        <v>2.3952968043414682</v>
      </c>
      <c r="V291" s="297">
        <v>2.3942591981269361</v>
      </c>
      <c r="W291" s="297">
        <v>2.3942591981269361</v>
      </c>
      <c r="X291" s="297">
        <v>2.2267940713945822</v>
      </c>
      <c r="Y291" s="417">
        <v>1</v>
      </c>
      <c r="Z291" s="417">
        <v>0</v>
      </c>
      <c r="AA291" s="417">
        <v>0</v>
      </c>
      <c r="AB291" s="412"/>
      <c r="AC291" s="412"/>
      <c r="AD291" s="412"/>
      <c r="AE291" s="412"/>
      <c r="AF291" s="412"/>
      <c r="AG291" s="412"/>
      <c r="AH291" s="412"/>
      <c r="AI291" s="412"/>
      <c r="AJ291" s="412"/>
      <c r="AK291" s="412"/>
      <c r="AL291" s="412"/>
      <c r="AM291" s="298">
        <f>SUM(Y291:AL291)</f>
        <v>1</v>
      </c>
    </row>
    <row r="292" spans="1:39" ht="15" hidden="1" outlineLevel="1">
      <c r="B292" s="296" t="s">
        <v>251</v>
      </c>
      <c r="C292" s="293" t="s">
        <v>164</v>
      </c>
      <c r="D292" s="297"/>
      <c r="E292" s="297"/>
      <c r="F292" s="297"/>
      <c r="G292" s="297"/>
      <c r="H292" s="297"/>
      <c r="I292" s="297"/>
      <c r="J292" s="297"/>
      <c r="K292" s="297"/>
      <c r="L292" s="297"/>
      <c r="M292" s="297"/>
      <c r="N292" s="469"/>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hidden="1"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hidden="1" outlineLevel="1">
      <c r="A294" s="509">
        <v>6</v>
      </c>
      <c r="B294" s="296" t="s">
        <v>6</v>
      </c>
      <c r="C294" s="293" t="s">
        <v>25</v>
      </c>
      <c r="D294" s="297" t="s">
        <v>710</v>
      </c>
      <c r="E294" s="297" t="s">
        <v>710</v>
      </c>
      <c r="F294" s="297" t="s">
        <v>710</v>
      </c>
      <c r="G294" s="297" t="s">
        <v>710</v>
      </c>
      <c r="H294" s="297" t="s">
        <v>710</v>
      </c>
      <c r="I294" s="297" t="s">
        <v>710</v>
      </c>
      <c r="J294" s="297" t="s">
        <v>710</v>
      </c>
      <c r="K294" s="297" t="s">
        <v>710</v>
      </c>
      <c r="L294" s="297" t="s">
        <v>710</v>
      </c>
      <c r="M294" s="297" t="s">
        <v>710</v>
      </c>
      <c r="N294" s="293"/>
      <c r="O294" s="297" t="s">
        <v>710</v>
      </c>
      <c r="P294" s="297" t="s">
        <v>710</v>
      </c>
      <c r="Q294" s="297" t="s">
        <v>710</v>
      </c>
      <c r="R294" s="297" t="s">
        <v>710</v>
      </c>
      <c r="S294" s="297" t="s">
        <v>710</v>
      </c>
      <c r="T294" s="297" t="s">
        <v>710</v>
      </c>
      <c r="U294" s="297" t="s">
        <v>710</v>
      </c>
      <c r="V294" s="297" t="s">
        <v>710</v>
      </c>
      <c r="W294" s="297" t="s">
        <v>710</v>
      </c>
      <c r="X294" s="297" t="s">
        <v>710</v>
      </c>
      <c r="Y294" s="412"/>
      <c r="Z294" s="412"/>
      <c r="AA294" s="412"/>
      <c r="AB294" s="412"/>
      <c r="AC294" s="412"/>
      <c r="AD294" s="412"/>
      <c r="AE294" s="412"/>
      <c r="AF294" s="412"/>
      <c r="AG294" s="412"/>
      <c r="AH294" s="412"/>
      <c r="AI294" s="412"/>
      <c r="AJ294" s="412"/>
      <c r="AK294" s="412"/>
      <c r="AL294" s="412"/>
      <c r="AM294" s="298">
        <f>SUM(Y294:AL294)</f>
        <v>0</v>
      </c>
    </row>
    <row r="295" spans="1:39" ht="15" hidden="1" outlineLevel="1">
      <c r="B295" s="296" t="s">
        <v>251</v>
      </c>
      <c r="C295" s="293" t="s">
        <v>164</v>
      </c>
      <c r="D295" s="297"/>
      <c r="E295" s="297"/>
      <c r="F295" s="297"/>
      <c r="G295" s="297"/>
      <c r="H295" s="297"/>
      <c r="I295" s="297"/>
      <c r="J295" s="297"/>
      <c r="K295" s="297"/>
      <c r="L295" s="297"/>
      <c r="M295" s="297"/>
      <c r="N295" s="469"/>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hidden="1"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hidden="1" outlineLevel="1">
      <c r="A297" s="509">
        <v>7</v>
      </c>
      <c r="B297" s="296" t="s">
        <v>42</v>
      </c>
      <c r="C297" s="293" t="s">
        <v>25</v>
      </c>
      <c r="D297" s="297">
        <v>0</v>
      </c>
      <c r="E297" s="297">
        <v>0</v>
      </c>
      <c r="F297" s="297">
        <v>0</v>
      </c>
      <c r="G297" s="297">
        <v>0</v>
      </c>
      <c r="H297" s="297">
        <v>0</v>
      </c>
      <c r="I297" s="297">
        <v>0</v>
      </c>
      <c r="J297" s="297">
        <v>0</v>
      </c>
      <c r="K297" s="297">
        <v>0</v>
      </c>
      <c r="L297" s="297">
        <v>0</v>
      </c>
      <c r="M297" s="297">
        <v>0</v>
      </c>
      <c r="N297" s="293"/>
      <c r="O297" s="297">
        <v>142.23673700000001</v>
      </c>
      <c r="P297" s="297">
        <v>0</v>
      </c>
      <c r="Q297" s="297">
        <v>0</v>
      </c>
      <c r="R297" s="297">
        <v>0</v>
      </c>
      <c r="S297" s="297">
        <v>0</v>
      </c>
      <c r="T297" s="297">
        <v>0</v>
      </c>
      <c r="U297" s="297">
        <v>0</v>
      </c>
      <c r="V297" s="297">
        <v>0</v>
      </c>
      <c r="W297" s="297">
        <v>0</v>
      </c>
      <c r="X297" s="297">
        <v>0</v>
      </c>
      <c r="Y297" s="417">
        <v>1</v>
      </c>
      <c r="Z297" s="417">
        <v>0</v>
      </c>
      <c r="AA297" s="417">
        <v>0</v>
      </c>
      <c r="AB297" s="412"/>
      <c r="AC297" s="412"/>
      <c r="AD297" s="412"/>
      <c r="AE297" s="412"/>
      <c r="AF297" s="412"/>
      <c r="AG297" s="412"/>
      <c r="AH297" s="412"/>
      <c r="AI297" s="412"/>
      <c r="AJ297" s="412"/>
      <c r="AK297" s="412"/>
      <c r="AL297" s="412"/>
      <c r="AM297" s="298">
        <f>SUM(Y297:AL297)</f>
        <v>1</v>
      </c>
    </row>
    <row r="298" spans="1:39" ht="15" hidden="1" outlineLevel="1">
      <c r="B298" s="296" t="s">
        <v>251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hidden="1"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hidden="1" outlineLevel="1">
      <c r="A300" s="509">
        <v>8</v>
      </c>
      <c r="B300" s="296" t="s">
        <v>488</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17">
        <v>1</v>
      </c>
      <c r="Z300" s="417">
        <v>0</v>
      </c>
      <c r="AA300" s="417">
        <v>0</v>
      </c>
      <c r="AB300" s="412"/>
      <c r="AC300" s="412"/>
      <c r="AD300" s="412"/>
      <c r="AE300" s="412"/>
      <c r="AF300" s="412"/>
      <c r="AG300" s="412"/>
      <c r="AH300" s="412"/>
      <c r="AI300" s="412"/>
      <c r="AJ300" s="412"/>
      <c r="AK300" s="412"/>
      <c r="AL300" s="412"/>
      <c r="AM300" s="298">
        <f>SUM(Y300:AL300)</f>
        <v>1</v>
      </c>
    </row>
    <row r="301" spans="1:39" s="285" customFormat="1" ht="15" hidden="1" outlineLevel="1">
      <c r="A301" s="509"/>
      <c r="B301" s="296" t="s">
        <v>251</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1</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hidden="1" outlineLevel="1">
      <c r="A302" s="509"/>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hidden="1" outlineLevel="1">
      <c r="A303" s="509">
        <v>9</v>
      </c>
      <c r="B303" s="296" t="s">
        <v>7</v>
      </c>
      <c r="C303" s="293" t="s">
        <v>25</v>
      </c>
      <c r="D303" s="297" t="s">
        <v>710</v>
      </c>
      <c r="E303" s="297" t="s">
        <v>710</v>
      </c>
      <c r="F303" s="297" t="s">
        <v>710</v>
      </c>
      <c r="G303" s="297" t="s">
        <v>710</v>
      </c>
      <c r="H303" s="297" t="s">
        <v>710</v>
      </c>
      <c r="I303" s="297" t="s">
        <v>710</v>
      </c>
      <c r="J303" s="297" t="s">
        <v>710</v>
      </c>
      <c r="K303" s="297" t="s">
        <v>710</v>
      </c>
      <c r="L303" s="297" t="s">
        <v>710</v>
      </c>
      <c r="M303" s="297" t="s">
        <v>710</v>
      </c>
      <c r="N303" s="293"/>
      <c r="O303" s="297" t="s">
        <v>710</v>
      </c>
      <c r="P303" s="297" t="s">
        <v>710</v>
      </c>
      <c r="Q303" s="297" t="s">
        <v>710</v>
      </c>
      <c r="R303" s="297" t="s">
        <v>710</v>
      </c>
      <c r="S303" s="297" t="s">
        <v>710</v>
      </c>
      <c r="T303" s="297" t="s">
        <v>710</v>
      </c>
      <c r="U303" s="297" t="s">
        <v>710</v>
      </c>
      <c r="V303" s="297" t="s">
        <v>710</v>
      </c>
      <c r="W303" s="297" t="s">
        <v>710</v>
      </c>
      <c r="X303" s="297" t="s">
        <v>710</v>
      </c>
      <c r="Y303" s="412"/>
      <c r="Z303" s="412"/>
      <c r="AA303" s="412"/>
      <c r="AB303" s="412"/>
      <c r="AC303" s="412"/>
      <c r="AD303" s="412"/>
      <c r="AE303" s="412"/>
      <c r="AF303" s="412"/>
      <c r="AG303" s="412"/>
      <c r="AH303" s="412"/>
      <c r="AI303" s="412"/>
      <c r="AJ303" s="412"/>
      <c r="AK303" s="412"/>
      <c r="AL303" s="412"/>
      <c r="AM303" s="298">
        <f>SUM(Y303:AL303)</f>
        <v>0</v>
      </c>
    </row>
    <row r="304" spans="1:39" ht="15" hidden="1" outlineLevel="1">
      <c r="B304" s="296" t="s">
        <v>251</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hidden="1"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hidden="1" outlineLevel="1">
      <c r="A306" s="510"/>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hidden="1" outlineLevel="1">
      <c r="A307" s="509">
        <v>10</v>
      </c>
      <c r="B307" s="312" t="s">
        <v>22</v>
      </c>
      <c r="C307" s="293" t="s">
        <v>25</v>
      </c>
      <c r="D307" s="297">
        <v>1047116.7699332014</v>
      </c>
      <c r="E307" s="297">
        <v>1030338.4733909436</v>
      </c>
      <c r="F307" s="297">
        <v>1027108.7872834338</v>
      </c>
      <c r="G307" s="297">
        <v>1027108.7872834338</v>
      </c>
      <c r="H307" s="297">
        <v>1006547.3741691143</v>
      </c>
      <c r="I307" s="297">
        <v>996103.70773962769</v>
      </c>
      <c r="J307" s="297">
        <v>996103.70773962769</v>
      </c>
      <c r="K307" s="297">
        <v>992633.79295179772</v>
      </c>
      <c r="L307" s="297">
        <v>990094.13585562457</v>
      </c>
      <c r="M307" s="297">
        <v>913962.35800350993</v>
      </c>
      <c r="N307" s="297">
        <v>12</v>
      </c>
      <c r="O307" s="297">
        <v>178.8613441561867</v>
      </c>
      <c r="P307" s="297">
        <v>178.8613441561867</v>
      </c>
      <c r="Q307" s="297">
        <v>177.82750514765115</v>
      </c>
      <c r="R307" s="297">
        <v>177.82750514765115</v>
      </c>
      <c r="S307" s="297">
        <v>171.51420577817339</v>
      </c>
      <c r="T307" s="297">
        <v>164.37154174240914</v>
      </c>
      <c r="U307" s="297">
        <v>164.37154174240914</v>
      </c>
      <c r="V307" s="297">
        <v>164.37154174240914</v>
      </c>
      <c r="W307" s="297">
        <v>164.17318850368622</v>
      </c>
      <c r="X307" s="297">
        <v>148.55369093701236</v>
      </c>
      <c r="Y307" s="417">
        <v>0</v>
      </c>
      <c r="Z307" s="417">
        <v>0.86740445592196513</v>
      </c>
      <c r="AA307" s="417">
        <v>0.13259554407803487</v>
      </c>
      <c r="AB307" s="503"/>
      <c r="AC307" s="417"/>
      <c r="AD307" s="417"/>
      <c r="AE307" s="417"/>
      <c r="AF307" s="417"/>
      <c r="AG307" s="417"/>
      <c r="AH307" s="417"/>
      <c r="AI307" s="417"/>
      <c r="AJ307" s="417"/>
      <c r="AK307" s="417"/>
      <c r="AL307" s="417"/>
      <c r="AM307" s="298">
        <f>SUM(Y307:AL307)</f>
        <v>1</v>
      </c>
    </row>
    <row r="308" spans="1:39" ht="15" hidden="1" outlineLevel="1">
      <c r="B308" s="296" t="s">
        <v>251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0.86740445592196513</v>
      </c>
      <c r="AA308" s="413">
        <f t="shared" ref="AA308:AL308" si="86">AA307</f>
        <v>0.13259554407803487</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hidden="1"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hidden="1" outlineLevel="1">
      <c r="A310" s="509">
        <v>11</v>
      </c>
      <c r="B310" s="316" t="s">
        <v>21</v>
      </c>
      <c r="C310" s="293" t="s">
        <v>25</v>
      </c>
      <c r="D310" s="297">
        <v>399272.25947202032</v>
      </c>
      <c r="E310" s="297">
        <v>399272.25947202032</v>
      </c>
      <c r="F310" s="297">
        <v>397003.58726406744</v>
      </c>
      <c r="G310" s="297">
        <v>298359.06338051608</v>
      </c>
      <c r="H310" s="297">
        <v>219011.73278247623</v>
      </c>
      <c r="I310" s="297">
        <v>219011.73278247623</v>
      </c>
      <c r="J310" s="297">
        <v>219011.73278247623</v>
      </c>
      <c r="K310" s="297">
        <v>219011.73278247623</v>
      </c>
      <c r="L310" s="297">
        <v>219011.73278247623</v>
      </c>
      <c r="M310" s="297">
        <v>219011.73278247623</v>
      </c>
      <c r="N310" s="297">
        <v>12</v>
      </c>
      <c r="O310" s="297">
        <v>107.72378851764819</v>
      </c>
      <c r="P310" s="297">
        <v>107.72378851764819</v>
      </c>
      <c r="Q310" s="297">
        <v>107.08467863821971</v>
      </c>
      <c r="R310" s="297">
        <v>81.466509935737179</v>
      </c>
      <c r="S310" s="297">
        <v>56.799909660251458</v>
      </c>
      <c r="T310" s="297">
        <v>56.799909660251458</v>
      </c>
      <c r="U310" s="297">
        <v>56.799909660251458</v>
      </c>
      <c r="V310" s="297">
        <v>56.799909660251458</v>
      </c>
      <c r="W310" s="297">
        <v>56.799909660251458</v>
      </c>
      <c r="X310" s="297">
        <v>56.799909660251458</v>
      </c>
      <c r="Y310" s="417">
        <v>0</v>
      </c>
      <c r="Z310" s="417">
        <v>1</v>
      </c>
      <c r="AA310" s="417">
        <v>0</v>
      </c>
      <c r="AB310" s="417"/>
      <c r="AC310" s="417"/>
      <c r="AD310" s="417"/>
      <c r="AE310" s="417"/>
      <c r="AF310" s="417"/>
      <c r="AG310" s="417"/>
      <c r="AH310" s="417"/>
      <c r="AI310" s="417"/>
      <c r="AJ310" s="417"/>
      <c r="AK310" s="417"/>
      <c r="AL310" s="417"/>
      <c r="AM310" s="298">
        <f>SUM(Y310:AL310)</f>
        <v>1</v>
      </c>
    </row>
    <row r="311" spans="1:39" ht="15" hidden="1" outlineLevel="1">
      <c r="B311" s="296" t="s">
        <v>251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hidden="1"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hidden="1" outlineLevel="1">
      <c r="A313" s="509">
        <v>12</v>
      </c>
      <c r="B313" s="316" t="s">
        <v>23</v>
      </c>
      <c r="C313" s="293" t="s">
        <v>25</v>
      </c>
      <c r="D313" s="297" t="s">
        <v>710</v>
      </c>
      <c r="E313" s="297" t="s">
        <v>710</v>
      </c>
      <c r="F313" s="297" t="s">
        <v>710</v>
      </c>
      <c r="G313" s="297" t="s">
        <v>710</v>
      </c>
      <c r="H313" s="297" t="s">
        <v>710</v>
      </c>
      <c r="I313" s="297" t="s">
        <v>710</v>
      </c>
      <c r="J313" s="297" t="s">
        <v>710</v>
      </c>
      <c r="K313" s="297" t="s">
        <v>710</v>
      </c>
      <c r="L313" s="297" t="s">
        <v>710</v>
      </c>
      <c r="M313" s="297" t="s">
        <v>710</v>
      </c>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hidden="1" outlineLevel="1">
      <c r="B314" s="296" t="s">
        <v>251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hidden="1"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hidden="1" outlineLevel="1">
      <c r="A316" s="509">
        <v>13</v>
      </c>
      <c r="B316" s="316" t="s">
        <v>24</v>
      </c>
      <c r="C316" s="293" t="s">
        <v>25</v>
      </c>
      <c r="D316" s="297" t="s">
        <v>710</v>
      </c>
      <c r="E316" s="297" t="s">
        <v>710</v>
      </c>
      <c r="F316" s="297" t="s">
        <v>710</v>
      </c>
      <c r="G316" s="297" t="s">
        <v>710</v>
      </c>
      <c r="H316" s="297" t="s">
        <v>710</v>
      </c>
      <c r="I316" s="297" t="s">
        <v>710</v>
      </c>
      <c r="J316" s="297" t="s">
        <v>710</v>
      </c>
      <c r="K316" s="297" t="s">
        <v>710</v>
      </c>
      <c r="L316" s="297" t="s">
        <v>710</v>
      </c>
      <c r="M316" s="297" t="s">
        <v>710</v>
      </c>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hidden="1" outlineLevel="1">
      <c r="B317" s="296" t="s">
        <v>251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hidden="1"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hidden="1" outlineLevel="1">
      <c r="A319" s="509">
        <v>14</v>
      </c>
      <c r="B319" s="316" t="s">
        <v>20</v>
      </c>
      <c r="C319" s="293" t="s">
        <v>25</v>
      </c>
      <c r="D319" s="297" t="s">
        <v>710</v>
      </c>
      <c r="E319" s="297" t="s">
        <v>710</v>
      </c>
      <c r="F319" s="297" t="s">
        <v>710</v>
      </c>
      <c r="G319" s="297" t="s">
        <v>710</v>
      </c>
      <c r="H319" s="297" t="s">
        <v>710</v>
      </c>
      <c r="I319" s="297" t="s">
        <v>710</v>
      </c>
      <c r="J319" s="297" t="s">
        <v>710</v>
      </c>
      <c r="K319" s="297" t="s">
        <v>710</v>
      </c>
      <c r="L319" s="297" t="s">
        <v>710</v>
      </c>
      <c r="M319" s="297" t="s">
        <v>710</v>
      </c>
      <c r="N319" s="297">
        <v>12</v>
      </c>
      <c r="O319" s="297"/>
      <c r="P319" s="297"/>
      <c r="Q319" s="297"/>
      <c r="R319" s="297"/>
      <c r="S319" s="297"/>
      <c r="T319" s="297"/>
      <c r="U319" s="297"/>
      <c r="V319" s="297"/>
      <c r="W319" s="297"/>
      <c r="X319" s="297"/>
      <c r="Y319" s="417"/>
      <c r="Z319" s="417"/>
      <c r="AA319" s="503"/>
      <c r="AB319" s="417"/>
      <c r="AC319" s="417"/>
      <c r="AD319" s="417"/>
      <c r="AE319" s="417"/>
      <c r="AF319" s="417"/>
      <c r="AG319" s="417"/>
      <c r="AH319" s="417"/>
      <c r="AI319" s="417"/>
      <c r="AJ319" s="417"/>
      <c r="AK319" s="417"/>
      <c r="AL319" s="417"/>
      <c r="AM319" s="298">
        <f>SUM(Y319:AL319)</f>
        <v>0</v>
      </c>
    </row>
    <row r="320" spans="1:39" ht="15" hidden="1" outlineLevel="1">
      <c r="B320" s="296" t="s">
        <v>251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hidden="1"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hidden="1" outlineLevel="1">
      <c r="A322" s="509">
        <v>15</v>
      </c>
      <c r="B322" s="316" t="s">
        <v>489</v>
      </c>
      <c r="C322" s="293" t="s">
        <v>25</v>
      </c>
      <c r="D322" s="297" t="s">
        <v>710</v>
      </c>
      <c r="E322" s="297" t="s">
        <v>710</v>
      </c>
      <c r="F322" s="297" t="s">
        <v>710</v>
      </c>
      <c r="G322" s="297" t="s">
        <v>710</v>
      </c>
      <c r="H322" s="297" t="s">
        <v>710</v>
      </c>
      <c r="I322" s="297" t="s">
        <v>710</v>
      </c>
      <c r="J322" s="297" t="s">
        <v>710</v>
      </c>
      <c r="K322" s="297" t="s">
        <v>710</v>
      </c>
      <c r="L322" s="297" t="s">
        <v>710</v>
      </c>
      <c r="M322" s="297" t="s">
        <v>710</v>
      </c>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hidden="1" outlineLevel="1">
      <c r="A323" s="509"/>
      <c r="B323" s="317" t="s">
        <v>251</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hidden="1" outlineLevel="1">
      <c r="A324" s="509"/>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hidden="1" outlineLevel="1">
      <c r="A325" s="509">
        <v>16</v>
      </c>
      <c r="B325" s="316" t="s">
        <v>490</v>
      </c>
      <c r="C325" s="293" t="s">
        <v>25</v>
      </c>
      <c r="D325" s="297" t="s">
        <v>710</v>
      </c>
      <c r="E325" s="297" t="s">
        <v>710</v>
      </c>
      <c r="F325" s="297" t="s">
        <v>710</v>
      </c>
      <c r="G325" s="297" t="s">
        <v>710</v>
      </c>
      <c r="H325" s="297" t="s">
        <v>710</v>
      </c>
      <c r="I325" s="297" t="s">
        <v>710</v>
      </c>
      <c r="J325" s="297" t="s">
        <v>710</v>
      </c>
      <c r="K325" s="297" t="s">
        <v>710</v>
      </c>
      <c r="L325" s="297" t="s">
        <v>710</v>
      </c>
      <c r="M325" s="297" t="s">
        <v>710</v>
      </c>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hidden="1" outlineLevel="1">
      <c r="A326" s="509"/>
      <c r="B326" s="317" t="s">
        <v>251</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hidden="1" outlineLevel="1">
      <c r="A327" s="509"/>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hidden="1" outlineLevel="1">
      <c r="A328" s="509">
        <v>17</v>
      </c>
      <c r="B328" s="316" t="s">
        <v>9</v>
      </c>
      <c r="C328" s="293" t="s">
        <v>25</v>
      </c>
      <c r="D328" s="297">
        <v>505</v>
      </c>
      <c r="E328" s="297">
        <v>0</v>
      </c>
      <c r="F328" s="297">
        <v>0</v>
      </c>
      <c r="G328" s="297">
        <v>0</v>
      </c>
      <c r="H328" s="297">
        <v>0</v>
      </c>
      <c r="I328" s="297">
        <v>0</v>
      </c>
      <c r="J328" s="297">
        <v>0</v>
      </c>
      <c r="K328" s="297">
        <v>0</v>
      </c>
      <c r="L328" s="297">
        <v>0</v>
      </c>
      <c r="M328" s="297">
        <v>0</v>
      </c>
      <c r="N328" s="293"/>
      <c r="O328" s="297">
        <v>38</v>
      </c>
      <c r="P328" s="297">
        <v>0</v>
      </c>
      <c r="Q328" s="297">
        <v>0</v>
      </c>
      <c r="R328" s="297">
        <v>0</v>
      </c>
      <c r="S328" s="297">
        <v>0</v>
      </c>
      <c r="T328" s="297">
        <v>0</v>
      </c>
      <c r="U328" s="297">
        <v>0</v>
      </c>
      <c r="V328" s="297">
        <v>0</v>
      </c>
      <c r="W328" s="297">
        <v>0</v>
      </c>
      <c r="X328" s="297">
        <v>0</v>
      </c>
      <c r="Y328" s="417">
        <v>0</v>
      </c>
      <c r="Z328" s="417">
        <v>0</v>
      </c>
      <c r="AA328" s="417">
        <v>1</v>
      </c>
      <c r="AB328" s="417"/>
      <c r="AC328" s="417"/>
      <c r="AD328" s="417"/>
      <c r="AE328" s="417"/>
      <c r="AF328" s="417"/>
      <c r="AG328" s="417"/>
      <c r="AH328" s="417"/>
      <c r="AI328" s="417"/>
      <c r="AJ328" s="417"/>
      <c r="AK328" s="417"/>
      <c r="AL328" s="417"/>
      <c r="AM328" s="298">
        <f>SUM(Y328:AL328)</f>
        <v>1</v>
      </c>
    </row>
    <row r="329" spans="1:39" ht="15" hidden="1" outlineLevel="1">
      <c r="B329" s="296" t="s">
        <v>251</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1</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hidden="1"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hidden="1" outlineLevel="1">
      <c r="A331" s="510"/>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hidden="1" outlineLevel="1">
      <c r="A332" s="509">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hidden="1" outlineLevel="1">
      <c r="B333" s="296" t="s">
        <v>251</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hidden="1" outlineLevel="1">
      <c r="A334" s="512"/>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hidden="1" outlineLevel="1">
      <c r="A335" s="509">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hidden="1" outlineLevel="1">
      <c r="B336" s="296" t="s">
        <v>251</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hidden="1"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hidden="1" outlineLevel="1">
      <c r="A338" s="509">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0"/>
      <c r="AD338" s="417"/>
      <c r="AE338" s="417"/>
      <c r="AF338" s="417"/>
      <c r="AG338" s="417"/>
      <c r="AH338" s="417"/>
      <c r="AI338" s="417"/>
      <c r="AJ338" s="417"/>
      <c r="AK338" s="417"/>
      <c r="AL338" s="417"/>
      <c r="AM338" s="298">
        <f>SUM(Y338:AL338)</f>
        <v>0</v>
      </c>
    </row>
    <row r="339" spans="1:39" ht="15" hidden="1" outlineLevel="1">
      <c r="B339" s="296" t="s">
        <v>251</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hidden="1"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hidden="1" outlineLevel="1">
      <c r="A341" s="509">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hidden="1" outlineLevel="1">
      <c r="B342" s="296" t="s">
        <v>251</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hidden="1"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hidden="1" outlineLevel="1">
      <c r="A344" s="509">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hidden="1" outlineLevel="1">
      <c r="B345" s="296" t="s">
        <v>251</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hidden="1"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hidden="1" outlineLevel="1">
      <c r="A347" s="510"/>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hidden="1" outlineLevel="1">
      <c r="A348" s="509">
        <v>23</v>
      </c>
      <c r="B348" s="317" t="s">
        <v>14</v>
      </c>
      <c r="C348" s="293" t="s">
        <v>25</v>
      </c>
      <c r="D348" s="297">
        <v>24452.999999999993</v>
      </c>
      <c r="E348" s="297">
        <v>24269.952178955071</v>
      </c>
      <c r="F348" s="297">
        <v>24253.311492919915</v>
      </c>
      <c r="G348" s="297">
        <v>21513.347449457426</v>
      </c>
      <c r="H348" s="297">
        <v>19774.383681253639</v>
      </c>
      <c r="I348" s="297">
        <v>18470.96450665985</v>
      </c>
      <c r="J348" s="297">
        <v>17268.340376410826</v>
      </c>
      <c r="K348" s="297">
        <v>16388.49851850067</v>
      </c>
      <c r="L348" s="297">
        <v>5072.1454849243164</v>
      </c>
      <c r="M348" s="297">
        <v>5072.1454849243164</v>
      </c>
      <c r="N348" s="293"/>
      <c r="O348" s="297">
        <v>2.5121929044835269</v>
      </c>
      <c r="P348" s="297">
        <v>2.5026842509396374</v>
      </c>
      <c r="Q348" s="297">
        <v>2.5018198271282017</v>
      </c>
      <c r="R348" s="297">
        <v>2.2270978040266898</v>
      </c>
      <c r="S348" s="297">
        <v>2.0798311721596714</v>
      </c>
      <c r="T348" s="297">
        <v>1.9459278567859808</v>
      </c>
      <c r="U348" s="297">
        <v>1.8834560022855082</v>
      </c>
      <c r="V348" s="297">
        <v>1.8834560022855082</v>
      </c>
      <c r="W348" s="297">
        <v>0.82835080288350582</v>
      </c>
      <c r="X348" s="297">
        <v>0.82835080288350582</v>
      </c>
      <c r="Y348" s="417">
        <v>1</v>
      </c>
      <c r="Z348" s="417">
        <v>0</v>
      </c>
      <c r="AA348" s="417">
        <v>0</v>
      </c>
      <c r="AB348" s="412"/>
      <c r="AC348" s="412"/>
      <c r="AD348" s="412"/>
      <c r="AE348" s="412"/>
      <c r="AF348" s="412"/>
      <c r="AG348" s="412"/>
      <c r="AH348" s="412"/>
      <c r="AI348" s="412"/>
      <c r="AJ348" s="412"/>
      <c r="AK348" s="412"/>
      <c r="AL348" s="412"/>
      <c r="AM348" s="298">
        <f>SUM(Y348:AL348)</f>
        <v>1</v>
      </c>
    </row>
    <row r="349" spans="1:39" ht="15" hidden="1" outlineLevel="1">
      <c r="B349" s="296" t="s">
        <v>251</v>
      </c>
      <c r="C349" s="293" t="s">
        <v>164</v>
      </c>
      <c r="D349" s="297"/>
      <c r="E349" s="297"/>
      <c r="F349" s="297"/>
      <c r="G349" s="297"/>
      <c r="H349" s="297"/>
      <c r="I349" s="297"/>
      <c r="J349" s="297"/>
      <c r="K349" s="297"/>
      <c r="L349" s="297"/>
      <c r="M349" s="297"/>
      <c r="N349" s="469"/>
      <c r="O349" s="297"/>
      <c r="P349" s="297"/>
      <c r="Q349" s="297"/>
      <c r="R349" s="297"/>
      <c r="S349" s="297"/>
      <c r="T349" s="297"/>
      <c r="U349" s="297"/>
      <c r="V349" s="297"/>
      <c r="W349" s="297"/>
      <c r="X349" s="297"/>
      <c r="Y349" s="413">
        <f>Y348</f>
        <v>1</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hidden="1"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hidden="1" outlineLevel="1">
      <c r="A351" s="510"/>
      <c r="B351" s="290" t="s">
        <v>491</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hidden="1" outlineLevel="1">
      <c r="A352" s="509">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hidden="1" outlineLevel="1">
      <c r="A353" s="509"/>
      <c r="B353" s="317" t="s">
        <v>251</v>
      </c>
      <c r="C353" s="293" t="s">
        <v>164</v>
      </c>
      <c r="D353" s="297"/>
      <c r="E353" s="297"/>
      <c r="F353" s="297"/>
      <c r="G353" s="297"/>
      <c r="H353" s="297"/>
      <c r="I353" s="297"/>
      <c r="J353" s="297"/>
      <c r="K353" s="297"/>
      <c r="L353" s="297"/>
      <c r="M353" s="297"/>
      <c r="N353" s="469"/>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hidden="1" outlineLevel="1">
      <c r="A354" s="509"/>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hidden="1" outlineLevel="1">
      <c r="A355" s="509">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hidden="1" outlineLevel="1">
      <c r="A356" s="509"/>
      <c r="B356" s="317" t="s">
        <v>251</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hidden="1" outlineLevel="1">
      <c r="A357" s="509"/>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hidden="1" outlineLevel="1">
      <c r="A358" s="510"/>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hidden="1" outlineLevel="1">
      <c r="A359" s="509">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hidden="1" outlineLevel="1">
      <c r="B360" s="296" t="s">
        <v>251</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hidden="1" outlineLevel="1">
      <c r="A361" s="512"/>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hidden="1" outlineLevel="1">
      <c r="A362" s="509">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hidden="1" outlineLevel="1">
      <c r="B363" s="296" t="s">
        <v>251</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hidden="1" outlineLevel="1">
      <c r="A364" s="512"/>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hidden="1" outlineLevel="1">
      <c r="A365" s="509">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hidden="1" outlineLevel="1">
      <c r="B366" s="296" t="s">
        <v>251</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hidden="1" outlineLevel="1">
      <c r="A367" s="512"/>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hidden="1" outlineLevel="1">
      <c r="A368" s="509">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hidden="1" outlineLevel="1">
      <c r="B369" s="326" t="s">
        <v>251</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hidden="1"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hidden="1" outlineLevel="1">
      <c r="A371" s="509">
        <v>30</v>
      </c>
      <c r="B371" s="326" t="s">
        <v>492</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hidden="1" outlineLevel="1">
      <c r="A372" s="509"/>
      <c r="B372" s="326" t="s">
        <v>251</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hidden="1" outlineLevel="1">
      <c r="A373" s="509"/>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hidden="1" outlineLevel="1">
      <c r="A374" s="509"/>
      <c r="B374" s="290" t="s">
        <v>493</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hidden="1" outlineLevel="1">
      <c r="A375" s="509">
        <v>31</v>
      </c>
      <c r="B375" s="326" t="s">
        <v>494</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hidden="1" outlineLevel="1">
      <c r="A376" s="509"/>
      <c r="B376" s="326" t="s">
        <v>251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hidden="1" outlineLevel="1">
      <c r="A377" s="509"/>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hidden="1" outlineLevel="1">
      <c r="A378" s="509">
        <v>32</v>
      </c>
      <c r="B378" s="326" t="s">
        <v>495</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hidden="1" outlineLevel="1">
      <c r="A379" s="509"/>
      <c r="B379" s="326" t="s">
        <v>251</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hidden="1" outlineLevel="1">
      <c r="A380" s="509"/>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hidden="1" outlineLevel="1">
      <c r="A381" s="509">
        <v>33</v>
      </c>
      <c r="B381" s="326" t="s">
        <v>496</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hidden="1" outlineLevel="1">
      <c r="A382" s="509"/>
      <c r="B382" s="326" t="s">
        <v>251</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hidden="1"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ollapsed="1">
      <c r="B384" s="329" t="s">
        <v>252</v>
      </c>
      <c r="C384" s="331"/>
      <c r="D384" s="331">
        <f>SUM(D279:D382)</f>
        <v>1632662.0361352768</v>
      </c>
      <c r="E384" s="331"/>
      <c r="F384" s="331"/>
      <c r="G384" s="331"/>
      <c r="H384" s="331"/>
      <c r="I384" s="331"/>
      <c r="J384" s="331"/>
      <c r="K384" s="331"/>
      <c r="L384" s="331"/>
      <c r="M384" s="331"/>
      <c r="N384" s="331"/>
      <c r="O384" s="331">
        <f>SUM(O279:O382)</f>
        <v>515.32785935157585</v>
      </c>
      <c r="P384" s="331"/>
      <c r="Q384" s="331"/>
      <c r="R384" s="331"/>
      <c r="S384" s="331"/>
      <c r="T384" s="331"/>
      <c r="U384" s="331"/>
      <c r="V384" s="331"/>
      <c r="W384" s="331"/>
      <c r="X384" s="331"/>
      <c r="Y384" s="331">
        <f>IF(Y278="kWh",SUMPRODUCT(D279:D382,Y279:Y382))</f>
        <v>185768.00673005526</v>
      </c>
      <c r="Z384" s="331">
        <f>IF(Z278="kWh",SUMPRODUCT(D279:D382,Z279:Z382))</f>
        <v>1307546.0115826945</v>
      </c>
      <c r="AA384" s="331">
        <f>IF(AA278="kW",SUMPRODUCT(N279:N382,O279:O382,AA279:AA382),SUMPRODUCT(D279:D382,AA279:AA382))</f>
        <v>284.59460691501857</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253</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1345003</v>
      </c>
      <c r="Z385" s="330">
        <f>HLOOKUP(Z277,'2. LRAMVA Threshold'!$B$42:$Q$53,5,FALSE)</f>
        <v>543085</v>
      </c>
      <c r="AA385" s="330">
        <f>HLOOKUP(AA277,'2. LRAMVA Threshold'!$B$42:$Q$53,5,FALSE)</f>
        <v>10671</v>
      </c>
      <c r="AB385" s="330">
        <f>HLOOKUP(AB277,'2. LRAMVA Threshold'!$B$42:$Q$53,5,FALSE)</f>
        <v>196</v>
      </c>
      <c r="AC385" s="330">
        <f>HLOOKUP(AC277,'2. LRAMVA Threshold'!$B$42:$Q$53,5,FALSE)</f>
        <v>4684</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1.7500000000000002E-2</v>
      </c>
      <c r="Z387" s="343">
        <f>HLOOKUP(Z$20,'3.  Distribution Rates'!$C$122:$P$133,5,FALSE)</f>
        <v>1.18E-2</v>
      </c>
      <c r="AA387" s="343">
        <f>HLOOKUP(AA$20,'3.  Distribution Rates'!$C$122:$P$133,5,FALSE)</f>
        <v>2.7355</v>
      </c>
      <c r="AB387" s="343">
        <f>HLOOKUP(AB$20,'3.  Distribution Rates'!$C$122:$P$133,5,FALSE)</f>
        <v>13.9131</v>
      </c>
      <c r="AC387" s="343">
        <f>HLOOKUP(AC$20,'3.  Distribution Rates'!$C$122:$P$133,5,FALSE)</f>
        <v>1.4200000000000001E-2</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4546.4937390142759</v>
      </c>
      <c r="Z388" s="380">
        <f t="shared" si="110"/>
        <v>3710.7146897121706</v>
      </c>
      <c r="AA388" s="380">
        <f t="shared" si="110"/>
        <v>1433.0846820000002</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29">
        <f>SUM(Y388:AL388)</f>
        <v>9690.2931107264467</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3198.9714431626703</v>
      </c>
      <c r="Z389" s="380">
        <f t="shared" si="111"/>
        <v>15305.967220398697</v>
      </c>
      <c r="AA389" s="380">
        <f t="shared" si="111"/>
        <v>1295.2548438804893</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29">
        <f>SUM(Y389:AL389)</f>
        <v>19800.193507441854</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3250.9401177759673</v>
      </c>
      <c r="Z390" s="380">
        <f t="shared" ref="Z390:AE390" si="112">Z384*Z387</f>
        <v>15429.042936675794</v>
      </c>
      <c r="AA390" s="380">
        <f t="shared" si="112"/>
        <v>778.50854721603332</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29">
        <f>SUM(Y390:AL390)</f>
        <v>19458.491601667793</v>
      </c>
    </row>
    <row r="391" spans="1:41" s="382" customFormat="1" ht="15.75">
      <c r="A391" s="511"/>
      <c r="B391" s="351" t="s">
        <v>259</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10996.405299952912</v>
      </c>
      <c r="Z391" s="348">
        <f>SUM(Z388:Z390)</f>
        <v>34445.724846786659</v>
      </c>
      <c r="AA391" s="348">
        <f t="shared" ref="AA391:AE391" si="114">SUM(AA388:AA390)</f>
        <v>3506.848073096523</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48948.978219836092</v>
      </c>
    </row>
    <row r="392" spans="1:41" s="382" customFormat="1" ht="15.75">
      <c r="A392" s="511"/>
      <c r="B392" s="351" t="s">
        <v>254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23537.552500000002</v>
      </c>
      <c r="Z392" s="349">
        <f t="shared" si="116"/>
        <v>6408.4030000000002</v>
      </c>
      <c r="AA392" s="349">
        <f t="shared" si="116"/>
        <v>29190.520499999999</v>
      </c>
      <c r="AB392" s="349">
        <f t="shared" si="116"/>
        <v>2726.9675999999999</v>
      </c>
      <c r="AC392" s="349">
        <f t="shared" si="116"/>
        <v>66.512799999999999</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61929.956399999995</v>
      </c>
    </row>
    <row r="393" spans="1:41" ht="15.75" customHeight="1">
      <c r="A393" s="511"/>
      <c r="B393" s="351" t="s">
        <v>266</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-12980.978180163904</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185584.95890901034</v>
      </c>
      <c r="Z395" s="293">
        <f>SUMPRODUCT(E279:E382,Z279:Z382)</f>
        <v>1292992.44239916</v>
      </c>
      <c r="AA395" s="293">
        <f>IF(AA278="kW",SUMPRODUCT(N279:N382,P279:P382,AA279:AA382),SUMPRODUCT(E279:E382,AA279:AA382))</f>
        <v>284.59460691501857</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177580.03957744085</v>
      </c>
      <c r="Z396" s="293">
        <f>SUMPRODUCT(F279:F382,Z279:Z382)</f>
        <v>1287922.3260703238</v>
      </c>
      <c r="AA396" s="293">
        <f>IF(AA278="kW",SUMPRODUCT(N279:N382,Q279:Q382,AA279:AA382),SUMPRODUCT(F279:F382,AA279:AA382))</f>
        <v>282.94961756510816</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170630.64539053896</v>
      </c>
      <c r="Z397" s="293">
        <f>SUMPRODUCT(G279:G382,Z279:Z382)</f>
        <v>1189277.8021867725</v>
      </c>
      <c r="AA397" s="293">
        <f>IF(AA278="kW",SUMPRODUCT(N279:N382,R279:R382,AA279:AA382),SUMPRODUCT(G279:G382,AA279:AA382))</f>
        <v>282.94961756510816</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152850.27773268899</v>
      </c>
      <c r="Z398" s="293">
        <f>SUMPRODUCT(H279:H382,Z279:Z382)</f>
        <v>1092095.4102333195</v>
      </c>
      <c r="AA398" s="293">
        <f>IF(AA278="kW",SUMPRODUCT(N279:N382,S279:S382,AA279:AA382),SUMPRODUCT(H279:H382,AA279:AA382))</f>
        <v>272.90423318722719</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140810.95602466186</v>
      </c>
      <c r="Z399" s="293">
        <f>SUMPRODUCT(I279:I382,Z279:Z382)</f>
        <v>1083036.5274362201</v>
      </c>
      <c r="AA399" s="293">
        <f>IF(AA278="kW",SUMPRODUCT(N279:N382,T279:T382,AA279:AA382),SUMPRODUCT(I279:I382,AA279:AA382))</f>
        <v>261.53920809936193</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139608.33189441284</v>
      </c>
      <c r="Z400" s="293">
        <f>SUMPRODUCT(J279:J382,Z279:Z382)</f>
        <v>1083036.5274362201</v>
      </c>
      <c r="AA400" s="293">
        <f>IF(AA278="kW",SUMPRODUCT(N279:N382,U279:U382,AA279:AA382),SUMPRODUCT(J279:J382,AA279:AA382))</f>
        <v>261.53920809936193</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138728.49003650268</v>
      </c>
      <c r="Z401" s="328">
        <f>SUMPRODUCT(K279:K382,Z279:Z382)</f>
        <v>1080026.7078875869</v>
      </c>
      <c r="AA401" s="328">
        <f>IF(AA278="kW",SUMPRODUCT(N279:N382,V279:V382,AA279:AA382),SUMPRODUCT(K279:K382,AA279:AA382))</f>
        <v>261.53920809936193</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594</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260</v>
      </c>
      <c r="C404" s="283"/>
      <c r="D404" s="590" t="s">
        <v>525</v>
      </c>
      <c r="F404" s="590"/>
      <c r="O404" s="283"/>
      <c r="Y404" s="272"/>
      <c r="Z404" s="269"/>
      <c r="AA404" s="269"/>
      <c r="AB404" s="269"/>
      <c r="AC404" s="269"/>
      <c r="AD404" s="269"/>
      <c r="AE404" s="269"/>
      <c r="AF404" s="269"/>
      <c r="AG404" s="269"/>
      <c r="AH404" s="269"/>
      <c r="AI404" s="269"/>
      <c r="AJ404" s="269"/>
      <c r="AK404" s="269"/>
      <c r="AL404" s="269"/>
      <c r="AM404" s="284"/>
    </row>
    <row r="405" spans="1:40" ht="36" customHeight="1">
      <c r="B405" s="868" t="s">
        <v>212</v>
      </c>
      <c r="C405" s="870" t="s">
        <v>33</v>
      </c>
      <c r="D405" s="286" t="s">
        <v>425</v>
      </c>
      <c r="E405" s="872" t="s">
        <v>210</v>
      </c>
      <c r="F405" s="873"/>
      <c r="G405" s="873"/>
      <c r="H405" s="873"/>
      <c r="I405" s="873"/>
      <c r="J405" s="873"/>
      <c r="K405" s="873"/>
      <c r="L405" s="873"/>
      <c r="M405" s="874"/>
      <c r="N405" s="878" t="s">
        <v>214</v>
      </c>
      <c r="O405" s="286" t="s">
        <v>426</v>
      </c>
      <c r="P405" s="872" t="s">
        <v>213</v>
      </c>
      <c r="Q405" s="873"/>
      <c r="R405" s="873"/>
      <c r="S405" s="873"/>
      <c r="T405" s="873"/>
      <c r="U405" s="873"/>
      <c r="V405" s="873"/>
      <c r="W405" s="873"/>
      <c r="X405" s="874"/>
      <c r="Y405" s="875" t="s">
        <v>245</v>
      </c>
      <c r="Z405" s="876"/>
      <c r="AA405" s="876"/>
      <c r="AB405" s="876"/>
      <c r="AC405" s="876"/>
      <c r="AD405" s="876"/>
      <c r="AE405" s="876"/>
      <c r="AF405" s="876"/>
      <c r="AG405" s="876"/>
      <c r="AH405" s="876"/>
      <c r="AI405" s="876"/>
      <c r="AJ405" s="876"/>
      <c r="AK405" s="876"/>
      <c r="AL405" s="876"/>
      <c r="AM405" s="877"/>
    </row>
    <row r="406" spans="1:40" ht="45.75" customHeight="1">
      <c r="B406" s="869"/>
      <c r="C406" s="871"/>
      <c r="D406" s="287">
        <v>2014</v>
      </c>
      <c r="E406" s="287">
        <v>2015</v>
      </c>
      <c r="F406" s="287">
        <v>2016</v>
      </c>
      <c r="G406" s="287">
        <v>2017</v>
      </c>
      <c r="H406" s="287">
        <v>2018</v>
      </c>
      <c r="I406" s="287">
        <v>2019</v>
      </c>
      <c r="J406" s="287">
        <v>2020</v>
      </c>
      <c r="K406" s="287">
        <v>2021</v>
      </c>
      <c r="L406" s="287">
        <v>2022</v>
      </c>
      <c r="M406" s="287">
        <v>2023</v>
      </c>
      <c r="N406" s="879"/>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GS&gt;50 kW</v>
      </c>
      <c r="AB406" s="287" t="str">
        <f>'1.  LRAMVA Summary'!G50</f>
        <v>Streetlights</v>
      </c>
      <c r="AC406" s="287" t="str">
        <f>'1.  LRAMVA Summary'!H50</f>
        <v>Unmetered Scattered Load</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KWh</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hidden="1" outlineLevel="1">
      <c r="A408" s="509">
        <v>1</v>
      </c>
      <c r="B408" s="296" t="s">
        <v>1</v>
      </c>
      <c r="C408" s="293" t="s">
        <v>25</v>
      </c>
      <c r="D408" s="297">
        <v>27957.705229729738</v>
      </c>
      <c r="E408" s="297">
        <v>27957.705229729738</v>
      </c>
      <c r="F408" s="297">
        <v>27957.705229729738</v>
      </c>
      <c r="G408" s="297">
        <v>27853.297183122068</v>
      </c>
      <c r="H408" s="297">
        <v>18777.442687282917</v>
      </c>
      <c r="I408" s="297">
        <v>0</v>
      </c>
      <c r="J408" s="297">
        <v>0</v>
      </c>
      <c r="K408" s="297">
        <v>0</v>
      </c>
      <c r="L408" s="297">
        <v>0</v>
      </c>
      <c r="M408" s="297">
        <v>0</v>
      </c>
      <c r="N408" s="293"/>
      <c r="O408" s="297">
        <v>4.1298378761077768</v>
      </c>
      <c r="P408" s="297">
        <v>4.1298378761077768</v>
      </c>
      <c r="Q408" s="297">
        <v>4.1298378761077768</v>
      </c>
      <c r="R408" s="297">
        <v>4.0130835786335872</v>
      </c>
      <c r="S408" s="297">
        <v>2.7596109521709673</v>
      </c>
      <c r="T408" s="297">
        <v>0</v>
      </c>
      <c r="U408" s="297">
        <v>0</v>
      </c>
      <c r="V408" s="297">
        <v>0</v>
      </c>
      <c r="W408" s="297">
        <v>0</v>
      </c>
      <c r="X408" s="297">
        <v>0</v>
      </c>
      <c r="Y408" s="417">
        <v>1</v>
      </c>
      <c r="Z408" s="417">
        <v>0</v>
      </c>
      <c r="AA408" s="417">
        <v>0</v>
      </c>
      <c r="AB408" s="412"/>
      <c r="AC408" s="412"/>
      <c r="AD408" s="412"/>
      <c r="AE408" s="412"/>
      <c r="AF408" s="412"/>
      <c r="AG408" s="412"/>
      <c r="AH408" s="412"/>
      <c r="AI408" s="412"/>
      <c r="AJ408" s="412"/>
      <c r="AK408" s="412"/>
      <c r="AL408" s="412"/>
      <c r="AM408" s="298">
        <f>SUM(Y408:AL408)</f>
        <v>1</v>
      </c>
    </row>
    <row r="409" spans="1:40" ht="15" hidden="1" outlineLevel="1">
      <c r="B409" s="296" t="s">
        <v>261</v>
      </c>
      <c r="C409" s="293" t="s">
        <v>164</v>
      </c>
      <c r="D409" s="297"/>
      <c r="E409" s="297"/>
      <c r="F409" s="297"/>
      <c r="G409" s="297"/>
      <c r="H409" s="297"/>
      <c r="I409" s="297"/>
      <c r="J409" s="297"/>
      <c r="K409" s="297"/>
      <c r="L409" s="297"/>
      <c r="M409" s="297"/>
      <c r="N409" s="469"/>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hidden="1" outlineLevel="1">
      <c r="A410" s="511"/>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hidden="1" outlineLevel="1">
      <c r="A411" s="509">
        <v>2</v>
      </c>
      <c r="B411" s="296" t="s">
        <v>2</v>
      </c>
      <c r="C411" s="293" t="s">
        <v>25</v>
      </c>
      <c r="D411" s="297">
        <v>6649.9178032362843</v>
      </c>
      <c r="E411" s="297">
        <v>6649.9178032362843</v>
      </c>
      <c r="F411" s="297">
        <v>6649.9178032362843</v>
      </c>
      <c r="G411" s="297">
        <v>6649.9178032362843</v>
      </c>
      <c r="H411" s="297">
        <v>0</v>
      </c>
      <c r="I411" s="297">
        <v>0</v>
      </c>
      <c r="J411" s="297">
        <v>0</v>
      </c>
      <c r="K411" s="297">
        <v>0</v>
      </c>
      <c r="L411" s="297">
        <v>0</v>
      </c>
      <c r="M411" s="297">
        <v>0</v>
      </c>
      <c r="N411" s="293"/>
      <c r="O411" s="297">
        <v>3.7294937827141337</v>
      </c>
      <c r="P411" s="297">
        <v>3.7294937827141337</v>
      </c>
      <c r="Q411" s="297">
        <v>3.7294937827141337</v>
      </c>
      <c r="R411" s="297">
        <v>3.7294937827141337</v>
      </c>
      <c r="S411" s="297">
        <v>0</v>
      </c>
      <c r="T411" s="297">
        <v>0</v>
      </c>
      <c r="U411" s="297">
        <v>0</v>
      </c>
      <c r="V411" s="297">
        <v>0</v>
      </c>
      <c r="W411" s="297">
        <v>0</v>
      </c>
      <c r="X411" s="297">
        <v>0</v>
      </c>
      <c r="Y411" s="417">
        <v>1</v>
      </c>
      <c r="Z411" s="417">
        <v>0</v>
      </c>
      <c r="AA411" s="417">
        <v>0</v>
      </c>
      <c r="AB411" s="412"/>
      <c r="AC411" s="412"/>
      <c r="AD411" s="412"/>
      <c r="AE411" s="412"/>
      <c r="AF411" s="412"/>
      <c r="AG411" s="412"/>
      <c r="AH411" s="412"/>
      <c r="AI411" s="412"/>
      <c r="AJ411" s="412"/>
      <c r="AK411" s="412"/>
      <c r="AL411" s="412"/>
      <c r="AM411" s="298">
        <f>SUM(Y411:AL411)</f>
        <v>1</v>
      </c>
    </row>
    <row r="412" spans="1:40" ht="15" hidden="1" outlineLevel="1">
      <c r="B412" s="296" t="s">
        <v>261</v>
      </c>
      <c r="C412" s="293" t="s">
        <v>164</v>
      </c>
      <c r="D412" s="297"/>
      <c r="E412" s="297"/>
      <c r="F412" s="297"/>
      <c r="G412" s="297"/>
      <c r="H412" s="297"/>
      <c r="I412" s="297"/>
      <c r="J412" s="297"/>
      <c r="K412" s="297"/>
      <c r="L412" s="297"/>
      <c r="M412" s="297"/>
      <c r="N412" s="469"/>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hidden="1" outlineLevel="1">
      <c r="A413" s="511"/>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hidden="1" outlineLevel="1">
      <c r="A414" s="509">
        <v>3</v>
      </c>
      <c r="B414" s="296" t="s">
        <v>3</v>
      </c>
      <c r="C414" s="293" t="s">
        <v>25</v>
      </c>
      <c r="D414" s="297">
        <v>83687.272644498473</v>
      </c>
      <c r="E414" s="297">
        <v>83687.272644498473</v>
      </c>
      <c r="F414" s="297">
        <v>83687.272644498473</v>
      </c>
      <c r="G414" s="297">
        <v>83687.272644498473</v>
      </c>
      <c r="H414" s="297">
        <v>83687.272644498473</v>
      </c>
      <c r="I414" s="297">
        <v>83687.272644498473</v>
      </c>
      <c r="J414" s="297">
        <v>83687.272644498473</v>
      </c>
      <c r="K414" s="297">
        <v>83687.272644498473</v>
      </c>
      <c r="L414" s="297">
        <v>83687.272644498473</v>
      </c>
      <c r="M414" s="297">
        <v>83687.272644498473</v>
      </c>
      <c r="N414" s="293"/>
      <c r="O414" s="297">
        <v>44.894053371686638</v>
      </c>
      <c r="P414" s="297">
        <v>44.894053371686638</v>
      </c>
      <c r="Q414" s="297">
        <v>44.894053371686638</v>
      </c>
      <c r="R414" s="297">
        <v>44.894053371686638</v>
      </c>
      <c r="S414" s="297">
        <v>44.894053371686638</v>
      </c>
      <c r="T414" s="297">
        <v>44.894053371686638</v>
      </c>
      <c r="U414" s="297">
        <v>44.894053371686638</v>
      </c>
      <c r="V414" s="297">
        <v>44.894053371686638</v>
      </c>
      <c r="W414" s="297">
        <v>44.894053371686638</v>
      </c>
      <c r="X414" s="297">
        <v>44.894053371686638</v>
      </c>
      <c r="Y414" s="417">
        <v>1</v>
      </c>
      <c r="Z414" s="417">
        <v>0</v>
      </c>
      <c r="AA414" s="417">
        <v>0</v>
      </c>
      <c r="AB414" s="412"/>
      <c r="AC414" s="412"/>
      <c r="AD414" s="412"/>
      <c r="AE414" s="412"/>
      <c r="AF414" s="412"/>
      <c r="AG414" s="412"/>
      <c r="AH414" s="412"/>
      <c r="AI414" s="412"/>
      <c r="AJ414" s="412"/>
      <c r="AK414" s="412"/>
      <c r="AL414" s="412"/>
      <c r="AM414" s="298">
        <f>SUM(Y414:AL414)</f>
        <v>1</v>
      </c>
    </row>
    <row r="415" spans="1:40" ht="15" hidden="1" outlineLevel="1">
      <c r="B415" s="296" t="s">
        <v>261</v>
      </c>
      <c r="C415" s="293" t="s">
        <v>164</v>
      </c>
      <c r="D415" s="297"/>
      <c r="E415" s="297"/>
      <c r="F415" s="297"/>
      <c r="G415" s="297"/>
      <c r="H415" s="297"/>
      <c r="I415" s="297"/>
      <c r="J415" s="297"/>
      <c r="K415" s="297"/>
      <c r="L415" s="297"/>
      <c r="M415" s="297"/>
      <c r="N415" s="469"/>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hidden="1"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hidden="1" outlineLevel="1">
      <c r="A417" s="509">
        <v>4</v>
      </c>
      <c r="B417" s="296" t="s">
        <v>4</v>
      </c>
      <c r="C417" s="293" t="s">
        <v>25</v>
      </c>
      <c r="D417" s="297">
        <v>89961.535225374697</v>
      </c>
      <c r="E417" s="297">
        <v>83924.710130673979</v>
      </c>
      <c r="F417" s="297">
        <v>81007.343504348275</v>
      </c>
      <c r="G417" s="297">
        <v>81007.343504348275</v>
      </c>
      <c r="H417" s="297">
        <v>81007.343504348275</v>
      </c>
      <c r="I417" s="297">
        <v>81007.343504348275</v>
      </c>
      <c r="J417" s="297">
        <v>81007.343504348275</v>
      </c>
      <c r="K417" s="297">
        <v>77530.583189075332</v>
      </c>
      <c r="L417" s="297">
        <v>77530.583189075332</v>
      </c>
      <c r="M417" s="297">
        <v>64232.622558398536</v>
      </c>
      <c r="N417" s="293"/>
      <c r="O417" s="297">
        <v>6.6167255093147945</v>
      </c>
      <c r="P417" s="297">
        <v>6.2377499350464882</v>
      </c>
      <c r="Q417" s="297">
        <v>6.0546055379140444</v>
      </c>
      <c r="R417" s="297">
        <v>6.0546055379140444</v>
      </c>
      <c r="S417" s="297">
        <v>6.0546055379140444</v>
      </c>
      <c r="T417" s="297">
        <v>6.0546055379140444</v>
      </c>
      <c r="U417" s="297">
        <v>6.0546055379140444</v>
      </c>
      <c r="V417" s="297">
        <v>5.8291274139485685</v>
      </c>
      <c r="W417" s="297">
        <v>5.8291274139485685</v>
      </c>
      <c r="X417" s="297">
        <v>4.9937842348215291</v>
      </c>
      <c r="Y417" s="417">
        <v>1</v>
      </c>
      <c r="Z417" s="417">
        <v>0</v>
      </c>
      <c r="AA417" s="417">
        <v>0</v>
      </c>
      <c r="AB417" s="412"/>
      <c r="AC417" s="412"/>
      <c r="AD417" s="412"/>
      <c r="AE417" s="412"/>
      <c r="AF417" s="412"/>
      <c r="AG417" s="412"/>
      <c r="AH417" s="412"/>
      <c r="AI417" s="412"/>
      <c r="AJ417" s="412"/>
      <c r="AK417" s="412"/>
      <c r="AL417" s="412"/>
      <c r="AM417" s="298">
        <f>SUM(Y417:AL417)</f>
        <v>1</v>
      </c>
    </row>
    <row r="418" spans="1:39" ht="15" hidden="1" outlineLevel="1">
      <c r="B418" s="296" t="s">
        <v>261</v>
      </c>
      <c r="C418" s="293" t="s">
        <v>164</v>
      </c>
      <c r="D418" s="297"/>
      <c r="E418" s="297"/>
      <c r="F418" s="297"/>
      <c r="G418" s="297"/>
      <c r="H418" s="297"/>
      <c r="I418" s="297"/>
      <c r="J418" s="297"/>
      <c r="K418" s="297"/>
      <c r="L418" s="297"/>
      <c r="M418" s="297"/>
      <c r="N418" s="469"/>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hidden="1"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hidden="1" outlineLevel="1">
      <c r="A420" s="509">
        <v>5</v>
      </c>
      <c r="B420" s="296" t="s">
        <v>5</v>
      </c>
      <c r="C420" s="293" t="s">
        <v>25</v>
      </c>
      <c r="D420" s="297">
        <v>351226.18611423316</v>
      </c>
      <c r="E420" s="297">
        <v>304685.00632323849</v>
      </c>
      <c r="F420" s="297">
        <v>280430.3204001548</v>
      </c>
      <c r="G420" s="297">
        <v>280430.3204001548</v>
      </c>
      <c r="H420" s="297">
        <v>280430.3204001548</v>
      </c>
      <c r="I420" s="297">
        <v>280430.3204001548</v>
      </c>
      <c r="J420" s="297">
        <v>280430.3204001548</v>
      </c>
      <c r="K420" s="297">
        <v>280308.84224234865</v>
      </c>
      <c r="L420" s="297">
        <v>280308.84224234865</v>
      </c>
      <c r="M420" s="297">
        <v>260702.79631923485</v>
      </c>
      <c r="N420" s="293"/>
      <c r="O420" s="297">
        <v>22.986101298954747</v>
      </c>
      <c r="P420" s="297">
        <v>20.064371737185652</v>
      </c>
      <c r="Q420" s="297">
        <v>18.541728065685724</v>
      </c>
      <c r="R420" s="297">
        <v>18.541728065685724</v>
      </c>
      <c r="S420" s="297">
        <v>18.541728065685724</v>
      </c>
      <c r="T420" s="297">
        <v>18.541728065685724</v>
      </c>
      <c r="U420" s="297">
        <v>18.541728065685724</v>
      </c>
      <c r="V420" s="297">
        <v>18.527860696073152</v>
      </c>
      <c r="W420" s="297">
        <v>18.527860696073152</v>
      </c>
      <c r="X420" s="297">
        <v>17.297046088016131</v>
      </c>
      <c r="Y420" s="417">
        <v>1</v>
      </c>
      <c r="Z420" s="417">
        <v>0</v>
      </c>
      <c r="AA420" s="417">
        <v>0</v>
      </c>
      <c r="AB420" s="412"/>
      <c r="AC420" s="412"/>
      <c r="AD420" s="412"/>
      <c r="AE420" s="412"/>
      <c r="AF420" s="412"/>
      <c r="AG420" s="412"/>
      <c r="AH420" s="412"/>
      <c r="AI420" s="412"/>
      <c r="AJ420" s="412"/>
      <c r="AK420" s="412"/>
      <c r="AL420" s="412"/>
      <c r="AM420" s="298">
        <f>SUM(Y420:AL420)</f>
        <v>1</v>
      </c>
    </row>
    <row r="421" spans="1:39" ht="15" hidden="1" outlineLevel="1">
      <c r="B421" s="296" t="s">
        <v>261</v>
      </c>
      <c r="C421" s="293" t="s">
        <v>164</v>
      </c>
      <c r="D421" s="297"/>
      <c r="E421" s="297"/>
      <c r="F421" s="297"/>
      <c r="G421" s="297"/>
      <c r="H421" s="297"/>
      <c r="I421" s="297"/>
      <c r="J421" s="297"/>
      <c r="K421" s="297"/>
      <c r="L421" s="297"/>
      <c r="M421" s="297"/>
      <c r="N421" s="469"/>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hidden="1"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hidden="1" outlineLevel="1">
      <c r="A423" s="509">
        <v>6</v>
      </c>
      <c r="B423" s="296" t="s">
        <v>6</v>
      </c>
      <c r="C423" s="293" t="s">
        <v>25</v>
      </c>
      <c r="D423" s="297" t="s">
        <v>710</v>
      </c>
      <c r="E423" s="297" t="s">
        <v>710</v>
      </c>
      <c r="F423" s="297" t="s">
        <v>710</v>
      </c>
      <c r="G423" s="297" t="s">
        <v>710</v>
      </c>
      <c r="H423" s="297" t="s">
        <v>710</v>
      </c>
      <c r="I423" s="297" t="s">
        <v>710</v>
      </c>
      <c r="J423" s="297" t="s">
        <v>710</v>
      </c>
      <c r="K423" s="297" t="s">
        <v>710</v>
      </c>
      <c r="L423" s="297" t="s">
        <v>710</v>
      </c>
      <c r="M423" s="297" t="s">
        <v>710</v>
      </c>
      <c r="N423" s="293"/>
      <c r="O423" s="297" t="s">
        <v>710</v>
      </c>
      <c r="P423" s="297" t="s">
        <v>710</v>
      </c>
      <c r="Q423" s="297" t="s">
        <v>710</v>
      </c>
      <c r="R423" s="297" t="s">
        <v>710</v>
      </c>
      <c r="S423" s="297" t="s">
        <v>710</v>
      </c>
      <c r="T423" s="297" t="s">
        <v>710</v>
      </c>
      <c r="U423" s="297" t="s">
        <v>710</v>
      </c>
      <c r="V423" s="297" t="s">
        <v>710</v>
      </c>
      <c r="W423" s="297" t="s">
        <v>710</v>
      </c>
      <c r="X423" s="297" t="s">
        <v>710</v>
      </c>
      <c r="Y423" s="412"/>
      <c r="Z423" s="412"/>
      <c r="AA423" s="412"/>
      <c r="AB423" s="412"/>
      <c r="AC423" s="412"/>
      <c r="AD423" s="412"/>
      <c r="AE423" s="412"/>
      <c r="AF423" s="412"/>
      <c r="AG423" s="412"/>
      <c r="AH423" s="412"/>
      <c r="AI423" s="412"/>
      <c r="AJ423" s="412"/>
      <c r="AK423" s="412"/>
      <c r="AL423" s="412"/>
      <c r="AM423" s="298">
        <f>SUM(Y423:AL423)</f>
        <v>0</v>
      </c>
    </row>
    <row r="424" spans="1:39" ht="15" hidden="1" outlineLevel="1">
      <c r="B424" s="296" t="s">
        <v>261</v>
      </c>
      <c r="C424" s="293" t="s">
        <v>164</v>
      </c>
      <c r="D424" s="297"/>
      <c r="E424" s="297"/>
      <c r="F424" s="297"/>
      <c r="G424" s="297"/>
      <c r="H424" s="297"/>
      <c r="I424" s="297"/>
      <c r="J424" s="297"/>
      <c r="K424" s="297"/>
      <c r="L424" s="297"/>
      <c r="M424" s="297"/>
      <c r="N424" s="469"/>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hidden="1"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hidden="1" outlineLevel="1">
      <c r="A426" s="509">
        <v>7</v>
      </c>
      <c r="B426" s="296" t="s">
        <v>42</v>
      </c>
      <c r="C426" s="293" t="s">
        <v>25</v>
      </c>
      <c r="D426" s="297">
        <v>0</v>
      </c>
      <c r="E426" s="297">
        <v>0</v>
      </c>
      <c r="F426" s="297">
        <v>0</v>
      </c>
      <c r="G426" s="297">
        <v>0</v>
      </c>
      <c r="H426" s="297">
        <v>0</v>
      </c>
      <c r="I426" s="297">
        <v>0</v>
      </c>
      <c r="J426" s="297">
        <v>0</v>
      </c>
      <c r="K426" s="297">
        <v>0</v>
      </c>
      <c r="L426" s="297">
        <v>0</v>
      </c>
      <c r="M426" s="297">
        <v>0</v>
      </c>
      <c r="N426" s="293"/>
      <c r="O426" s="297">
        <v>279</v>
      </c>
      <c r="P426" s="297">
        <v>0</v>
      </c>
      <c r="Q426" s="297">
        <v>0</v>
      </c>
      <c r="R426" s="297">
        <v>0</v>
      </c>
      <c r="S426" s="297">
        <v>0</v>
      </c>
      <c r="T426" s="297">
        <v>0</v>
      </c>
      <c r="U426" s="297">
        <v>0</v>
      </c>
      <c r="V426" s="297">
        <v>0</v>
      </c>
      <c r="W426" s="297">
        <v>0</v>
      </c>
      <c r="X426" s="297">
        <v>0</v>
      </c>
      <c r="Y426" s="412">
        <v>1</v>
      </c>
      <c r="Z426" s="412">
        <v>0</v>
      </c>
      <c r="AA426" s="412">
        <v>0</v>
      </c>
      <c r="AB426" s="412"/>
      <c r="AC426" s="412"/>
      <c r="AD426" s="412"/>
      <c r="AE426" s="412"/>
      <c r="AF426" s="412"/>
      <c r="AG426" s="412"/>
      <c r="AH426" s="412"/>
      <c r="AI426" s="412"/>
      <c r="AJ426" s="412"/>
      <c r="AK426" s="412"/>
      <c r="AL426" s="412"/>
      <c r="AM426" s="298">
        <f>SUM(Y426:AL426)</f>
        <v>1</v>
      </c>
    </row>
    <row r="427" spans="1:39" ht="15" hidden="1" outlineLevel="1">
      <c r="B427" s="296" t="s">
        <v>261</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1</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hidden="1"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hidden="1" outlineLevel="1">
      <c r="A429" s="509">
        <v>8</v>
      </c>
      <c r="B429" s="296" t="s">
        <v>488</v>
      </c>
      <c r="C429" s="293" t="s">
        <v>25</v>
      </c>
      <c r="D429" s="297" t="s">
        <v>710</v>
      </c>
      <c r="E429" s="297" t="s">
        <v>710</v>
      </c>
      <c r="F429" s="297" t="s">
        <v>710</v>
      </c>
      <c r="G429" s="297" t="s">
        <v>710</v>
      </c>
      <c r="H429" s="297" t="s">
        <v>710</v>
      </c>
      <c r="I429" s="297" t="s">
        <v>710</v>
      </c>
      <c r="J429" s="297" t="s">
        <v>710</v>
      </c>
      <c r="K429" s="297" t="s">
        <v>710</v>
      </c>
      <c r="L429" s="297" t="s">
        <v>710</v>
      </c>
      <c r="M429" s="297" t="s">
        <v>710</v>
      </c>
      <c r="N429" s="293"/>
      <c r="O429" s="297" t="s">
        <v>710</v>
      </c>
      <c r="P429" s="297" t="s">
        <v>710</v>
      </c>
      <c r="Q429" s="297" t="s">
        <v>710</v>
      </c>
      <c r="R429" s="297" t="s">
        <v>710</v>
      </c>
      <c r="S429" s="297" t="s">
        <v>710</v>
      </c>
      <c r="T429" s="297" t="s">
        <v>710</v>
      </c>
      <c r="U429" s="297" t="s">
        <v>710</v>
      </c>
      <c r="V429" s="297" t="s">
        <v>710</v>
      </c>
      <c r="W429" s="297" t="s">
        <v>710</v>
      </c>
      <c r="X429" s="297" t="s">
        <v>710</v>
      </c>
      <c r="Y429" s="412"/>
      <c r="Z429" s="412"/>
      <c r="AA429" s="412"/>
      <c r="AB429" s="412"/>
      <c r="AC429" s="412"/>
      <c r="AD429" s="412"/>
      <c r="AE429" s="412"/>
      <c r="AF429" s="412"/>
      <c r="AG429" s="412"/>
      <c r="AH429" s="412"/>
      <c r="AI429" s="412"/>
      <c r="AJ429" s="412"/>
      <c r="AK429" s="412"/>
      <c r="AL429" s="412"/>
      <c r="AM429" s="298">
        <f>SUM(Y429:AL429)</f>
        <v>0</v>
      </c>
    </row>
    <row r="430" spans="1:39" s="285" customFormat="1" ht="15" hidden="1" outlineLevel="1">
      <c r="A430" s="509"/>
      <c r="B430" s="296" t="s">
        <v>261</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hidden="1" outlineLevel="1">
      <c r="A431" s="509"/>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hidden="1" outlineLevel="1">
      <c r="A432" s="509">
        <v>9</v>
      </c>
      <c r="B432" s="296" t="s">
        <v>7</v>
      </c>
      <c r="C432" s="293" t="s">
        <v>25</v>
      </c>
      <c r="D432" s="297" t="s">
        <v>710</v>
      </c>
      <c r="E432" s="297" t="s">
        <v>710</v>
      </c>
      <c r="F432" s="297" t="s">
        <v>710</v>
      </c>
      <c r="G432" s="297" t="s">
        <v>710</v>
      </c>
      <c r="H432" s="297" t="s">
        <v>710</v>
      </c>
      <c r="I432" s="297" t="s">
        <v>710</v>
      </c>
      <c r="J432" s="297" t="s">
        <v>710</v>
      </c>
      <c r="K432" s="297" t="s">
        <v>710</v>
      </c>
      <c r="L432" s="297" t="s">
        <v>710</v>
      </c>
      <c r="M432" s="297" t="s">
        <v>710</v>
      </c>
      <c r="N432" s="293"/>
      <c r="O432" s="297" t="s">
        <v>710</v>
      </c>
      <c r="P432" s="297" t="s">
        <v>710</v>
      </c>
      <c r="Q432" s="297" t="s">
        <v>710</v>
      </c>
      <c r="R432" s="297" t="s">
        <v>710</v>
      </c>
      <c r="S432" s="297" t="s">
        <v>710</v>
      </c>
      <c r="T432" s="297" t="s">
        <v>710</v>
      </c>
      <c r="U432" s="297" t="s">
        <v>710</v>
      </c>
      <c r="V432" s="297" t="s">
        <v>710</v>
      </c>
      <c r="W432" s="297" t="s">
        <v>710</v>
      </c>
      <c r="X432" s="297" t="s">
        <v>710</v>
      </c>
      <c r="Y432" s="412"/>
      <c r="Z432" s="412"/>
      <c r="AA432" s="412"/>
      <c r="AB432" s="412"/>
      <c r="AC432" s="412"/>
      <c r="AD432" s="412"/>
      <c r="AE432" s="412"/>
      <c r="AF432" s="412"/>
      <c r="AG432" s="412"/>
      <c r="AH432" s="412"/>
      <c r="AI432" s="412"/>
      <c r="AJ432" s="412"/>
      <c r="AK432" s="412"/>
      <c r="AL432" s="412"/>
      <c r="AM432" s="298">
        <f>SUM(Y432:AL432)</f>
        <v>0</v>
      </c>
    </row>
    <row r="433" spans="1:39" ht="15" hidden="1" outlineLevel="1">
      <c r="B433" s="296" t="s">
        <v>261</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hidden="1"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hidden="1" outlineLevel="1">
      <c r="A435" s="510"/>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hidden="1" outlineLevel="1">
      <c r="A436" s="509">
        <v>10</v>
      </c>
      <c r="B436" s="312" t="s">
        <v>22</v>
      </c>
      <c r="C436" s="293" t="s">
        <v>25</v>
      </c>
      <c r="D436" s="297">
        <v>552594.79435522202</v>
      </c>
      <c r="E436" s="297">
        <v>551678.52056968457</v>
      </c>
      <c r="F436" s="297">
        <v>551678.52056968457</v>
      </c>
      <c r="G436" s="297">
        <v>541165.49700816954</v>
      </c>
      <c r="H436" s="297">
        <v>541165.49700816954</v>
      </c>
      <c r="I436" s="297">
        <v>541165.49700816954</v>
      </c>
      <c r="J436" s="297">
        <v>529470.61972881772</v>
      </c>
      <c r="K436" s="297">
        <v>529470.61972881772</v>
      </c>
      <c r="L436" s="297">
        <v>526821.64176762477</v>
      </c>
      <c r="M436" s="297">
        <v>476661.55142668163</v>
      </c>
      <c r="N436" s="297">
        <v>12</v>
      </c>
      <c r="O436" s="297">
        <v>83.101029357371075</v>
      </c>
      <c r="P436" s="297">
        <v>82.83799597055625</v>
      </c>
      <c r="Q436" s="297">
        <v>82.83799597055625</v>
      </c>
      <c r="R436" s="297">
        <v>79.820037542958829</v>
      </c>
      <c r="S436" s="297">
        <v>79.820037542958829</v>
      </c>
      <c r="T436" s="297">
        <v>79.820037542958829</v>
      </c>
      <c r="U436" s="297">
        <v>78.208603564165131</v>
      </c>
      <c r="V436" s="297">
        <v>78.208603564165131</v>
      </c>
      <c r="W436" s="297">
        <v>77.414195063849178</v>
      </c>
      <c r="X436" s="297">
        <v>70.587378159759226</v>
      </c>
      <c r="Y436" s="417">
        <v>0</v>
      </c>
      <c r="Z436" s="417">
        <v>0.76245730345213891</v>
      </c>
      <c r="AA436" s="417">
        <v>0.23754269654786117</v>
      </c>
      <c r="AB436" s="470"/>
      <c r="AC436" s="417"/>
      <c r="AD436" s="417"/>
      <c r="AE436" s="417"/>
      <c r="AF436" s="417"/>
      <c r="AG436" s="417"/>
      <c r="AH436" s="417"/>
      <c r="AI436" s="417"/>
      <c r="AJ436" s="417"/>
      <c r="AK436" s="417"/>
      <c r="AL436" s="417"/>
      <c r="AM436" s="298">
        <f>SUM(Y436:AL436)</f>
        <v>1</v>
      </c>
    </row>
    <row r="437" spans="1:39" ht="15" hidden="1" outlineLevel="1">
      <c r="B437" s="296" t="s">
        <v>261</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0.76245730345213891</v>
      </c>
      <c r="AA437" s="413">
        <f t="shared" ref="AA437:AL437" si="127">AA436</f>
        <v>0.23754269654786117</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hidden="1"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hidden="1" outlineLevel="1">
      <c r="A439" s="509">
        <v>11</v>
      </c>
      <c r="B439" s="316" t="s">
        <v>21</v>
      </c>
      <c r="C439" s="293" t="s">
        <v>25</v>
      </c>
      <c r="D439" s="297">
        <v>992786.09652314859</v>
      </c>
      <c r="E439" s="297">
        <v>989532.81157215475</v>
      </c>
      <c r="F439" s="297">
        <v>664982.44568356324</v>
      </c>
      <c r="G439" s="297">
        <v>605510.42184878653</v>
      </c>
      <c r="H439" s="297">
        <v>605510.42184878653</v>
      </c>
      <c r="I439" s="297">
        <v>605510.42184878653</v>
      </c>
      <c r="J439" s="297">
        <v>605510.42184878653</v>
      </c>
      <c r="K439" s="297">
        <v>605510.42184878653</v>
      </c>
      <c r="L439" s="297">
        <v>605510.42184878653</v>
      </c>
      <c r="M439" s="297">
        <v>605510.42184878653</v>
      </c>
      <c r="N439" s="297">
        <v>12</v>
      </c>
      <c r="O439" s="297">
        <v>277.1682909162646</v>
      </c>
      <c r="P439" s="297">
        <v>276.23313329525052</v>
      </c>
      <c r="Q439" s="297">
        <v>183.89620350297886</v>
      </c>
      <c r="R439" s="297">
        <v>166.5157575141879</v>
      </c>
      <c r="S439" s="297">
        <v>166.5157575141879</v>
      </c>
      <c r="T439" s="297">
        <v>166.5157575141879</v>
      </c>
      <c r="U439" s="297">
        <v>166.5157575141879</v>
      </c>
      <c r="V439" s="297">
        <v>166.5157575141879</v>
      </c>
      <c r="W439" s="297">
        <v>166.5157575141879</v>
      </c>
      <c r="X439" s="297">
        <v>166.5157575141879</v>
      </c>
      <c r="Y439" s="417">
        <v>0</v>
      </c>
      <c r="Z439" s="417">
        <v>1</v>
      </c>
      <c r="AA439" s="417">
        <v>0</v>
      </c>
      <c r="AB439" s="417"/>
      <c r="AC439" s="417"/>
      <c r="AD439" s="417"/>
      <c r="AE439" s="417"/>
      <c r="AF439" s="417"/>
      <c r="AG439" s="417"/>
      <c r="AH439" s="417"/>
      <c r="AI439" s="417"/>
      <c r="AJ439" s="417"/>
      <c r="AK439" s="417"/>
      <c r="AL439" s="417"/>
      <c r="AM439" s="298">
        <f>SUM(Y439:AL439)</f>
        <v>1</v>
      </c>
    </row>
    <row r="440" spans="1:39" ht="15" hidden="1" outlineLevel="1">
      <c r="B440" s="296" t="s">
        <v>261</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hidden="1"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hidden="1" outlineLevel="1">
      <c r="A442" s="509">
        <v>12</v>
      </c>
      <c r="B442" s="316" t="s">
        <v>23</v>
      </c>
      <c r="C442" s="293" t="s">
        <v>25</v>
      </c>
      <c r="D442" s="297" t="s">
        <v>710</v>
      </c>
      <c r="E442" s="297" t="s">
        <v>710</v>
      </c>
      <c r="F442" s="297" t="s">
        <v>710</v>
      </c>
      <c r="G442" s="297" t="s">
        <v>710</v>
      </c>
      <c r="H442" s="297" t="s">
        <v>710</v>
      </c>
      <c r="I442" s="297" t="s">
        <v>710</v>
      </c>
      <c r="J442" s="297" t="s">
        <v>710</v>
      </c>
      <c r="K442" s="297" t="s">
        <v>710</v>
      </c>
      <c r="L442" s="297" t="s">
        <v>710</v>
      </c>
      <c r="M442" s="297" t="s">
        <v>710</v>
      </c>
      <c r="N442" s="297">
        <v>3</v>
      </c>
      <c r="O442" s="297"/>
      <c r="P442" s="297"/>
      <c r="Q442" s="297"/>
      <c r="R442" s="297"/>
      <c r="S442" s="297"/>
      <c r="T442" s="297"/>
      <c r="U442" s="297"/>
      <c r="V442" s="297"/>
      <c r="W442" s="297"/>
      <c r="X442" s="297"/>
      <c r="Y442" s="417"/>
      <c r="Z442" s="417"/>
      <c r="AA442" s="470"/>
      <c r="AB442" s="417"/>
      <c r="AC442" s="417"/>
      <c r="AD442" s="417"/>
      <c r="AE442" s="417"/>
      <c r="AF442" s="417"/>
      <c r="AG442" s="417"/>
      <c r="AH442" s="417"/>
      <c r="AI442" s="417"/>
      <c r="AJ442" s="417"/>
      <c r="AK442" s="417"/>
      <c r="AL442" s="417"/>
      <c r="AM442" s="298">
        <f>SUM(Y442:AL442)</f>
        <v>0</v>
      </c>
    </row>
    <row r="443" spans="1:39" ht="15" hidden="1" outlineLevel="1">
      <c r="B443" s="296" t="s">
        <v>261</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hidden="1"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hidden="1" outlineLevel="1">
      <c r="A445" s="509">
        <v>13</v>
      </c>
      <c r="B445" s="316" t="s">
        <v>24</v>
      </c>
      <c r="C445" s="293" t="s">
        <v>25</v>
      </c>
      <c r="D445" s="297" t="s">
        <v>710</v>
      </c>
      <c r="E445" s="297" t="s">
        <v>710</v>
      </c>
      <c r="F445" s="297" t="s">
        <v>710</v>
      </c>
      <c r="G445" s="297" t="s">
        <v>710</v>
      </c>
      <c r="H445" s="297" t="s">
        <v>710</v>
      </c>
      <c r="I445" s="297" t="s">
        <v>710</v>
      </c>
      <c r="J445" s="297" t="s">
        <v>710</v>
      </c>
      <c r="K445" s="297" t="s">
        <v>710</v>
      </c>
      <c r="L445" s="297" t="s">
        <v>710</v>
      </c>
      <c r="M445" s="297" t="s">
        <v>710</v>
      </c>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hidden="1" outlineLevel="1">
      <c r="B446" s="296" t="s">
        <v>261</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hidden="1"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hidden="1" outlineLevel="1">
      <c r="A448" s="509">
        <v>14</v>
      </c>
      <c r="B448" s="316" t="s">
        <v>20</v>
      </c>
      <c r="C448" s="293" t="s">
        <v>25</v>
      </c>
      <c r="D448" s="297">
        <v>195820.71016667038</v>
      </c>
      <c r="E448" s="297">
        <v>195820.71016667038</v>
      </c>
      <c r="F448" s="297">
        <v>195820.71016667038</v>
      </c>
      <c r="G448" s="297">
        <v>195820.71016667038</v>
      </c>
      <c r="H448" s="297">
        <v>0</v>
      </c>
      <c r="I448" s="297">
        <v>0</v>
      </c>
      <c r="J448" s="297">
        <v>0</v>
      </c>
      <c r="K448" s="297">
        <v>0</v>
      </c>
      <c r="L448" s="297">
        <v>0</v>
      </c>
      <c r="M448" s="297">
        <v>0</v>
      </c>
      <c r="N448" s="297">
        <v>12</v>
      </c>
      <c r="O448" s="297">
        <v>40.100791547459252</v>
      </c>
      <c r="P448" s="297">
        <v>40.100791547459252</v>
      </c>
      <c r="Q448" s="297">
        <v>40.100791547459252</v>
      </c>
      <c r="R448" s="297">
        <v>40.100791547459252</v>
      </c>
      <c r="S448" s="297">
        <v>0</v>
      </c>
      <c r="T448" s="297">
        <v>0</v>
      </c>
      <c r="U448" s="297">
        <v>0</v>
      </c>
      <c r="V448" s="297">
        <v>0</v>
      </c>
      <c r="W448" s="297">
        <v>0</v>
      </c>
      <c r="X448" s="297">
        <v>0</v>
      </c>
      <c r="Y448" s="417">
        <v>0</v>
      </c>
      <c r="Z448" s="417">
        <v>0</v>
      </c>
      <c r="AA448" s="417">
        <v>1</v>
      </c>
      <c r="AB448" s="417"/>
      <c r="AC448" s="417"/>
      <c r="AD448" s="417"/>
      <c r="AE448" s="417"/>
      <c r="AF448" s="417"/>
      <c r="AG448" s="417"/>
      <c r="AH448" s="417"/>
      <c r="AI448" s="417"/>
      <c r="AJ448" s="417"/>
      <c r="AK448" s="417"/>
      <c r="AL448" s="417"/>
      <c r="AM448" s="298">
        <f>SUM(Y448:AL448)</f>
        <v>1</v>
      </c>
    </row>
    <row r="449" spans="1:39" ht="15" hidden="1" outlineLevel="1">
      <c r="B449" s="296" t="s">
        <v>261</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1</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hidden="1"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hidden="1" outlineLevel="1">
      <c r="A451" s="509">
        <v>15</v>
      </c>
      <c r="B451" s="316" t="s">
        <v>489</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hidden="1" outlineLevel="1">
      <c r="A452" s="509"/>
      <c r="B452" s="316" t="s">
        <v>261</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hidden="1" outlineLevel="1">
      <c r="A453" s="509"/>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hidden="1" outlineLevel="1">
      <c r="A454" s="509">
        <v>16</v>
      </c>
      <c r="B454" s="316" t="s">
        <v>490</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hidden="1" outlineLevel="1">
      <c r="A455" s="509"/>
      <c r="B455" s="316" t="s">
        <v>261</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hidden="1" outlineLevel="1">
      <c r="A456" s="509"/>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hidden="1" outlineLevel="1">
      <c r="A457" s="509">
        <v>17</v>
      </c>
      <c r="B457" s="316" t="s">
        <v>9</v>
      </c>
      <c r="C457" s="293" t="s">
        <v>25</v>
      </c>
      <c r="D457" s="297"/>
      <c r="E457" s="297"/>
      <c r="F457" s="297"/>
      <c r="G457" s="297"/>
      <c r="H457" s="297"/>
      <c r="I457" s="297"/>
      <c r="J457" s="297"/>
      <c r="K457" s="297"/>
      <c r="L457" s="297"/>
      <c r="M457" s="297"/>
      <c r="N457" s="293"/>
      <c r="O457" s="297">
        <v>35</v>
      </c>
      <c r="P457" s="297">
        <v>0</v>
      </c>
      <c r="Q457" s="297">
        <v>0</v>
      </c>
      <c r="R457" s="297">
        <v>0</v>
      </c>
      <c r="S457" s="297">
        <v>0</v>
      </c>
      <c r="T457" s="297">
        <v>0</v>
      </c>
      <c r="U457" s="297">
        <v>0</v>
      </c>
      <c r="V457" s="297">
        <v>0</v>
      </c>
      <c r="W457" s="297">
        <v>0</v>
      </c>
      <c r="X457" s="297">
        <v>0</v>
      </c>
      <c r="Y457" s="417">
        <v>0</v>
      </c>
      <c r="Z457" s="417">
        <v>0</v>
      </c>
      <c r="AA457" s="417">
        <v>1</v>
      </c>
      <c r="AB457" s="417"/>
      <c r="AC457" s="417"/>
      <c r="AD457" s="417"/>
      <c r="AE457" s="417"/>
      <c r="AF457" s="417"/>
      <c r="AG457" s="417"/>
      <c r="AH457" s="417"/>
      <c r="AI457" s="417"/>
      <c r="AJ457" s="417"/>
      <c r="AK457" s="417"/>
      <c r="AL457" s="417"/>
      <c r="AM457" s="298">
        <f>SUM(Y457:AL457)</f>
        <v>1</v>
      </c>
    </row>
    <row r="458" spans="1:39" ht="15" hidden="1" outlineLevel="1">
      <c r="B458" s="296" t="s">
        <v>261</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1</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hidden="1"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hidden="1" outlineLevel="1">
      <c r="A460" s="510"/>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hidden="1" outlineLevel="1">
      <c r="A461" s="509">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hidden="1" outlineLevel="1">
      <c r="B462" s="296" t="s">
        <v>261</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hidden="1" outlineLevel="1">
      <c r="A463" s="512"/>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hidden="1" outlineLevel="1">
      <c r="A464" s="509">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hidden="1" outlineLevel="1">
      <c r="B465" s="296" t="s">
        <v>261</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hidden="1"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hidden="1" outlineLevel="1">
      <c r="A467" s="509">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hidden="1" outlineLevel="1">
      <c r="B468" s="296" t="s">
        <v>261</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hidden="1"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hidden="1" outlineLevel="1">
      <c r="A470" s="509">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hidden="1" outlineLevel="1">
      <c r="B471" s="296" t="s">
        <v>261</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hidden="1"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hidden="1" outlineLevel="1">
      <c r="A473" s="509">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hidden="1" outlineLevel="1">
      <c r="B474" s="296" t="s">
        <v>261</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hidden="1"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hidden="1" outlineLevel="1">
      <c r="A476" s="510"/>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hidden="1" outlineLevel="1">
      <c r="A477" s="509">
        <v>23</v>
      </c>
      <c r="B477" s="317" t="s">
        <v>14</v>
      </c>
      <c r="C477" s="293" t="s">
        <v>25</v>
      </c>
      <c r="D477" s="297">
        <v>71821.526363372803</v>
      </c>
      <c r="E477" s="297">
        <v>71732.842437744141</v>
      </c>
      <c r="F477" s="297">
        <v>67319.133218765259</v>
      </c>
      <c r="G477" s="297">
        <v>65467.014835357666</v>
      </c>
      <c r="H477" s="297">
        <v>63318.990867614746</v>
      </c>
      <c r="I477" s="297">
        <v>63318.990867614746</v>
      </c>
      <c r="J477" s="297">
        <v>61398.427192687988</v>
      </c>
      <c r="K477" s="297">
        <v>60095.036655426025</v>
      </c>
      <c r="L477" s="297">
        <v>42588.378021240234</v>
      </c>
      <c r="M477" s="297">
        <v>42271.378021240234</v>
      </c>
      <c r="N477" s="293"/>
      <c r="O477" s="297">
        <v>14.833026640349999</v>
      </c>
      <c r="P477" s="297">
        <v>14.828472601715475</v>
      </c>
      <c r="Q477" s="297">
        <v>14.598775725578889</v>
      </c>
      <c r="R477" s="297">
        <v>14.502143433317542</v>
      </c>
      <c r="S477" s="297">
        <v>14.405511146178469</v>
      </c>
      <c r="T477" s="297">
        <v>14.405511146178469</v>
      </c>
      <c r="U477" s="297">
        <v>14.305396658135578</v>
      </c>
      <c r="V477" s="297">
        <v>14.305396658135578</v>
      </c>
      <c r="W477" s="297">
        <v>13.39425254939124</v>
      </c>
      <c r="X477" s="297">
        <v>13.054852541070431</v>
      </c>
      <c r="Y477" s="417">
        <v>1</v>
      </c>
      <c r="Z477" s="417">
        <v>0</v>
      </c>
      <c r="AA477" s="417">
        <v>0</v>
      </c>
      <c r="AB477" s="412"/>
      <c r="AC477" s="412"/>
      <c r="AD477" s="412"/>
      <c r="AE477" s="412"/>
      <c r="AF477" s="412"/>
      <c r="AG477" s="412"/>
      <c r="AH477" s="412"/>
      <c r="AI477" s="412"/>
      <c r="AJ477" s="412"/>
      <c r="AK477" s="412"/>
      <c r="AL477" s="412"/>
      <c r="AM477" s="298">
        <f>SUM(Y477:AL477)</f>
        <v>1</v>
      </c>
    </row>
    <row r="478" spans="1:39" ht="15" hidden="1" outlineLevel="1">
      <c r="B478" s="296" t="s">
        <v>261</v>
      </c>
      <c r="C478" s="293" t="s">
        <v>164</v>
      </c>
      <c r="D478" s="297"/>
      <c r="E478" s="297"/>
      <c r="F478" s="297"/>
      <c r="G478" s="297"/>
      <c r="H478" s="297"/>
      <c r="I478" s="297"/>
      <c r="J478" s="297"/>
      <c r="K478" s="297"/>
      <c r="L478" s="297"/>
      <c r="M478" s="297"/>
      <c r="N478" s="469"/>
      <c r="O478" s="297"/>
      <c r="P478" s="297"/>
      <c r="Q478" s="297"/>
      <c r="R478" s="297"/>
      <c r="S478" s="297"/>
      <c r="T478" s="297"/>
      <c r="U478" s="297"/>
      <c r="V478" s="297"/>
      <c r="W478" s="297"/>
      <c r="X478" s="297"/>
      <c r="Y478" s="413">
        <f>Y477</f>
        <v>1</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hidden="1"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hidden="1" outlineLevel="1">
      <c r="A480" s="510"/>
      <c r="B480" s="290" t="s">
        <v>491</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hidden="1" outlineLevel="1">
      <c r="A481" s="509">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hidden="1" outlineLevel="1">
      <c r="A482" s="509"/>
      <c r="B482" s="317" t="s">
        <v>261</v>
      </c>
      <c r="C482" s="293" t="s">
        <v>164</v>
      </c>
      <c r="D482" s="297"/>
      <c r="E482" s="297"/>
      <c r="F482" s="297"/>
      <c r="G482" s="297"/>
      <c r="H482" s="297"/>
      <c r="I482" s="297"/>
      <c r="J482" s="297"/>
      <c r="K482" s="297"/>
      <c r="L482" s="297"/>
      <c r="M482" s="297"/>
      <c r="N482" s="469"/>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hidden="1" outlineLevel="1">
      <c r="A483" s="509"/>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hidden="1" outlineLevel="1">
      <c r="A484" s="509">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hidden="1" outlineLevel="1">
      <c r="A485" s="509"/>
      <c r="B485" s="317" t="s">
        <v>261</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hidden="1" outlineLevel="1">
      <c r="A486" s="509"/>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hidden="1" outlineLevel="1">
      <c r="A487" s="510"/>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hidden="1" outlineLevel="1">
      <c r="A488" s="509">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hidden="1" outlineLevel="1">
      <c r="B489" s="296" t="s">
        <v>261</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hidden="1" outlineLevel="1">
      <c r="A490" s="512"/>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hidden="1" outlineLevel="1">
      <c r="A491" s="509">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hidden="1" outlineLevel="1">
      <c r="B492" s="296" t="s">
        <v>261</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hidden="1" outlineLevel="1">
      <c r="A493" s="512"/>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hidden="1" outlineLevel="1">
      <c r="A494" s="509">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hidden="1" outlineLevel="1">
      <c r="B495" s="296" t="s">
        <v>261</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hidden="1" outlineLevel="1">
      <c r="A496" s="512"/>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hidden="1" outlineLevel="1">
      <c r="A497" s="509">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hidden="1" outlineLevel="1">
      <c r="B498" s="326" t="s">
        <v>261</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hidden="1"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hidden="1" outlineLevel="1">
      <c r="A500" s="509">
        <v>30</v>
      </c>
      <c r="B500" s="316" t="s">
        <v>492</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hidden="1" outlineLevel="1">
      <c r="A501" s="509"/>
      <c r="B501" s="326" t="s">
        <v>261</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hidden="1" outlineLevel="1">
      <c r="A502" s="509"/>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hidden="1" outlineLevel="1">
      <c r="A503" s="509"/>
      <c r="B503" s="290" t="s">
        <v>493</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hidden="1" outlineLevel="1">
      <c r="A504" s="509">
        <v>31</v>
      </c>
      <c r="B504" s="326" t="s">
        <v>494</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hidden="1" outlineLevel="1">
      <c r="A505" s="509"/>
      <c r="B505" s="326" t="s">
        <v>261</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hidden="1" outlineLevel="1">
      <c r="A506" s="509"/>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hidden="1" outlineLevel="1">
      <c r="A507" s="509">
        <v>32</v>
      </c>
      <c r="B507" s="326" t="s">
        <v>495</v>
      </c>
      <c r="C507" s="293" t="s">
        <v>25</v>
      </c>
      <c r="D507" s="297"/>
      <c r="E507" s="297"/>
      <c r="F507" s="297"/>
      <c r="G507" s="297"/>
      <c r="H507" s="297"/>
      <c r="I507" s="297"/>
      <c r="J507" s="297"/>
      <c r="K507" s="297"/>
      <c r="L507" s="297"/>
      <c r="M507" s="297"/>
      <c r="N507" s="297">
        <v>0</v>
      </c>
      <c r="O507" s="297"/>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 hidden="1" outlineLevel="1">
      <c r="A508" s="509"/>
      <c r="B508" s="326" t="s">
        <v>261</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hidden="1" outlineLevel="1">
      <c r="A509" s="509"/>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hidden="1" outlineLevel="1">
      <c r="A510" s="509">
        <v>33</v>
      </c>
      <c r="B510" s="326" t="s">
        <v>496</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hidden="1" outlineLevel="1">
      <c r="A511" s="509"/>
      <c r="B511" s="326" t="s">
        <v>261</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hidden="1"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ollapsed="1">
      <c r="B513" s="329" t="s">
        <v>262</v>
      </c>
      <c r="C513" s="331"/>
      <c r="D513" s="331">
        <f>SUM(D408:D511)</f>
        <v>2372505.7444254863</v>
      </c>
      <c r="E513" s="331"/>
      <c r="F513" s="331"/>
      <c r="G513" s="331"/>
      <c r="H513" s="331"/>
      <c r="I513" s="331"/>
      <c r="J513" s="331"/>
      <c r="K513" s="331"/>
      <c r="L513" s="331"/>
      <c r="M513" s="331"/>
      <c r="N513" s="331"/>
      <c r="O513" s="331">
        <f>SUM(O408:O511)</f>
        <v>811.55935030022306</v>
      </c>
      <c r="P513" s="331"/>
      <c r="Q513" s="331"/>
      <c r="R513" s="331"/>
      <c r="S513" s="331"/>
      <c r="T513" s="331"/>
      <c r="U513" s="331"/>
      <c r="V513" s="331"/>
      <c r="W513" s="331"/>
      <c r="X513" s="331"/>
      <c r="Y513" s="331">
        <f>IF(Y407="kWh",SUMPRODUCT(D408:D511,Y408:Y511))</f>
        <v>631304.1433804452</v>
      </c>
      <c r="Z513" s="331">
        <f>IF(Z407="kWh",SUMPRODUCT(D408:D511,Z408:Z511))</f>
        <v>1414116.0333289204</v>
      </c>
      <c r="AA513" s="331">
        <f>IF(AA407="kW",SUMPRODUCT(N408:N511,O408:O511,AA408:AA511),SUMPRODUCT(D408:D511,AA408:AA511))</f>
        <v>718.09000976294578</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263</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1345003</v>
      </c>
      <c r="Z514" s="330">
        <f>HLOOKUP(Z406,'2. LRAMVA Threshold'!$B$42:$Q$53,6,FALSE)</f>
        <v>543085</v>
      </c>
      <c r="AA514" s="330">
        <f>HLOOKUP(AA406,'2. LRAMVA Threshold'!$B$42:$Q$53,6,FALSE)</f>
        <v>10671</v>
      </c>
      <c r="AB514" s="330">
        <f>HLOOKUP(AB406,'2. LRAMVA Threshold'!$B$42:$Q$53,6,FALSE)</f>
        <v>196</v>
      </c>
      <c r="AC514" s="330">
        <f>HLOOKUP(AC406,'2. LRAMVA Threshold'!$B$42:$Q$53,6,FALSE)</f>
        <v>4684</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1.9699999999999999E-2</v>
      </c>
      <c r="Z516" s="343">
        <f>HLOOKUP(Z$20,'3.  Distribution Rates'!$C$122:$P$133,6,FALSE)</f>
        <v>1.34E-2</v>
      </c>
      <c r="AA516" s="343">
        <f>HLOOKUP(AA$20,'3.  Distribution Rates'!$C$122:$P$133,6,FALSE)</f>
        <v>3.1166999999999998</v>
      </c>
      <c r="AB516" s="343">
        <f>HLOOKUP(AB$20,'3.  Distribution Rates'!$C$122:$P$133,6,FALSE)</f>
        <v>14.521699999999999</v>
      </c>
      <c r="AC516" s="343">
        <f>HLOOKUP(AC$20,'3.  Distribution Rates'!$C$122:$P$133,6,FALSE)</f>
        <v>8.8999999999999999E-3</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5103.227270088465</v>
      </c>
      <c r="Z517" s="380">
        <f t="shared" ref="Z517:AL517" si="151">Z137*Z516</f>
        <v>3115.9555229576486</v>
      </c>
      <c r="AA517" s="380">
        <f t="shared" si="151"/>
        <v>1632.7892628</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29">
        <f>SUM(Y517:AL517)</f>
        <v>9851.9720558461122</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3601.1278531602625</v>
      </c>
      <c r="Z518" s="380">
        <f t="shared" ref="Z518:AL518" si="152">Z266*Z516</f>
        <v>17363.701755628819</v>
      </c>
      <c r="AA518" s="380">
        <f t="shared" si="152"/>
        <v>1472.078952250376</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29">
        <f>SUM(Y518:AL518)</f>
        <v>22436.908561039458</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3656.0236905075035</v>
      </c>
      <c r="Z519" s="380">
        <f t="shared" ref="Z519:AL519" si="153">Z395*Z516</f>
        <v>17326.098728148743</v>
      </c>
      <c r="AA519" s="380">
        <f t="shared" si="153"/>
        <v>886.99601137203831</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29">
        <f>SUM(Y519:AL519)</f>
        <v>21869.118430028284</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12436.69162459477</v>
      </c>
      <c r="Z520" s="380">
        <f t="shared" ref="Z520:AK520" si="154">Z513*Z516</f>
        <v>18949.154846607533</v>
      </c>
      <c r="AA520" s="380">
        <f t="shared" si="154"/>
        <v>2238.0711334281732</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29">
        <f>SUM(Y520:AL520)</f>
        <v>33623.917604630478</v>
      </c>
    </row>
    <row r="521" spans="2:41" ht="15.75">
      <c r="B521" s="351" t="s">
        <v>264</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24797.070438351002</v>
      </c>
      <c r="Z521" s="348">
        <f t="shared" ref="Z521:AK521" si="155">SUM(Z517:Z520)</f>
        <v>56754.910853342742</v>
      </c>
      <c r="AA521" s="348">
        <f t="shared" si="155"/>
        <v>6229.9353598505877</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87781.916651544336</v>
      </c>
    </row>
    <row r="522" spans="2:41" ht="15.75">
      <c r="B522" s="351" t="s">
        <v>265</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26496.559099999999</v>
      </c>
      <c r="Z522" s="349">
        <f t="shared" ref="Z522:AJ522" si="156">Z514*Z516</f>
        <v>7277.3389999999999</v>
      </c>
      <c r="AA522" s="349">
        <f>AA514*AA516</f>
        <v>33258.305699999997</v>
      </c>
      <c r="AB522" s="349">
        <f t="shared" si="156"/>
        <v>2846.2531999999997</v>
      </c>
      <c r="AC522" s="349">
        <f t="shared" si="156"/>
        <v>41.687599999999996</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69920.1446</v>
      </c>
    </row>
    <row r="523" spans="2:41" ht="15.75">
      <c r="B523" s="351" t="s">
        <v>267</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17861.772051544336</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578637.45456912112</v>
      </c>
      <c r="Z526" s="293">
        <f>SUMPRODUCT(E408:E511,Z408:Z511)</f>
        <v>1410164.1287381817</v>
      </c>
      <c r="AA526" s="293">
        <f>IF(AA407="kW",SUMPRODUCT(N408:N511,P408:P511,AA408:AA511),SUMPRODUCT(E408:E511,AA408:AA511))</f>
        <v>717.34022984311252</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547051.6928007328</v>
      </c>
      <c r="Z527" s="293">
        <f>SUMPRODUCT(F408:F511,Z408:Z511)</f>
        <v>1085613.7628495903</v>
      </c>
      <c r="AA527" s="293">
        <f>IF(AA407="kW",SUMPRODUCT(N408:N511,Q408:Q511,AA408:AA511),SUMPRODUCT(F408:F511,AA408:AA511))</f>
        <v>717.34022984311252</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545095.16637071758</v>
      </c>
      <c r="Z528" s="293">
        <f>SUMPRODUCT(G408:G511,Z408:Z511)</f>
        <v>1018126.007418972</v>
      </c>
      <c r="AA528" s="293">
        <f>IF(AA407="kW",SUMPRODUCT(N408:N511,R408:R511,AA408:AA511),SUMPRODUCT(G408:G511,AA408:AA511))</f>
        <v>708.73750204758244</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527221.37010389916</v>
      </c>
      <c r="Z529" s="293">
        <f>SUMPRODUCT(H408:H511,Z408:Z511)</f>
        <v>1018126.007418972</v>
      </c>
      <c r="AA529" s="293">
        <f>IF(AA407="kW",SUMPRODUCT(N408:N511,S408:S511,AA408:AA511),SUMPRODUCT(H408:H511,AA408:AA511))</f>
        <v>227.52800347807147</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508443.92741661629</v>
      </c>
      <c r="Z530" s="293">
        <f>SUMPRODUCT(I408:I511,Z408:Z511)</f>
        <v>1018126.007418972</v>
      </c>
      <c r="AA530" s="293">
        <f>IF(AA407="kW",SUMPRODUCT(N408:N511,T408:T511,AA408:AA511),SUMPRODUCT(I408:I511,AA408:AA511))</f>
        <v>227.52800347807147</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506523.36374168954</v>
      </c>
      <c r="Z531" s="328">
        <f>SUMPRODUCT(J408:J511,Z408:Z511)</f>
        <v>1009209.1628243537</v>
      </c>
      <c r="AA531" s="328">
        <f>IF(AA407="kW",SUMPRODUCT(N408:N511,U408:U511,AA408:AA511),SUMPRODUCT(J408:J511,AA408:AA511))</f>
        <v>222.93459100649343</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594</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5" t="s">
        <v>530</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70866141732283472" right="0.70866141732283472" top="0.74803149606299213" bottom="0.74803149606299213" header="0.31496062992125984" footer="0.31496062992125984"/>
  <pageSetup scale="33"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3:AP1130"/>
  <sheetViews>
    <sheetView topLeftCell="A36" zoomScale="55" zoomScaleNormal="55" workbookViewId="0">
      <pane xSplit="2" topLeftCell="C1" activePane="topRight" state="frozen"/>
      <selection activeCell="C21" sqref="C21"/>
      <selection pane="topRight" activeCell="C21" sqref="C21"/>
    </sheetView>
  </sheetViews>
  <sheetFormatPr defaultRowHeight="15" outlineLevelRow="1" outlineLevelCol="1"/>
  <cols>
    <col min="1" max="1" width="4.5703125" style="522" customWidth="1"/>
    <col min="2" max="2" width="44.140625" style="429" customWidth="1"/>
    <col min="3" max="3" width="13.42578125" style="429" customWidth="1"/>
    <col min="4" max="4" width="11.7109375" style="429" customWidth="1"/>
    <col min="5" max="13" width="11.7109375" style="429" hidden="1" customWidth="1" outlineLevel="1"/>
    <col min="14" max="14" width="9.140625" style="429" hidden="1" customWidth="1" outlineLevel="1"/>
    <col min="15" max="15" width="15.7109375" style="429" customWidth="1" collapsed="1"/>
    <col min="16" max="24" width="9.140625" style="429" hidden="1" customWidth="1" outlineLevel="1"/>
    <col min="25" max="25" width="16.5703125" style="429" customWidth="1" collapsed="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66" t="s">
        <v>172</v>
      </c>
      <c r="C14" s="259" t="s">
        <v>176</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66"/>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66"/>
      <c r="C16" s="863" t="s">
        <v>555</v>
      </c>
      <c r="D16" s="864"/>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66" t="s">
        <v>509</v>
      </c>
      <c r="C18" s="867" t="s">
        <v>678</v>
      </c>
      <c r="D18" s="867"/>
      <c r="E18" s="867"/>
      <c r="F18" s="867"/>
      <c r="G18" s="867"/>
      <c r="H18" s="867"/>
      <c r="I18" s="867"/>
      <c r="J18" s="867"/>
      <c r="K18" s="867"/>
      <c r="L18" s="867"/>
      <c r="M18" s="867"/>
      <c r="N18" s="867"/>
      <c r="O18" s="867"/>
      <c r="P18" s="867"/>
      <c r="Q18" s="867"/>
      <c r="R18" s="867"/>
      <c r="S18" s="867"/>
      <c r="T18" s="867"/>
      <c r="U18" s="867"/>
      <c r="V18" s="867"/>
      <c r="W18" s="867"/>
      <c r="X18" s="867"/>
      <c r="Y18" s="606"/>
      <c r="Z18" s="606"/>
      <c r="AA18" s="606"/>
      <c r="AB18" s="606"/>
      <c r="AC18" s="606"/>
      <c r="AD18" s="606"/>
      <c r="AE18" s="272"/>
      <c r="AF18" s="267"/>
      <c r="AG18" s="267"/>
      <c r="AH18" s="267"/>
      <c r="AI18" s="267"/>
      <c r="AJ18" s="267"/>
      <c r="AK18" s="267"/>
      <c r="AL18" s="267"/>
      <c r="AM18" s="267"/>
    </row>
    <row r="19" spans="2:39" ht="45.75" customHeight="1">
      <c r="B19" s="866"/>
      <c r="C19" s="867" t="s">
        <v>577</v>
      </c>
      <c r="D19" s="867"/>
      <c r="E19" s="867"/>
      <c r="F19" s="867"/>
      <c r="G19" s="867"/>
      <c r="H19" s="867"/>
      <c r="I19" s="867"/>
      <c r="J19" s="867"/>
      <c r="K19" s="867"/>
      <c r="L19" s="867"/>
      <c r="M19" s="867"/>
      <c r="N19" s="867"/>
      <c r="O19" s="867"/>
      <c r="P19" s="867"/>
      <c r="Q19" s="867"/>
      <c r="R19" s="867"/>
      <c r="S19" s="867"/>
      <c r="T19" s="867"/>
      <c r="U19" s="867"/>
      <c r="V19" s="867"/>
      <c r="W19" s="867"/>
      <c r="X19" s="867"/>
      <c r="Y19" s="606"/>
      <c r="Z19" s="606"/>
      <c r="AA19" s="606"/>
      <c r="AB19" s="606"/>
      <c r="AC19" s="606"/>
      <c r="AD19" s="606"/>
      <c r="AE19" s="272"/>
      <c r="AF19" s="267"/>
      <c r="AG19" s="267"/>
      <c r="AH19" s="267"/>
      <c r="AI19" s="267"/>
      <c r="AJ19" s="267"/>
      <c r="AK19" s="267"/>
      <c r="AL19" s="267"/>
      <c r="AM19" s="267"/>
    </row>
    <row r="20" spans="2:39" ht="62.25" customHeight="1">
      <c r="B20" s="275"/>
      <c r="C20" s="867" t="s">
        <v>575</v>
      </c>
      <c r="D20" s="867"/>
      <c r="E20" s="867"/>
      <c r="F20" s="867"/>
      <c r="G20" s="867"/>
      <c r="H20" s="867"/>
      <c r="I20" s="867"/>
      <c r="J20" s="867"/>
      <c r="K20" s="867"/>
      <c r="L20" s="867"/>
      <c r="M20" s="867"/>
      <c r="N20" s="867"/>
      <c r="O20" s="867"/>
      <c r="P20" s="867"/>
      <c r="Q20" s="867"/>
      <c r="R20" s="867"/>
      <c r="S20" s="867"/>
      <c r="T20" s="867"/>
      <c r="U20" s="867"/>
      <c r="V20" s="867"/>
      <c r="W20" s="867"/>
      <c r="X20" s="867"/>
      <c r="Y20" s="606"/>
      <c r="Z20" s="606"/>
      <c r="AA20" s="606"/>
      <c r="AB20" s="606"/>
      <c r="AC20" s="606"/>
      <c r="AD20" s="606"/>
      <c r="AE20" s="430"/>
      <c r="AF20" s="267"/>
      <c r="AG20" s="267"/>
      <c r="AH20" s="267"/>
      <c r="AI20" s="267"/>
      <c r="AJ20" s="267"/>
      <c r="AK20" s="267"/>
      <c r="AL20" s="267"/>
      <c r="AM20" s="267"/>
    </row>
    <row r="21" spans="2:39" ht="37.5" customHeight="1">
      <c r="B21" s="275"/>
      <c r="C21" s="867" t="s">
        <v>645</v>
      </c>
      <c r="D21" s="867"/>
      <c r="E21" s="867"/>
      <c r="F21" s="867"/>
      <c r="G21" s="867"/>
      <c r="H21" s="867"/>
      <c r="I21" s="867"/>
      <c r="J21" s="867"/>
      <c r="K21" s="867"/>
      <c r="L21" s="867"/>
      <c r="M21" s="867"/>
      <c r="N21" s="867"/>
      <c r="O21" s="867"/>
      <c r="P21" s="867"/>
      <c r="Q21" s="867"/>
      <c r="R21" s="867"/>
      <c r="S21" s="867"/>
      <c r="T21" s="867"/>
      <c r="U21" s="867"/>
      <c r="V21" s="867"/>
      <c r="W21" s="867"/>
      <c r="X21" s="867"/>
      <c r="Y21" s="606"/>
      <c r="Z21" s="606"/>
      <c r="AA21" s="606"/>
      <c r="AB21" s="606"/>
      <c r="AC21" s="606"/>
      <c r="AD21" s="606"/>
      <c r="AE21" s="278"/>
      <c r="AF21" s="267"/>
      <c r="AG21" s="267"/>
      <c r="AH21" s="267"/>
      <c r="AI21" s="267"/>
      <c r="AJ21" s="267"/>
      <c r="AK21" s="267"/>
      <c r="AL21" s="267"/>
      <c r="AM21" s="267"/>
    </row>
    <row r="22" spans="2:39" ht="54.75" customHeight="1">
      <c r="B22" s="275"/>
      <c r="C22" s="867" t="s">
        <v>627</v>
      </c>
      <c r="D22" s="867"/>
      <c r="E22" s="867"/>
      <c r="F22" s="867"/>
      <c r="G22" s="867"/>
      <c r="H22" s="867"/>
      <c r="I22" s="867"/>
      <c r="J22" s="867"/>
      <c r="K22" s="867"/>
      <c r="L22" s="867"/>
      <c r="M22" s="867"/>
      <c r="N22" s="867"/>
      <c r="O22" s="867"/>
      <c r="P22" s="867"/>
      <c r="Q22" s="867"/>
      <c r="R22" s="867"/>
      <c r="S22" s="867"/>
      <c r="T22" s="867"/>
      <c r="U22" s="867"/>
      <c r="V22" s="867"/>
      <c r="W22" s="867"/>
      <c r="X22" s="867"/>
      <c r="Y22" s="606"/>
      <c r="Z22" s="606"/>
      <c r="AA22" s="606"/>
      <c r="AB22" s="606"/>
      <c r="AC22" s="606"/>
      <c r="AD22" s="606"/>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66" t="s">
        <v>531</v>
      </c>
      <c r="C24" s="596" t="s">
        <v>533</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66"/>
      <c r="C25" s="596" t="s">
        <v>534</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39"/>
      <c r="C26" s="596" t="s">
        <v>535</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39"/>
      <c r="C27" s="596" t="s">
        <v>536</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39"/>
      <c r="C28" s="596" t="s">
        <v>537</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39"/>
      <c r="C29" s="596" t="s">
        <v>538</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39"/>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39"/>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268</v>
      </c>
      <c r="C33" s="283"/>
      <c r="D33" s="590"/>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68" t="s">
        <v>212</v>
      </c>
      <c r="C34" s="870" t="s">
        <v>33</v>
      </c>
      <c r="D34" s="286" t="s">
        <v>425</v>
      </c>
      <c r="E34" s="872" t="s">
        <v>210</v>
      </c>
      <c r="F34" s="873"/>
      <c r="G34" s="873"/>
      <c r="H34" s="873"/>
      <c r="I34" s="873"/>
      <c r="J34" s="873"/>
      <c r="K34" s="873"/>
      <c r="L34" s="873"/>
      <c r="M34" s="874"/>
      <c r="N34" s="878" t="s">
        <v>214</v>
      </c>
      <c r="O34" s="286" t="s">
        <v>426</v>
      </c>
      <c r="P34" s="872" t="s">
        <v>213</v>
      </c>
      <c r="Q34" s="873"/>
      <c r="R34" s="873"/>
      <c r="S34" s="873"/>
      <c r="T34" s="873"/>
      <c r="U34" s="873"/>
      <c r="V34" s="873"/>
      <c r="W34" s="873"/>
      <c r="X34" s="874"/>
      <c r="Y34" s="875" t="s">
        <v>245</v>
      </c>
      <c r="Z34" s="876"/>
      <c r="AA34" s="876"/>
      <c r="AB34" s="876"/>
      <c r="AC34" s="876"/>
      <c r="AD34" s="876"/>
      <c r="AE34" s="876"/>
      <c r="AF34" s="876"/>
      <c r="AG34" s="876"/>
      <c r="AH34" s="876"/>
      <c r="AI34" s="876"/>
      <c r="AJ34" s="876"/>
      <c r="AK34" s="876"/>
      <c r="AL34" s="876"/>
      <c r="AM34" s="877"/>
    </row>
    <row r="35" spans="1:39" ht="65.25" customHeight="1">
      <c r="B35" s="869"/>
      <c r="C35" s="871"/>
      <c r="D35" s="287">
        <v>2015</v>
      </c>
      <c r="E35" s="287">
        <v>2016</v>
      </c>
      <c r="F35" s="287">
        <v>2017</v>
      </c>
      <c r="G35" s="287">
        <v>2018</v>
      </c>
      <c r="H35" s="287">
        <v>2019</v>
      </c>
      <c r="I35" s="287">
        <v>2020</v>
      </c>
      <c r="J35" s="287">
        <v>2021</v>
      </c>
      <c r="K35" s="287">
        <v>2022</v>
      </c>
      <c r="L35" s="287">
        <v>2023</v>
      </c>
      <c r="M35" s="431">
        <v>2024</v>
      </c>
      <c r="N35" s="879"/>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GS&gt;50 kW</v>
      </c>
      <c r="AB35" s="287" t="str">
        <f>'1.  LRAMVA Summary'!G50</f>
        <v>Streetlights</v>
      </c>
      <c r="AC35" s="287" t="str">
        <f>'1.  LRAMVA Summary'!H50</f>
        <v>Unmetered Scattered Load</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18" t="s">
        <v>507</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KWh</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hidden="1" customHeight="1" outlineLevel="1">
      <c r="B37" s="290" t="s">
        <v>500</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hidden="1" outlineLevel="1">
      <c r="A38" s="522">
        <v>1</v>
      </c>
      <c r="B38" s="520" t="s">
        <v>95</v>
      </c>
      <c r="C38" s="293" t="s">
        <v>25</v>
      </c>
      <c r="D38" s="297">
        <v>40747.337863877547</v>
      </c>
      <c r="E38" s="297">
        <v>40384.400594547857</v>
      </c>
      <c r="F38" s="297">
        <v>40384.400594547857</v>
      </c>
      <c r="G38" s="297">
        <v>40384.400594547857</v>
      </c>
      <c r="H38" s="297">
        <v>40384.400594547857</v>
      </c>
      <c r="I38" s="297">
        <v>40384.400594547857</v>
      </c>
      <c r="J38" s="297">
        <v>40384.400594547857</v>
      </c>
      <c r="K38" s="297">
        <v>40373.426301891013</v>
      </c>
      <c r="L38" s="297">
        <v>40373.426301891013</v>
      </c>
      <c r="M38" s="297">
        <v>40373.426301891013</v>
      </c>
      <c r="N38" s="293"/>
      <c r="O38" s="297">
        <v>2.5955452843775797</v>
      </c>
      <c r="P38" s="297">
        <v>2.5727610628853381</v>
      </c>
      <c r="Q38" s="297">
        <v>2.5727610628853381</v>
      </c>
      <c r="R38" s="297">
        <v>2.5727610628853381</v>
      </c>
      <c r="S38" s="297">
        <v>2.5727610628853381</v>
      </c>
      <c r="T38" s="297">
        <v>2.5727610628853381</v>
      </c>
      <c r="U38" s="297">
        <v>2.5727610628853381</v>
      </c>
      <c r="V38" s="297">
        <v>2.5715082897509949</v>
      </c>
      <c r="W38" s="297">
        <v>2.5715082897509949</v>
      </c>
      <c r="X38" s="297">
        <v>2.5715082897509949</v>
      </c>
      <c r="Y38" s="412">
        <v>1</v>
      </c>
      <c r="Z38" s="412">
        <v>0</v>
      </c>
      <c r="AA38" s="412">
        <v>0</v>
      </c>
      <c r="AB38" s="412"/>
      <c r="AC38" s="412"/>
      <c r="AD38" s="412"/>
      <c r="AE38" s="412"/>
      <c r="AF38" s="412"/>
      <c r="AG38" s="412"/>
      <c r="AH38" s="412"/>
      <c r="AI38" s="412"/>
      <c r="AJ38" s="412"/>
      <c r="AK38" s="412"/>
      <c r="AL38" s="412"/>
      <c r="AM38" s="298">
        <f>SUM(Y38:AL38)</f>
        <v>1</v>
      </c>
    </row>
    <row r="39" spans="1:39" hidden="1" outlineLevel="1">
      <c r="B39" s="296" t="s">
        <v>269</v>
      </c>
      <c r="C39" s="293" t="s">
        <v>164</v>
      </c>
      <c r="D39" s="297">
        <v>0</v>
      </c>
      <c r="E39" s="297">
        <v>0</v>
      </c>
      <c r="F39" s="297">
        <v>0</v>
      </c>
      <c r="G39" s="297">
        <v>0</v>
      </c>
      <c r="H39" s="297">
        <v>0</v>
      </c>
      <c r="I39" s="297">
        <v>0</v>
      </c>
      <c r="J39" s="297">
        <v>0</v>
      </c>
      <c r="K39" s="297">
        <v>0</v>
      </c>
      <c r="L39" s="297">
        <v>0</v>
      </c>
      <c r="M39" s="297">
        <v>0</v>
      </c>
      <c r="N39" s="469"/>
      <c r="O39" s="297">
        <v>0</v>
      </c>
      <c r="P39" s="297">
        <v>0</v>
      </c>
      <c r="Q39" s="297">
        <v>0</v>
      </c>
      <c r="R39" s="297">
        <v>0</v>
      </c>
      <c r="S39" s="297">
        <v>0</v>
      </c>
      <c r="T39" s="297">
        <v>0</v>
      </c>
      <c r="U39" s="297">
        <v>0</v>
      </c>
      <c r="V39" s="297">
        <v>0</v>
      </c>
      <c r="W39" s="297">
        <v>0</v>
      </c>
      <c r="X39" s="297">
        <v>0</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hidden="1"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hidden="1" outlineLevel="1">
      <c r="A41" s="522">
        <v>2</v>
      </c>
      <c r="B41" s="520" t="s">
        <v>96</v>
      </c>
      <c r="C41" s="293" t="s">
        <v>25</v>
      </c>
      <c r="D41" s="297">
        <v>96163.765526452582</v>
      </c>
      <c r="E41" s="297">
        <v>92853.364846757977</v>
      </c>
      <c r="F41" s="297">
        <v>92853.364846757977</v>
      </c>
      <c r="G41" s="297">
        <v>92853.364846757977</v>
      </c>
      <c r="H41" s="297">
        <v>92853.364846757977</v>
      </c>
      <c r="I41" s="297">
        <v>92853.364846757977</v>
      </c>
      <c r="J41" s="297">
        <v>92853.364846757977</v>
      </c>
      <c r="K41" s="297">
        <v>92853.364846757977</v>
      </c>
      <c r="L41" s="297">
        <v>92853.364846757977</v>
      </c>
      <c r="M41" s="297">
        <v>92853.364846757977</v>
      </c>
      <c r="N41" s="293"/>
      <c r="O41" s="297">
        <v>7.1498504523071205</v>
      </c>
      <c r="P41" s="297">
        <v>6.9420324388704344</v>
      </c>
      <c r="Q41" s="297">
        <v>6.9420324388704344</v>
      </c>
      <c r="R41" s="297">
        <v>6.9420324388704344</v>
      </c>
      <c r="S41" s="297">
        <v>6.9420324388704344</v>
      </c>
      <c r="T41" s="297">
        <v>6.9420324388704344</v>
      </c>
      <c r="U41" s="297">
        <v>6.9420324388704344</v>
      </c>
      <c r="V41" s="297">
        <v>6.9420324388704344</v>
      </c>
      <c r="W41" s="297">
        <v>6.9420324388704344</v>
      </c>
      <c r="X41" s="297">
        <v>6.9420324388704344</v>
      </c>
      <c r="Y41" s="412">
        <v>1</v>
      </c>
      <c r="Z41" s="412">
        <v>0</v>
      </c>
      <c r="AA41" s="412">
        <v>0</v>
      </c>
      <c r="AB41" s="412"/>
      <c r="AC41" s="412"/>
      <c r="AD41" s="412"/>
      <c r="AE41" s="412"/>
      <c r="AF41" s="412"/>
      <c r="AG41" s="412"/>
      <c r="AH41" s="412"/>
      <c r="AI41" s="412"/>
      <c r="AJ41" s="412"/>
      <c r="AK41" s="412"/>
      <c r="AL41" s="412"/>
      <c r="AM41" s="298">
        <f>SUM(Y41:AL41)</f>
        <v>1</v>
      </c>
    </row>
    <row r="42" spans="1:39" hidden="1" outlineLevel="1">
      <c r="B42" s="296" t="s">
        <v>269</v>
      </c>
      <c r="C42" s="293" t="s">
        <v>164</v>
      </c>
      <c r="D42" s="297">
        <v>0</v>
      </c>
      <c r="E42" s="297">
        <v>0</v>
      </c>
      <c r="F42" s="297">
        <v>0</v>
      </c>
      <c r="G42" s="297">
        <v>0</v>
      </c>
      <c r="H42" s="297">
        <v>0</v>
      </c>
      <c r="I42" s="297">
        <v>0</v>
      </c>
      <c r="J42" s="297">
        <v>0</v>
      </c>
      <c r="K42" s="297">
        <v>0</v>
      </c>
      <c r="L42" s="297">
        <v>0</v>
      </c>
      <c r="M42" s="297">
        <v>0</v>
      </c>
      <c r="N42" s="469"/>
      <c r="O42" s="297">
        <v>0</v>
      </c>
      <c r="P42" s="297">
        <v>0</v>
      </c>
      <c r="Q42" s="297">
        <v>0</v>
      </c>
      <c r="R42" s="297">
        <v>0</v>
      </c>
      <c r="S42" s="297">
        <v>0</v>
      </c>
      <c r="T42" s="297">
        <v>0</v>
      </c>
      <c r="U42" s="297">
        <v>0</v>
      </c>
      <c r="V42" s="297">
        <v>0</v>
      </c>
      <c r="W42" s="297">
        <v>0</v>
      </c>
      <c r="X42" s="297">
        <v>0</v>
      </c>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hidden="1"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hidden="1" outlineLevel="1">
      <c r="A44" s="522">
        <v>3</v>
      </c>
      <c r="B44" s="520" t="s">
        <v>97</v>
      </c>
      <c r="C44" s="293" t="s">
        <v>25</v>
      </c>
      <c r="D44" s="297">
        <v>11615.871880481795</v>
      </c>
      <c r="E44" s="297">
        <v>11615.871880481795</v>
      </c>
      <c r="F44" s="297">
        <v>11615.871880481795</v>
      </c>
      <c r="G44" s="297">
        <v>11511.463833874126</v>
      </c>
      <c r="H44" s="297">
        <v>6104.6264729110871</v>
      </c>
      <c r="I44" s="297">
        <v>0</v>
      </c>
      <c r="J44" s="297">
        <v>0</v>
      </c>
      <c r="K44" s="297">
        <v>0</v>
      </c>
      <c r="L44" s="297">
        <v>0</v>
      </c>
      <c r="M44" s="297">
        <v>0</v>
      </c>
      <c r="N44" s="293"/>
      <c r="O44" s="297">
        <v>1.8940619853286125</v>
      </c>
      <c r="P44" s="297">
        <v>1.8940619853286125</v>
      </c>
      <c r="Q44" s="297">
        <v>1.8940619853286125</v>
      </c>
      <c r="R44" s="297">
        <v>1.7773076878544234</v>
      </c>
      <c r="S44" s="297">
        <v>0.89716125641366173</v>
      </c>
      <c r="T44" s="297">
        <v>0</v>
      </c>
      <c r="U44" s="297">
        <v>0</v>
      </c>
      <c r="V44" s="297">
        <v>0</v>
      </c>
      <c r="W44" s="297">
        <v>0</v>
      </c>
      <c r="X44" s="297">
        <v>0</v>
      </c>
      <c r="Y44" s="412">
        <v>1</v>
      </c>
      <c r="Z44" s="412">
        <v>0</v>
      </c>
      <c r="AA44" s="412">
        <v>0</v>
      </c>
      <c r="AB44" s="412"/>
      <c r="AC44" s="412"/>
      <c r="AD44" s="412"/>
      <c r="AE44" s="412"/>
      <c r="AF44" s="412"/>
      <c r="AG44" s="412"/>
      <c r="AH44" s="412"/>
      <c r="AI44" s="412"/>
      <c r="AJ44" s="412"/>
      <c r="AK44" s="412"/>
      <c r="AL44" s="412"/>
      <c r="AM44" s="298">
        <f>SUM(Y44:AL44)</f>
        <v>1</v>
      </c>
    </row>
    <row r="45" spans="1:39" hidden="1" outlineLevel="1">
      <c r="B45" s="296" t="s">
        <v>269</v>
      </c>
      <c r="C45" s="293" t="s">
        <v>164</v>
      </c>
      <c r="D45" s="297">
        <v>0</v>
      </c>
      <c r="E45" s="297">
        <v>0</v>
      </c>
      <c r="F45" s="297">
        <v>0</v>
      </c>
      <c r="G45" s="297">
        <v>0</v>
      </c>
      <c r="H45" s="297">
        <v>0</v>
      </c>
      <c r="I45" s="297">
        <v>0</v>
      </c>
      <c r="J45" s="297">
        <v>0</v>
      </c>
      <c r="K45" s="297">
        <v>0</v>
      </c>
      <c r="L45" s="297">
        <v>0</v>
      </c>
      <c r="M45" s="297">
        <v>0</v>
      </c>
      <c r="N45" s="469"/>
      <c r="O45" s="297">
        <v>0</v>
      </c>
      <c r="P45" s="297">
        <v>0</v>
      </c>
      <c r="Q45" s="297">
        <v>0</v>
      </c>
      <c r="R45" s="297">
        <v>0</v>
      </c>
      <c r="S45" s="297">
        <v>0</v>
      </c>
      <c r="T45" s="297">
        <v>0</v>
      </c>
      <c r="U45" s="297">
        <v>0</v>
      </c>
      <c r="V45" s="297">
        <v>0</v>
      </c>
      <c r="W45" s="297">
        <v>0</v>
      </c>
      <c r="X45" s="297">
        <v>0</v>
      </c>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hidden="1"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hidden="1" outlineLevel="1">
      <c r="A47" s="522">
        <v>4</v>
      </c>
      <c r="B47" s="520" t="s">
        <v>98</v>
      </c>
      <c r="C47" s="293" t="s">
        <v>25</v>
      </c>
      <c r="D47" s="297">
        <v>52366.549910811154</v>
      </c>
      <c r="E47" s="297">
        <v>52366.549910811154</v>
      </c>
      <c r="F47" s="297">
        <v>52366.549910811154</v>
      </c>
      <c r="G47" s="297">
        <v>52366.549910811154</v>
      </c>
      <c r="H47" s="297">
        <v>52366.549910811154</v>
      </c>
      <c r="I47" s="297">
        <v>52366.549910811154</v>
      </c>
      <c r="J47" s="297">
        <v>52366.549910811154</v>
      </c>
      <c r="K47" s="297">
        <v>52366.549910811154</v>
      </c>
      <c r="L47" s="297">
        <v>52366.549910811154</v>
      </c>
      <c r="M47" s="297">
        <v>52366.549910811154</v>
      </c>
      <c r="N47" s="293"/>
      <c r="O47" s="297">
        <v>26.938317740945855</v>
      </c>
      <c r="P47" s="297">
        <v>26.938317740945855</v>
      </c>
      <c r="Q47" s="297">
        <v>26.938317740945855</v>
      </c>
      <c r="R47" s="297">
        <v>26.938317740945855</v>
      </c>
      <c r="S47" s="297">
        <v>26.938317740945855</v>
      </c>
      <c r="T47" s="297">
        <v>26.938317740945855</v>
      </c>
      <c r="U47" s="297">
        <v>26.938317740945855</v>
      </c>
      <c r="V47" s="297">
        <v>26.938317740945855</v>
      </c>
      <c r="W47" s="297">
        <v>26.938317740945855</v>
      </c>
      <c r="X47" s="297">
        <v>26.938317740945855</v>
      </c>
      <c r="Y47" s="412">
        <v>1</v>
      </c>
      <c r="Z47" s="412">
        <v>0</v>
      </c>
      <c r="AA47" s="412">
        <v>0</v>
      </c>
      <c r="AB47" s="412"/>
      <c r="AC47" s="412"/>
      <c r="AD47" s="412"/>
      <c r="AE47" s="412"/>
      <c r="AF47" s="412"/>
      <c r="AG47" s="412"/>
      <c r="AH47" s="412"/>
      <c r="AI47" s="412"/>
      <c r="AJ47" s="412"/>
      <c r="AK47" s="412"/>
      <c r="AL47" s="412"/>
      <c r="AM47" s="298">
        <f>SUM(Y47:AL47)</f>
        <v>1</v>
      </c>
    </row>
    <row r="48" spans="1:39" hidden="1" outlineLevel="1">
      <c r="B48" s="296" t="s">
        <v>269</v>
      </c>
      <c r="C48" s="293" t="s">
        <v>164</v>
      </c>
      <c r="D48" s="297">
        <v>0</v>
      </c>
      <c r="E48" s="297">
        <v>0</v>
      </c>
      <c r="F48" s="297">
        <v>0</v>
      </c>
      <c r="G48" s="297">
        <v>0</v>
      </c>
      <c r="H48" s="297">
        <v>0</v>
      </c>
      <c r="I48" s="297">
        <v>0</v>
      </c>
      <c r="J48" s="297">
        <v>0</v>
      </c>
      <c r="K48" s="297">
        <v>0</v>
      </c>
      <c r="L48" s="297">
        <v>0</v>
      </c>
      <c r="M48" s="297">
        <v>0</v>
      </c>
      <c r="N48" s="469"/>
      <c r="O48" s="297">
        <v>0</v>
      </c>
      <c r="P48" s="297">
        <v>0</v>
      </c>
      <c r="Q48" s="297">
        <v>0</v>
      </c>
      <c r="R48" s="297">
        <v>0</v>
      </c>
      <c r="S48" s="297">
        <v>0</v>
      </c>
      <c r="T48" s="297">
        <v>0</v>
      </c>
      <c r="U48" s="297">
        <v>0</v>
      </c>
      <c r="V48" s="297">
        <v>0</v>
      </c>
      <c r="W48" s="297">
        <v>0</v>
      </c>
      <c r="X48" s="297">
        <v>0</v>
      </c>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hidden="1"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hidden="1" customHeight="1" outlineLevel="1">
      <c r="A50" s="522">
        <v>5</v>
      </c>
      <c r="B50" s="520" t="s">
        <v>99</v>
      </c>
      <c r="C50" s="293" t="s">
        <v>25</v>
      </c>
      <c r="D50" s="297" t="s">
        <v>710</v>
      </c>
      <c r="E50" s="297" t="s">
        <v>710</v>
      </c>
      <c r="F50" s="297" t="s">
        <v>710</v>
      </c>
      <c r="G50" s="297" t="s">
        <v>710</v>
      </c>
      <c r="H50" s="297" t="s">
        <v>710</v>
      </c>
      <c r="I50" s="297" t="s">
        <v>710</v>
      </c>
      <c r="J50" s="297" t="s">
        <v>710</v>
      </c>
      <c r="K50" s="297" t="s">
        <v>710</v>
      </c>
      <c r="L50" s="297" t="s">
        <v>710</v>
      </c>
      <c r="M50" s="297" t="s">
        <v>710</v>
      </c>
      <c r="N50" s="293"/>
      <c r="O50" s="297" t="s">
        <v>710</v>
      </c>
      <c r="P50" s="297" t="s">
        <v>710</v>
      </c>
      <c r="Q50" s="297" t="s">
        <v>710</v>
      </c>
      <c r="R50" s="297" t="s">
        <v>710</v>
      </c>
      <c r="S50" s="297" t="s">
        <v>710</v>
      </c>
      <c r="T50" s="297" t="s">
        <v>710</v>
      </c>
      <c r="U50" s="297" t="s">
        <v>710</v>
      </c>
      <c r="V50" s="297" t="s">
        <v>710</v>
      </c>
      <c r="W50" s="297" t="s">
        <v>710</v>
      </c>
      <c r="X50" s="297" t="s">
        <v>710</v>
      </c>
      <c r="Y50" s="412"/>
      <c r="Z50" s="412"/>
      <c r="AA50" s="412"/>
      <c r="AB50" s="412"/>
      <c r="AC50" s="412"/>
      <c r="AD50" s="412"/>
      <c r="AE50" s="412"/>
      <c r="AF50" s="412"/>
      <c r="AG50" s="412"/>
      <c r="AH50" s="412"/>
      <c r="AI50" s="412"/>
      <c r="AJ50" s="412"/>
      <c r="AK50" s="412"/>
      <c r="AL50" s="412"/>
      <c r="AM50" s="298">
        <f>SUM(Y50:AL50)</f>
        <v>0</v>
      </c>
    </row>
    <row r="51" spans="1:39" hidden="1" outlineLevel="1">
      <c r="B51" s="296" t="s">
        <v>269</v>
      </c>
      <c r="C51" s="293" t="s">
        <v>164</v>
      </c>
      <c r="D51" s="297" t="s">
        <v>710</v>
      </c>
      <c r="E51" s="297" t="s">
        <v>710</v>
      </c>
      <c r="F51" s="297" t="s">
        <v>710</v>
      </c>
      <c r="G51" s="297" t="s">
        <v>710</v>
      </c>
      <c r="H51" s="297" t="s">
        <v>710</v>
      </c>
      <c r="I51" s="297" t="s">
        <v>710</v>
      </c>
      <c r="J51" s="297" t="s">
        <v>710</v>
      </c>
      <c r="K51" s="297" t="s">
        <v>710</v>
      </c>
      <c r="L51" s="297" t="s">
        <v>710</v>
      </c>
      <c r="M51" s="297" t="s">
        <v>710</v>
      </c>
      <c r="N51" s="469"/>
      <c r="O51" s="297" t="s">
        <v>710</v>
      </c>
      <c r="P51" s="297" t="s">
        <v>710</v>
      </c>
      <c r="Q51" s="297" t="s">
        <v>710</v>
      </c>
      <c r="R51" s="297" t="s">
        <v>710</v>
      </c>
      <c r="S51" s="297" t="s">
        <v>710</v>
      </c>
      <c r="T51" s="297" t="s">
        <v>710</v>
      </c>
      <c r="U51" s="297" t="s">
        <v>710</v>
      </c>
      <c r="V51" s="297" t="s">
        <v>710</v>
      </c>
      <c r="W51" s="297" t="s">
        <v>710</v>
      </c>
      <c r="X51" s="297" t="s">
        <v>710</v>
      </c>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hidden="1"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hidden="1" customHeight="1" outlineLevel="1">
      <c r="B53" s="321" t="s">
        <v>501</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hidden="1" outlineLevel="1">
      <c r="A54" s="522">
        <v>6</v>
      </c>
      <c r="B54" s="520" t="s">
        <v>100</v>
      </c>
      <c r="C54" s="293" t="s">
        <v>25</v>
      </c>
      <c r="D54" s="297" t="s">
        <v>710</v>
      </c>
      <c r="E54" s="297" t="s">
        <v>710</v>
      </c>
      <c r="F54" s="297" t="s">
        <v>710</v>
      </c>
      <c r="G54" s="297" t="s">
        <v>710</v>
      </c>
      <c r="H54" s="297" t="s">
        <v>710</v>
      </c>
      <c r="I54" s="297" t="s">
        <v>710</v>
      </c>
      <c r="J54" s="297" t="s">
        <v>710</v>
      </c>
      <c r="K54" s="297" t="s">
        <v>710</v>
      </c>
      <c r="L54" s="297" t="s">
        <v>710</v>
      </c>
      <c r="M54" s="297" t="s">
        <v>710</v>
      </c>
      <c r="N54" s="297">
        <v>12</v>
      </c>
      <c r="O54" s="297" t="s">
        <v>710</v>
      </c>
      <c r="P54" s="297" t="s">
        <v>710</v>
      </c>
      <c r="Q54" s="297" t="s">
        <v>710</v>
      </c>
      <c r="R54" s="297" t="s">
        <v>710</v>
      </c>
      <c r="S54" s="297" t="s">
        <v>710</v>
      </c>
      <c r="T54" s="297" t="s">
        <v>710</v>
      </c>
      <c r="U54" s="297" t="s">
        <v>710</v>
      </c>
      <c r="V54" s="297" t="s">
        <v>710</v>
      </c>
      <c r="W54" s="297" t="s">
        <v>710</v>
      </c>
      <c r="X54" s="297" t="s">
        <v>710</v>
      </c>
      <c r="Y54" s="417"/>
      <c r="Z54" s="412"/>
      <c r="AA54" s="412"/>
      <c r="AB54" s="412"/>
      <c r="AC54" s="412"/>
      <c r="AD54" s="412"/>
      <c r="AE54" s="412"/>
      <c r="AF54" s="417"/>
      <c r="AG54" s="417"/>
      <c r="AH54" s="417"/>
      <c r="AI54" s="417"/>
      <c r="AJ54" s="417"/>
      <c r="AK54" s="417"/>
      <c r="AL54" s="417"/>
      <c r="AM54" s="298">
        <f>SUM(Y54:AL54)</f>
        <v>0</v>
      </c>
    </row>
    <row r="55" spans="1:39" hidden="1" outlineLevel="1">
      <c r="B55" s="296" t="s">
        <v>269</v>
      </c>
      <c r="C55" s="293" t="s">
        <v>164</v>
      </c>
      <c r="D55" s="297" t="s">
        <v>710</v>
      </c>
      <c r="E55" s="297" t="s">
        <v>710</v>
      </c>
      <c r="F55" s="297" t="s">
        <v>710</v>
      </c>
      <c r="G55" s="297" t="s">
        <v>710</v>
      </c>
      <c r="H55" s="297" t="s">
        <v>710</v>
      </c>
      <c r="I55" s="297" t="s">
        <v>710</v>
      </c>
      <c r="J55" s="297" t="s">
        <v>710</v>
      </c>
      <c r="K55" s="297" t="s">
        <v>710</v>
      </c>
      <c r="L55" s="297" t="s">
        <v>710</v>
      </c>
      <c r="M55" s="297" t="s">
        <v>710</v>
      </c>
      <c r="N55" s="297">
        <f>N54</f>
        <v>12</v>
      </c>
      <c r="O55" s="297" t="s">
        <v>710</v>
      </c>
      <c r="P55" s="297" t="s">
        <v>710</v>
      </c>
      <c r="Q55" s="297" t="s">
        <v>710</v>
      </c>
      <c r="R55" s="297" t="s">
        <v>710</v>
      </c>
      <c r="S55" s="297" t="s">
        <v>710</v>
      </c>
      <c r="T55" s="297" t="s">
        <v>710</v>
      </c>
      <c r="U55" s="297" t="s">
        <v>710</v>
      </c>
      <c r="V55" s="297" t="s">
        <v>710</v>
      </c>
      <c r="W55" s="297" t="s">
        <v>710</v>
      </c>
      <c r="X55" s="297" t="s">
        <v>710</v>
      </c>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hidden="1"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hidden="1" customHeight="1" outlineLevel="1">
      <c r="A57" s="522">
        <v>7</v>
      </c>
      <c r="B57" s="520" t="s">
        <v>101</v>
      </c>
      <c r="C57" s="293" t="s">
        <v>25</v>
      </c>
      <c r="D57" s="297">
        <v>801847.3259499995</v>
      </c>
      <c r="E57" s="297">
        <v>801847.3259499995</v>
      </c>
      <c r="F57" s="297">
        <v>799670.01598279923</v>
      </c>
      <c r="G57" s="297">
        <v>799670.01598279923</v>
      </c>
      <c r="H57" s="297">
        <v>799670.01598279923</v>
      </c>
      <c r="I57" s="297">
        <v>799670.01598279923</v>
      </c>
      <c r="J57" s="297">
        <v>783510.8875092424</v>
      </c>
      <c r="K57" s="297">
        <v>783510.8875092424</v>
      </c>
      <c r="L57" s="297">
        <v>781455.09473812906</v>
      </c>
      <c r="M57" s="297">
        <v>728631.79417189478</v>
      </c>
      <c r="N57" s="297">
        <v>12</v>
      </c>
      <c r="O57" s="297">
        <v>113.76993635507789</v>
      </c>
      <c r="P57" s="297">
        <v>113.76993635507789</v>
      </c>
      <c r="Q57" s="297">
        <v>113.08365536187307</v>
      </c>
      <c r="R57" s="297">
        <v>113.08365536187307</v>
      </c>
      <c r="S57" s="297">
        <v>113.08365536187307</v>
      </c>
      <c r="T57" s="297">
        <v>113.08365536187307</v>
      </c>
      <c r="U57" s="297">
        <v>111.2609443725302</v>
      </c>
      <c r="V57" s="297">
        <v>111.2609443725302</v>
      </c>
      <c r="W57" s="297">
        <v>110.61038169804115</v>
      </c>
      <c r="X57" s="297">
        <v>104.65436060010042</v>
      </c>
      <c r="Y57" s="412">
        <v>0</v>
      </c>
      <c r="Z57" s="412">
        <v>0.88250492005061387</v>
      </c>
      <c r="AA57" s="412">
        <v>0.11749507994938622</v>
      </c>
      <c r="AB57" s="412"/>
      <c r="AC57" s="533"/>
      <c r="AD57" s="412"/>
      <c r="AE57" s="412"/>
      <c r="AF57" s="417"/>
      <c r="AG57" s="417"/>
      <c r="AH57" s="417"/>
      <c r="AI57" s="417"/>
      <c r="AJ57" s="417"/>
      <c r="AK57" s="417"/>
      <c r="AL57" s="417"/>
      <c r="AM57" s="298">
        <f>SUM(Y57:AL57)</f>
        <v>1</v>
      </c>
    </row>
    <row r="58" spans="1:39" hidden="1" outlineLevel="1">
      <c r="B58" s="296" t="s">
        <v>269</v>
      </c>
      <c r="C58" s="293" t="s">
        <v>164</v>
      </c>
      <c r="D58" s="297">
        <v>0</v>
      </c>
      <c r="E58" s="297">
        <v>0</v>
      </c>
      <c r="F58" s="297">
        <v>0</v>
      </c>
      <c r="G58" s="297">
        <v>0</v>
      </c>
      <c r="H58" s="297">
        <v>0</v>
      </c>
      <c r="I58" s="297">
        <v>0</v>
      </c>
      <c r="J58" s="297">
        <v>0</v>
      </c>
      <c r="K58" s="297">
        <v>0</v>
      </c>
      <c r="L58" s="297">
        <v>0</v>
      </c>
      <c r="M58" s="297">
        <v>0</v>
      </c>
      <c r="N58" s="297">
        <f>N57</f>
        <v>12</v>
      </c>
      <c r="O58" s="297">
        <v>0</v>
      </c>
      <c r="P58" s="297">
        <v>0</v>
      </c>
      <c r="Q58" s="297">
        <v>0</v>
      </c>
      <c r="R58" s="297">
        <v>0</v>
      </c>
      <c r="S58" s="297">
        <v>0</v>
      </c>
      <c r="T58" s="297">
        <v>0</v>
      </c>
      <c r="U58" s="297">
        <v>0</v>
      </c>
      <c r="V58" s="297">
        <v>0</v>
      </c>
      <c r="W58" s="297">
        <v>0</v>
      </c>
      <c r="X58" s="297">
        <v>0</v>
      </c>
      <c r="Y58" s="413">
        <f>Y57</f>
        <v>0</v>
      </c>
      <c r="Z58" s="413">
        <f>Z57</f>
        <v>0.88250492005061387</v>
      </c>
      <c r="AA58" s="413">
        <f t="shared" ref="AA58" si="66">AA57</f>
        <v>0.11749507994938622</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hidden="1"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hidden="1" outlineLevel="1">
      <c r="A60" s="522">
        <v>8</v>
      </c>
      <c r="B60" s="520" t="s">
        <v>102</v>
      </c>
      <c r="C60" s="293" t="s">
        <v>25</v>
      </c>
      <c r="D60" s="297">
        <v>200344.6889512011</v>
      </c>
      <c r="E60" s="297">
        <v>173753.35174323231</v>
      </c>
      <c r="F60" s="297">
        <v>145101.00694457217</v>
      </c>
      <c r="G60" s="297">
        <v>145101.00694457217</v>
      </c>
      <c r="H60" s="297">
        <v>145101.00694457217</v>
      </c>
      <c r="I60" s="297">
        <v>145101.00694457217</v>
      </c>
      <c r="J60" s="297">
        <v>145101.00694457217</v>
      </c>
      <c r="K60" s="297">
        <v>145101.00694457217</v>
      </c>
      <c r="L60" s="297">
        <v>145101.00694457217</v>
      </c>
      <c r="M60" s="297">
        <v>145101.00694457217</v>
      </c>
      <c r="N60" s="297">
        <v>12</v>
      </c>
      <c r="O60" s="297">
        <v>45.679438952716225</v>
      </c>
      <c r="P60" s="297">
        <v>39.856493080140012</v>
      </c>
      <c r="Q60" s="297">
        <v>32.922001418597183</v>
      </c>
      <c r="R60" s="297">
        <v>32.922001418597183</v>
      </c>
      <c r="S60" s="297">
        <v>32.922001418597183</v>
      </c>
      <c r="T60" s="297">
        <v>32.922001418597183</v>
      </c>
      <c r="U60" s="297">
        <v>32.922001418597183</v>
      </c>
      <c r="V60" s="297">
        <v>32.922001418597183</v>
      </c>
      <c r="W60" s="297">
        <v>32.922001418597183</v>
      </c>
      <c r="X60" s="297">
        <v>32.922001418597183</v>
      </c>
      <c r="Y60" s="412">
        <v>0</v>
      </c>
      <c r="Z60" s="412">
        <v>1</v>
      </c>
      <c r="AA60" s="412">
        <v>0</v>
      </c>
      <c r="AB60" s="412"/>
      <c r="AC60" s="412"/>
      <c r="AD60" s="412"/>
      <c r="AE60" s="412"/>
      <c r="AF60" s="417"/>
      <c r="AG60" s="417"/>
      <c r="AH60" s="417"/>
      <c r="AI60" s="417"/>
      <c r="AJ60" s="417"/>
      <c r="AK60" s="417"/>
      <c r="AL60" s="417"/>
      <c r="AM60" s="298">
        <f>SUM(Y60:AL60)</f>
        <v>1</v>
      </c>
    </row>
    <row r="61" spans="1:39" hidden="1" outlineLevel="1">
      <c r="B61" s="296" t="s">
        <v>269</v>
      </c>
      <c r="C61" s="293" t="s">
        <v>164</v>
      </c>
      <c r="D61" s="297">
        <v>0</v>
      </c>
      <c r="E61" s="297">
        <v>0</v>
      </c>
      <c r="F61" s="297">
        <v>0</v>
      </c>
      <c r="G61" s="297">
        <v>0</v>
      </c>
      <c r="H61" s="297">
        <v>0</v>
      </c>
      <c r="I61" s="297">
        <v>0</v>
      </c>
      <c r="J61" s="297">
        <v>0</v>
      </c>
      <c r="K61" s="297">
        <v>0</v>
      </c>
      <c r="L61" s="297">
        <v>0</v>
      </c>
      <c r="M61" s="297">
        <v>0</v>
      </c>
      <c r="N61" s="297">
        <f>N60</f>
        <v>12</v>
      </c>
      <c r="O61" s="297">
        <v>0</v>
      </c>
      <c r="P61" s="297">
        <v>0</v>
      </c>
      <c r="Q61" s="297">
        <v>0</v>
      </c>
      <c r="R61" s="297">
        <v>0</v>
      </c>
      <c r="S61" s="297">
        <v>0</v>
      </c>
      <c r="T61" s="297">
        <v>0</v>
      </c>
      <c r="U61" s="297">
        <v>0</v>
      </c>
      <c r="V61" s="297">
        <v>0</v>
      </c>
      <c r="W61" s="297">
        <v>0</v>
      </c>
      <c r="X61" s="297">
        <v>0</v>
      </c>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hidden="1"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hidden="1" outlineLevel="1">
      <c r="A63" s="522">
        <v>9</v>
      </c>
      <c r="B63" s="520" t="s">
        <v>103</v>
      </c>
      <c r="C63" s="293" t="s">
        <v>25</v>
      </c>
      <c r="D63" s="297" t="s">
        <v>710</v>
      </c>
      <c r="E63" s="297" t="s">
        <v>710</v>
      </c>
      <c r="F63" s="297" t="s">
        <v>710</v>
      </c>
      <c r="G63" s="297" t="s">
        <v>710</v>
      </c>
      <c r="H63" s="297" t="s">
        <v>710</v>
      </c>
      <c r="I63" s="297" t="s">
        <v>710</v>
      </c>
      <c r="J63" s="297" t="s">
        <v>710</v>
      </c>
      <c r="K63" s="297" t="s">
        <v>710</v>
      </c>
      <c r="L63" s="297" t="s">
        <v>710</v>
      </c>
      <c r="M63" s="297" t="s">
        <v>710</v>
      </c>
      <c r="N63" s="297">
        <v>12</v>
      </c>
      <c r="O63" s="297" t="s">
        <v>710</v>
      </c>
      <c r="P63" s="297" t="s">
        <v>710</v>
      </c>
      <c r="Q63" s="297" t="s">
        <v>710</v>
      </c>
      <c r="R63" s="297" t="s">
        <v>710</v>
      </c>
      <c r="S63" s="297" t="s">
        <v>710</v>
      </c>
      <c r="T63" s="297" t="s">
        <v>710</v>
      </c>
      <c r="U63" s="297" t="s">
        <v>710</v>
      </c>
      <c r="V63" s="297" t="s">
        <v>710</v>
      </c>
      <c r="W63" s="297" t="s">
        <v>710</v>
      </c>
      <c r="X63" s="297" t="s">
        <v>710</v>
      </c>
      <c r="Y63" s="417"/>
      <c r="Z63" s="412"/>
      <c r="AA63" s="412"/>
      <c r="AB63" s="412"/>
      <c r="AC63" s="412"/>
      <c r="AD63" s="412"/>
      <c r="AE63" s="412"/>
      <c r="AF63" s="417"/>
      <c r="AG63" s="417"/>
      <c r="AH63" s="417"/>
      <c r="AI63" s="417"/>
      <c r="AJ63" s="417"/>
      <c r="AK63" s="417"/>
      <c r="AL63" s="417"/>
      <c r="AM63" s="298">
        <f>SUM(Y63:AL63)</f>
        <v>0</v>
      </c>
    </row>
    <row r="64" spans="1:39" hidden="1" outlineLevel="1">
      <c r="B64" s="296" t="s">
        <v>269</v>
      </c>
      <c r="C64" s="293" t="s">
        <v>164</v>
      </c>
      <c r="D64" s="297" t="s">
        <v>710</v>
      </c>
      <c r="E64" s="297" t="s">
        <v>710</v>
      </c>
      <c r="F64" s="297" t="s">
        <v>710</v>
      </c>
      <c r="G64" s="297" t="s">
        <v>710</v>
      </c>
      <c r="H64" s="297" t="s">
        <v>710</v>
      </c>
      <c r="I64" s="297" t="s">
        <v>710</v>
      </c>
      <c r="J64" s="297" t="s">
        <v>710</v>
      </c>
      <c r="K64" s="297" t="s">
        <v>710</v>
      </c>
      <c r="L64" s="297" t="s">
        <v>710</v>
      </c>
      <c r="M64" s="297" t="s">
        <v>710</v>
      </c>
      <c r="N64" s="297">
        <f>N63</f>
        <v>12</v>
      </c>
      <c r="O64" s="297" t="s">
        <v>710</v>
      </c>
      <c r="P64" s="297" t="s">
        <v>710</v>
      </c>
      <c r="Q64" s="297" t="s">
        <v>710</v>
      </c>
      <c r="R64" s="297" t="s">
        <v>710</v>
      </c>
      <c r="S64" s="297" t="s">
        <v>710</v>
      </c>
      <c r="T64" s="297" t="s">
        <v>710</v>
      </c>
      <c r="U64" s="297" t="s">
        <v>710</v>
      </c>
      <c r="V64" s="297" t="s">
        <v>710</v>
      </c>
      <c r="W64" s="297" t="s">
        <v>710</v>
      </c>
      <c r="X64" s="297" t="s">
        <v>710</v>
      </c>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hidden="1"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hidden="1" outlineLevel="1">
      <c r="A66" s="522">
        <v>10</v>
      </c>
      <c r="B66" s="520" t="s">
        <v>104</v>
      </c>
      <c r="C66" s="293" t="s">
        <v>25</v>
      </c>
      <c r="D66" s="297" t="s">
        <v>710</v>
      </c>
      <c r="E66" s="297" t="s">
        <v>710</v>
      </c>
      <c r="F66" s="297" t="s">
        <v>710</v>
      </c>
      <c r="G66" s="297" t="s">
        <v>710</v>
      </c>
      <c r="H66" s="297" t="s">
        <v>710</v>
      </c>
      <c r="I66" s="297" t="s">
        <v>710</v>
      </c>
      <c r="J66" s="297" t="s">
        <v>710</v>
      </c>
      <c r="K66" s="297" t="s">
        <v>710</v>
      </c>
      <c r="L66" s="297" t="s">
        <v>710</v>
      </c>
      <c r="M66" s="297" t="s">
        <v>710</v>
      </c>
      <c r="N66" s="297">
        <v>3</v>
      </c>
      <c r="O66" s="297" t="s">
        <v>710</v>
      </c>
      <c r="P66" s="297" t="s">
        <v>710</v>
      </c>
      <c r="Q66" s="297" t="s">
        <v>710</v>
      </c>
      <c r="R66" s="297" t="s">
        <v>710</v>
      </c>
      <c r="S66" s="297" t="s">
        <v>710</v>
      </c>
      <c r="T66" s="297" t="s">
        <v>710</v>
      </c>
      <c r="U66" s="297" t="s">
        <v>710</v>
      </c>
      <c r="V66" s="297" t="s">
        <v>710</v>
      </c>
      <c r="W66" s="297" t="s">
        <v>710</v>
      </c>
      <c r="X66" s="297" t="s">
        <v>710</v>
      </c>
      <c r="Y66" s="417"/>
      <c r="Z66" s="412"/>
      <c r="AA66" s="412"/>
      <c r="AB66" s="412"/>
      <c r="AC66" s="412"/>
      <c r="AD66" s="412"/>
      <c r="AE66" s="412"/>
      <c r="AF66" s="417"/>
      <c r="AG66" s="417"/>
      <c r="AH66" s="417"/>
      <c r="AI66" s="417"/>
      <c r="AJ66" s="417"/>
      <c r="AK66" s="417"/>
      <c r="AL66" s="417"/>
      <c r="AM66" s="298">
        <f>SUM(Y66:AL66)</f>
        <v>0</v>
      </c>
    </row>
    <row r="67" spans="1:39" hidden="1" outlineLevel="1">
      <c r="B67" s="296" t="s">
        <v>269</v>
      </c>
      <c r="C67" s="293" t="s">
        <v>164</v>
      </c>
      <c r="D67" s="297" t="s">
        <v>710</v>
      </c>
      <c r="E67" s="297" t="s">
        <v>710</v>
      </c>
      <c r="F67" s="297" t="s">
        <v>710</v>
      </c>
      <c r="G67" s="297" t="s">
        <v>710</v>
      </c>
      <c r="H67" s="297" t="s">
        <v>710</v>
      </c>
      <c r="I67" s="297" t="s">
        <v>710</v>
      </c>
      <c r="J67" s="297" t="s">
        <v>710</v>
      </c>
      <c r="K67" s="297" t="s">
        <v>710</v>
      </c>
      <c r="L67" s="297" t="s">
        <v>710</v>
      </c>
      <c r="M67" s="297" t="s">
        <v>710</v>
      </c>
      <c r="N67" s="297">
        <f>N66</f>
        <v>3</v>
      </c>
      <c r="O67" s="297" t="s">
        <v>710</v>
      </c>
      <c r="P67" s="297" t="s">
        <v>710</v>
      </c>
      <c r="Q67" s="297" t="s">
        <v>710</v>
      </c>
      <c r="R67" s="297" t="s">
        <v>710</v>
      </c>
      <c r="S67" s="297" t="s">
        <v>710</v>
      </c>
      <c r="T67" s="297" t="s">
        <v>710</v>
      </c>
      <c r="U67" s="297" t="s">
        <v>710</v>
      </c>
      <c r="V67" s="297" t="s">
        <v>710</v>
      </c>
      <c r="W67" s="297" t="s">
        <v>710</v>
      </c>
      <c r="X67" s="297" t="s">
        <v>710</v>
      </c>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hidden="1"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hidden="1"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hidden="1" outlineLevel="1">
      <c r="A70" s="522">
        <v>11</v>
      </c>
      <c r="B70" s="520" t="s">
        <v>105</v>
      </c>
      <c r="C70" s="293" t="s">
        <v>25</v>
      </c>
      <c r="D70" s="297" t="s">
        <v>710</v>
      </c>
      <c r="E70" s="297" t="s">
        <v>710</v>
      </c>
      <c r="F70" s="297" t="s">
        <v>710</v>
      </c>
      <c r="G70" s="297" t="s">
        <v>710</v>
      </c>
      <c r="H70" s="297" t="s">
        <v>710</v>
      </c>
      <c r="I70" s="297" t="s">
        <v>710</v>
      </c>
      <c r="J70" s="297" t="s">
        <v>710</v>
      </c>
      <c r="K70" s="297" t="s">
        <v>710</v>
      </c>
      <c r="L70" s="297" t="s">
        <v>710</v>
      </c>
      <c r="M70" s="297" t="s">
        <v>710</v>
      </c>
      <c r="N70" s="297">
        <v>12</v>
      </c>
      <c r="O70" s="297" t="s">
        <v>710</v>
      </c>
      <c r="P70" s="297" t="s">
        <v>710</v>
      </c>
      <c r="Q70" s="297" t="s">
        <v>710</v>
      </c>
      <c r="R70" s="297" t="s">
        <v>710</v>
      </c>
      <c r="S70" s="297" t="s">
        <v>710</v>
      </c>
      <c r="T70" s="297" t="s">
        <v>710</v>
      </c>
      <c r="U70" s="297" t="s">
        <v>710</v>
      </c>
      <c r="V70" s="297" t="s">
        <v>710</v>
      </c>
      <c r="W70" s="297" t="s">
        <v>710</v>
      </c>
      <c r="X70" s="297" t="s">
        <v>710</v>
      </c>
      <c r="Y70" s="428"/>
      <c r="Z70" s="412"/>
      <c r="AA70" s="412"/>
      <c r="AB70" s="412"/>
      <c r="AC70" s="412"/>
      <c r="AD70" s="412"/>
      <c r="AE70" s="412"/>
      <c r="AF70" s="417"/>
      <c r="AG70" s="417"/>
      <c r="AH70" s="417"/>
      <c r="AI70" s="417"/>
      <c r="AJ70" s="417"/>
      <c r="AK70" s="417"/>
      <c r="AL70" s="417"/>
      <c r="AM70" s="298">
        <f>SUM(Y70:AL70)</f>
        <v>0</v>
      </c>
    </row>
    <row r="71" spans="1:39" hidden="1" outlineLevel="1">
      <c r="B71" s="296" t="s">
        <v>269</v>
      </c>
      <c r="C71" s="293" t="s">
        <v>164</v>
      </c>
      <c r="D71" s="297" t="s">
        <v>710</v>
      </c>
      <c r="E71" s="297" t="s">
        <v>710</v>
      </c>
      <c r="F71" s="297" t="s">
        <v>710</v>
      </c>
      <c r="G71" s="297" t="s">
        <v>710</v>
      </c>
      <c r="H71" s="297" t="s">
        <v>710</v>
      </c>
      <c r="I71" s="297" t="s">
        <v>710</v>
      </c>
      <c r="J71" s="297" t="s">
        <v>710</v>
      </c>
      <c r="K71" s="297" t="s">
        <v>710</v>
      </c>
      <c r="L71" s="297" t="s">
        <v>710</v>
      </c>
      <c r="M71" s="297" t="s">
        <v>710</v>
      </c>
      <c r="N71" s="297">
        <f>N70</f>
        <v>12</v>
      </c>
      <c r="O71" s="297" t="s">
        <v>710</v>
      </c>
      <c r="P71" s="297" t="s">
        <v>710</v>
      </c>
      <c r="Q71" s="297" t="s">
        <v>710</v>
      </c>
      <c r="R71" s="297" t="s">
        <v>710</v>
      </c>
      <c r="S71" s="297" t="s">
        <v>710</v>
      </c>
      <c r="T71" s="297" t="s">
        <v>710</v>
      </c>
      <c r="U71" s="297" t="s">
        <v>710</v>
      </c>
      <c r="V71" s="297" t="s">
        <v>710</v>
      </c>
      <c r="W71" s="297" t="s">
        <v>710</v>
      </c>
      <c r="X71" s="297" t="s">
        <v>710</v>
      </c>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hidden="1"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hidden="1" outlineLevel="1">
      <c r="A73" s="522">
        <v>12</v>
      </c>
      <c r="B73" s="520" t="s">
        <v>106</v>
      </c>
      <c r="C73" s="293" t="s">
        <v>25</v>
      </c>
      <c r="D73" s="297" t="s">
        <v>710</v>
      </c>
      <c r="E73" s="297" t="s">
        <v>710</v>
      </c>
      <c r="F73" s="297" t="s">
        <v>710</v>
      </c>
      <c r="G73" s="297" t="s">
        <v>710</v>
      </c>
      <c r="H73" s="297" t="s">
        <v>710</v>
      </c>
      <c r="I73" s="297" t="s">
        <v>710</v>
      </c>
      <c r="J73" s="297" t="s">
        <v>710</v>
      </c>
      <c r="K73" s="297" t="s">
        <v>710</v>
      </c>
      <c r="L73" s="297" t="s">
        <v>710</v>
      </c>
      <c r="M73" s="297" t="s">
        <v>710</v>
      </c>
      <c r="N73" s="297">
        <v>12</v>
      </c>
      <c r="O73" s="297" t="s">
        <v>710</v>
      </c>
      <c r="P73" s="297" t="s">
        <v>710</v>
      </c>
      <c r="Q73" s="297" t="s">
        <v>710</v>
      </c>
      <c r="R73" s="297" t="s">
        <v>710</v>
      </c>
      <c r="S73" s="297" t="s">
        <v>710</v>
      </c>
      <c r="T73" s="297" t="s">
        <v>710</v>
      </c>
      <c r="U73" s="297" t="s">
        <v>710</v>
      </c>
      <c r="V73" s="297" t="s">
        <v>710</v>
      </c>
      <c r="W73" s="297" t="s">
        <v>710</v>
      </c>
      <c r="X73" s="297" t="s">
        <v>710</v>
      </c>
      <c r="Y73" s="412"/>
      <c r="Z73" s="412"/>
      <c r="AA73" s="412"/>
      <c r="AB73" s="412"/>
      <c r="AC73" s="412"/>
      <c r="AD73" s="412"/>
      <c r="AE73" s="412"/>
      <c r="AF73" s="417"/>
      <c r="AG73" s="417"/>
      <c r="AH73" s="417"/>
      <c r="AI73" s="417"/>
      <c r="AJ73" s="417"/>
      <c r="AK73" s="417"/>
      <c r="AL73" s="417"/>
      <c r="AM73" s="298">
        <f>SUM(Y73:AL73)</f>
        <v>0</v>
      </c>
    </row>
    <row r="74" spans="1:39" hidden="1" outlineLevel="1">
      <c r="B74" s="520" t="s">
        <v>269</v>
      </c>
      <c r="C74" s="293" t="s">
        <v>164</v>
      </c>
      <c r="D74" s="297" t="s">
        <v>710</v>
      </c>
      <c r="E74" s="297" t="s">
        <v>710</v>
      </c>
      <c r="F74" s="297" t="s">
        <v>710</v>
      </c>
      <c r="G74" s="297" t="s">
        <v>710</v>
      </c>
      <c r="H74" s="297" t="s">
        <v>710</v>
      </c>
      <c r="I74" s="297" t="s">
        <v>710</v>
      </c>
      <c r="J74" s="297" t="s">
        <v>710</v>
      </c>
      <c r="K74" s="297" t="s">
        <v>710</v>
      </c>
      <c r="L74" s="297" t="s">
        <v>710</v>
      </c>
      <c r="M74" s="297" t="s">
        <v>710</v>
      </c>
      <c r="N74" s="297">
        <f>N73</f>
        <v>12</v>
      </c>
      <c r="O74" s="297" t="s">
        <v>710</v>
      </c>
      <c r="P74" s="297" t="s">
        <v>710</v>
      </c>
      <c r="Q74" s="297" t="s">
        <v>710</v>
      </c>
      <c r="R74" s="297" t="s">
        <v>710</v>
      </c>
      <c r="S74" s="297" t="s">
        <v>710</v>
      </c>
      <c r="T74" s="297" t="s">
        <v>710</v>
      </c>
      <c r="U74" s="297" t="s">
        <v>710</v>
      </c>
      <c r="V74" s="297" t="s">
        <v>710</v>
      </c>
      <c r="W74" s="297" t="s">
        <v>710</v>
      </c>
      <c r="X74" s="297" t="s">
        <v>710</v>
      </c>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hidden="1" outlineLevel="1">
      <c r="B75" s="520"/>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hidden="1" outlineLevel="1">
      <c r="A76" s="522">
        <v>13</v>
      </c>
      <c r="B76" s="520" t="s">
        <v>107</v>
      </c>
      <c r="C76" s="293" t="s">
        <v>25</v>
      </c>
      <c r="D76" s="297">
        <v>16371.3635256915</v>
      </c>
      <c r="E76" s="297">
        <v>16371.3635256915</v>
      </c>
      <c r="F76" s="297">
        <v>16371.3635256915</v>
      </c>
      <c r="G76" s="297">
        <v>16371.3635256915</v>
      </c>
      <c r="H76" s="297">
        <v>16371.3635256915</v>
      </c>
      <c r="I76" s="297">
        <v>16371.3635256915</v>
      </c>
      <c r="J76" s="297">
        <v>16371.3635256915</v>
      </c>
      <c r="K76" s="297">
        <v>16371.3635256915</v>
      </c>
      <c r="L76" s="297">
        <v>16371.3635256915</v>
      </c>
      <c r="M76" s="297">
        <v>16371.3635256915</v>
      </c>
      <c r="N76" s="297">
        <v>12</v>
      </c>
      <c r="O76" s="297">
        <v>5.1296895000000005</v>
      </c>
      <c r="P76" s="297">
        <v>5.1296895000000005</v>
      </c>
      <c r="Q76" s="297">
        <v>5.1296895000000005</v>
      </c>
      <c r="R76" s="297">
        <v>5.1296895000000005</v>
      </c>
      <c r="S76" s="297">
        <v>5.1296895000000005</v>
      </c>
      <c r="T76" s="297">
        <v>5.1296895000000005</v>
      </c>
      <c r="U76" s="297">
        <v>5.1296895000000005</v>
      </c>
      <c r="V76" s="297">
        <v>5.1296895000000005</v>
      </c>
      <c r="W76" s="297">
        <v>5.1296895000000005</v>
      </c>
      <c r="X76" s="297">
        <v>5.1296895000000005</v>
      </c>
      <c r="Y76" s="412">
        <v>0</v>
      </c>
      <c r="Z76" s="412">
        <v>0</v>
      </c>
      <c r="AA76" s="412">
        <v>1</v>
      </c>
      <c r="AB76" s="412"/>
      <c r="AC76" s="412"/>
      <c r="AD76" s="412"/>
      <c r="AE76" s="412"/>
      <c r="AF76" s="417"/>
      <c r="AG76" s="417"/>
      <c r="AH76" s="417"/>
      <c r="AI76" s="417"/>
      <c r="AJ76" s="417"/>
      <c r="AK76" s="417"/>
      <c r="AL76" s="417"/>
      <c r="AM76" s="298">
        <f>SUM(Y76:AL76)</f>
        <v>1</v>
      </c>
    </row>
    <row r="77" spans="1:39" hidden="1" outlineLevel="1">
      <c r="B77" s="520" t="s">
        <v>269</v>
      </c>
      <c r="C77" s="293" t="s">
        <v>164</v>
      </c>
      <c r="D77" s="297">
        <v>0</v>
      </c>
      <c r="E77" s="297">
        <v>0</v>
      </c>
      <c r="F77" s="297">
        <v>0</v>
      </c>
      <c r="G77" s="297">
        <v>0</v>
      </c>
      <c r="H77" s="297">
        <v>0</v>
      </c>
      <c r="I77" s="297">
        <v>0</v>
      </c>
      <c r="J77" s="297">
        <v>0</v>
      </c>
      <c r="K77" s="297">
        <v>0</v>
      </c>
      <c r="L77" s="297">
        <v>0</v>
      </c>
      <c r="M77" s="297">
        <v>0</v>
      </c>
      <c r="N77" s="297">
        <f>N76</f>
        <v>12</v>
      </c>
      <c r="O77" s="297">
        <v>0</v>
      </c>
      <c r="P77" s="297">
        <v>0</v>
      </c>
      <c r="Q77" s="297">
        <v>0</v>
      </c>
      <c r="R77" s="297">
        <v>0</v>
      </c>
      <c r="S77" s="297">
        <v>0</v>
      </c>
      <c r="T77" s="297">
        <v>0</v>
      </c>
      <c r="U77" s="297">
        <v>0</v>
      </c>
      <c r="V77" s="297">
        <v>0</v>
      </c>
      <c r="W77" s="297">
        <v>0</v>
      </c>
      <c r="X77" s="297">
        <v>0</v>
      </c>
      <c r="Y77" s="413">
        <f>Y76</f>
        <v>0</v>
      </c>
      <c r="Z77" s="413">
        <f t="shared" ref="Z77:AL77" si="143">Z76</f>
        <v>0</v>
      </c>
      <c r="AA77" s="413">
        <f t="shared" si="143"/>
        <v>1</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hidden="1" outlineLevel="1">
      <c r="B78" s="520"/>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hidden="1"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hidden="1" outlineLevel="1">
      <c r="A80" s="522">
        <v>14</v>
      </c>
      <c r="B80" s="317" t="s">
        <v>109</v>
      </c>
      <c r="C80" s="293" t="s">
        <v>25</v>
      </c>
      <c r="D80" s="297">
        <v>10324.690811157227</v>
      </c>
      <c r="E80" s="297">
        <v>7074.1198806762695</v>
      </c>
      <c r="F80" s="297">
        <v>6461.8127899169922</v>
      </c>
      <c r="G80" s="297">
        <v>5849.505199432373</v>
      </c>
      <c r="H80" s="297">
        <v>5849.505199432373</v>
      </c>
      <c r="I80" s="297">
        <v>5849.505199432373</v>
      </c>
      <c r="J80" s="297">
        <v>5213.6168785095215</v>
      </c>
      <c r="K80" s="297">
        <v>5213.6168785095215</v>
      </c>
      <c r="L80" s="297">
        <v>620.58732604980469</v>
      </c>
      <c r="M80" s="297">
        <v>620.58732604980469</v>
      </c>
      <c r="N80" s="297">
        <v>12</v>
      </c>
      <c r="O80" s="297">
        <v>0.67962809698656201</v>
      </c>
      <c r="P80" s="297">
        <v>0.51077296514995396</v>
      </c>
      <c r="Q80" s="297">
        <v>0.47896587220020592</v>
      </c>
      <c r="R80" s="297">
        <v>0.44715875689871609</v>
      </c>
      <c r="S80" s="297">
        <v>0.44715875689871609</v>
      </c>
      <c r="T80" s="297">
        <v>0.44715875689871609</v>
      </c>
      <c r="U80" s="297">
        <v>0.41412671213038266</v>
      </c>
      <c r="V80" s="297">
        <v>0.41412671213038266</v>
      </c>
      <c r="W80" s="297">
        <v>0.17553582321852446</v>
      </c>
      <c r="X80" s="297">
        <v>0.17553582321852446</v>
      </c>
      <c r="Y80" s="412">
        <v>1</v>
      </c>
      <c r="Z80" s="412">
        <v>0</v>
      </c>
      <c r="AA80" s="412">
        <v>0</v>
      </c>
      <c r="AB80" s="412"/>
      <c r="AC80" s="412"/>
      <c r="AD80" s="412"/>
      <c r="AE80" s="412"/>
      <c r="AF80" s="412"/>
      <c r="AG80" s="412"/>
      <c r="AH80" s="412"/>
      <c r="AI80" s="412"/>
      <c r="AJ80" s="412"/>
      <c r="AK80" s="412"/>
      <c r="AL80" s="412"/>
      <c r="AM80" s="298">
        <f>SUM(Y80:AL80)</f>
        <v>1</v>
      </c>
    </row>
    <row r="81" spans="1:40" hidden="1" outlineLevel="1">
      <c r="B81" s="296" t="s">
        <v>269</v>
      </c>
      <c r="C81" s="293" t="s">
        <v>164</v>
      </c>
      <c r="D81" s="297">
        <v>0</v>
      </c>
      <c r="E81" s="297">
        <v>0</v>
      </c>
      <c r="F81" s="297">
        <v>0</v>
      </c>
      <c r="G81" s="297">
        <v>0</v>
      </c>
      <c r="H81" s="297">
        <v>0</v>
      </c>
      <c r="I81" s="297">
        <v>0</v>
      </c>
      <c r="J81" s="297">
        <v>0</v>
      </c>
      <c r="K81" s="297">
        <v>0</v>
      </c>
      <c r="L81" s="297">
        <v>0</v>
      </c>
      <c r="M81" s="297">
        <v>0</v>
      </c>
      <c r="N81" s="297">
        <f>N80</f>
        <v>12</v>
      </c>
      <c r="O81" s="297">
        <v>0</v>
      </c>
      <c r="P81" s="297">
        <v>0</v>
      </c>
      <c r="Q81" s="297">
        <v>0</v>
      </c>
      <c r="R81" s="297">
        <v>0</v>
      </c>
      <c r="S81" s="297">
        <v>0</v>
      </c>
      <c r="T81" s="297">
        <v>0</v>
      </c>
      <c r="U81" s="297">
        <v>0</v>
      </c>
      <c r="V81" s="297">
        <v>0</v>
      </c>
      <c r="W81" s="297">
        <v>0</v>
      </c>
      <c r="X81" s="297">
        <v>0</v>
      </c>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5" customFormat="1" hidden="1" outlineLevel="1">
      <c r="A82" s="523"/>
      <c r="B82" s="296"/>
      <c r="C82" s="293"/>
      <c r="D82" s="293"/>
      <c r="E82" s="293"/>
      <c r="F82" s="293"/>
      <c r="G82" s="293"/>
      <c r="H82" s="293"/>
      <c r="I82" s="293"/>
      <c r="J82" s="293"/>
      <c r="K82" s="293"/>
      <c r="L82" s="293"/>
      <c r="M82" s="293"/>
      <c r="N82" s="469"/>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6"/>
      <c r="AN82" s="630"/>
    </row>
    <row r="83" spans="1:40" s="311" customFormat="1" ht="15.75" hidden="1" outlineLevel="1">
      <c r="A83" s="523"/>
      <c r="B83" s="290" t="s">
        <v>493</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7"/>
      <c r="AN83" s="631"/>
    </row>
    <row r="84" spans="1:40" hidden="1" outlineLevel="1">
      <c r="A84" s="522">
        <v>15</v>
      </c>
      <c r="B84" s="296" t="s">
        <v>498</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hidden="1" outlineLevel="1">
      <c r="B85" s="296" t="s">
        <v>269</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hidden="1"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hidden="1" outlineLevel="1">
      <c r="A87" s="522">
        <v>16</v>
      </c>
      <c r="B87" s="326" t="s">
        <v>494</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hidden="1" outlineLevel="1">
      <c r="A88" s="522"/>
      <c r="B88" s="326" t="s">
        <v>269</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hidden="1" outlineLevel="1">
      <c r="A89" s="522"/>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hidden="1" outlineLevel="1">
      <c r="B90" s="519" t="s">
        <v>499</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hidden="1" outlineLevel="1">
      <c r="A91" s="522">
        <v>17</v>
      </c>
      <c r="B91" s="520"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hidden="1" outlineLevel="1">
      <c r="B92" s="296" t="s">
        <v>269</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hidden="1"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hidden="1" outlineLevel="1">
      <c r="A94" s="522">
        <v>18</v>
      </c>
      <c r="B94" s="520"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hidden="1" outlineLevel="1">
      <c r="B95" s="296" t="s">
        <v>269</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hidden="1"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hidden="1" outlineLevel="1">
      <c r="A97" s="522">
        <v>19</v>
      </c>
      <c r="B97" s="520"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hidden="1" outlineLevel="1">
      <c r="B98" s="296" t="s">
        <v>269</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hidden="1"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hidden="1" outlineLevel="1">
      <c r="A100" s="522">
        <v>20</v>
      </c>
      <c r="B100" s="520"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hidden="1" outlineLevel="1">
      <c r="B101" s="296" t="s">
        <v>269</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hidden="1"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hidden="1" outlineLevel="1">
      <c r="B103" s="518" t="s">
        <v>506</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hidden="1" outlineLevel="1">
      <c r="B104" s="290" t="s">
        <v>502</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hidden="1" outlineLevel="1">
      <c r="A105" s="522">
        <v>21</v>
      </c>
      <c r="B105" s="520" t="s">
        <v>114</v>
      </c>
      <c r="C105" s="293" t="s">
        <v>25</v>
      </c>
      <c r="D105" s="297">
        <v>272095.77218870498</v>
      </c>
      <c r="E105" s="297">
        <v>269742.49965404742</v>
      </c>
      <c r="F105" s="297">
        <v>269742.49965404742</v>
      </c>
      <c r="G105" s="297">
        <v>269742.49965404742</v>
      </c>
      <c r="H105" s="297">
        <v>269742.49965404742</v>
      </c>
      <c r="I105" s="297">
        <v>269742.49965404742</v>
      </c>
      <c r="J105" s="297">
        <v>269742.49965404742</v>
      </c>
      <c r="K105" s="297">
        <v>269587.08950964885</v>
      </c>
      <c r="L105" s="297">
        <v>269587.08950964885</v>
      </c>
      <c r="M105" s="297">
        <v>269587.08950964885</v>
      </c>
      <c r="N105" s="293"/>
      <c r="O105" s="297">
        <v>17.469951173617591</v>
      </c>
      <c r="P105" s="297">
        <v>17.322219079968804</v>
      </c>
      <c r="Q105" s="297">
        <v>17.322219079968804</v>
      </c>
      <c r="R105" s="297">
        <v>17.322219079968804</v>
      </c>
      <c r="S105" s="297">
        <v>17.322219079968804</v>
      </c>
      <c r="T105" s="297">
        <v>17.322219079968804</v>
      </c>
      <c r="U105" s="297">
        <v>17.322219079968804</v>
      </c>
      <c r="V105" s="297">
        <v>17.304478195905041</v>
      </c>
      <c r="W105" s="297">
        <v>17.304478195905041</v>
      </c>
      <c r="X105" s="297">
        <v>17.304478195905041</v>
      </c>
      <c r="Y105" s="412">
        <v>1</v>
      </c>
      <c r="Z105" s="412">
        <v>0</v>
      </c>
      <c r="AA105" s="412">
        <v>0</v>
      </c>
      <c r="AB105" s="412"/>
      <c r="AC105" s="412"/>
      <c r="AD105" s="412"/>
      <c r="AE105" s="412"/>
      <c r="AF105" s="412"/>
      <c r="AG105" s="412"/>
      <c r="AH105" s="412"/>
      <c r="AI105" s="412"/>
      <c r="AJ105" s="412"/>
      <c r="AK105" s="412"/>
      <c r="AL105" s="412"/>
      <c r="AM105" s="298">
        <f>SUM(Y105:AL105)</f>
        <v>1</v>
      </c>
    </row>
    <row r="106" spans="1:39" hidden="1" outlineLevel="1">
      <c r="B106" s="296" t="s">
        <v>269</v>
      </c>
      <c r="C106" s="293" t="s">
        <v>164</v>
      </c>
      <c r="D106" s="297">
        <v>26760.271340875115</v>
      </c>
      <c r="E106" s="297">
        <v>26378.216193615201</v>
      </c>
      <c r="F106" s="297">
        <v>26378.216193615201</v>
      </c>
      <c r="G106" s="297">
        <v>26378.216193615201</v>
      </c>
      <c r="H106" s="297">
        <v>26378.216193615201</v>
      </c>
      <c r="I106" s="297">
        <v>26378.216193615201</v>
      </c>
      <c r="J106" s="297">
        <v>26378.216193615201</v>
      </c>
      <c r="K106" s="297">
        <v>26363.350989739421</v>
      </c>
      <c r="L106" s="297">
        <v>26363.350989739421</v>
      </c>
      <c r="M106" s="297">
        <v>26363.350989739421</v>
      </c>
      <c r="N106" s="293"/>
      <c r="O106" s="297">
        <v>1.7198925793966857</v>
      </c>
      <c r="P106" s="297">
        <v>1.6959081891644612</v>
      </c>
      <c r="Q106" s="297">
        <v>1.6959081891644612</v>
      </c>
      <c r="R106" s="297">
        <v>1.6959081891644612</v>
      </c>
      <c r="S106" s="297">
        <v>1.6959081891644612</v>
      </c>
      <c r="T106" s="297">
        <v>1.6959081891644612</v>
      </c>
      <c r="U106" s="297">
        <v>1.6959081891644612</v>
      </c>
      <c r="V106" s="297">
        <v>1.6942112480827509</v>
      </c>
      <c r="W106" s="297">
        <v>1.6942112480827509</v>
      </c>
      <c r="X106" s="297">
        <v>1.6942112480827509</v>
      </c>
      <c r="Y106" s="413">
        <f>Y105</f>
        <v>1</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hidden="1"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hidden="1" outlineLevel="1">
      <c r="A108" s="522">
        <v>22</v>
      </c>
      <c r="B108" s="520" t="s">
        <v>115</v>
      </c>
      <c r="C108" s="293" t="s">
        <v>25</v>
      </c>
      <c r="D108" s="297">
        <v>71915.795361629906</v>
      </c>
      <c r="E108" s="297">
        <v>71915.795361629906</v>
      </c>
      <c r="F108" s="297">
        <v>71915.795361629906</v>
      </c>
      <c r="G108" s="297">
        <v>71915.795361629906</v>
      </c>
      <c r="H108" s="297">
        <v>71915.795361629906</v>
      </c>
      <c r="I108" s="297">
        <v>71915.795361629906</v>
      </c>
      <c r="J108" s="297">
        <v>71915.795361629906</v>
      </c>
      <c r="K108" s="297">
        <v>71915.795361629906</v>
      </c>
      <c r="L108" s="297">
        <v>71915.795361629906</v>
      </c>
      <c r="M108" s="297">
        <v>71915.795361629906</v>
      </c>
      <c r="N108" s="293"/>
      <c r="O108" s="297">
        <v>36.793749923419099</v>
      </c>
      <c r="P108" s="297">
        <v>36.793749923419099</v>
      </c>
      <c r="Q108" s="297">
        <v>36.793749923419099</v>
      </c>
      <c r="R108" s="297">
        <v>36.793749923419099</v>
      </c>
      <c r="S108" s="297">
        <v>36.793749923419099</v>
      </c>
      <c r="T108" s="297">
        <v>36.793749923419099</v>
      </c>
      <c r="U108" s="297">
        <v>36.793749923419099</v>
      </c>
      <c r="V108" s="297">
        <v>36.793749923419099</v>
      </c>
      <c r="W108" s="297">
        <v>36.793749923419099</v>
      </c>
      <c r="X108" s="297">
        <v>36.793749923419099</v>
      </c>
      <c r="Y108" s="412">
        <v>1</v>
      </c>
      <c r="Z108" s="412">
        <v>0</v>
      </c>
      <c r="AA108" s="412">
        <v>0</v>
      </c>
      <c r="AB108" s="412"/>
      <c r="AC108" s="412"/>
      <c r="AD108" s="412"/>
      <c r="AE108" s="412"/>
      <c r="AF108" s="412"/>
      <c r="AG108" s="412"/>
      <c r="AH108" s="412"/>
      <c r="AI108" s="412"/>
      <c r="AJ108" s="412"/>
      <c r="AK108" s="412"/>
      <c r="AL108" s="412"/>
      <c r="AM108" s="298">
        <f>SUM(Y108:AL108)</f>
        <v>1</v>
      </c>
    </row>
    <row r="109" spans="1:39" hidden="1" outlineLevel="1">
      <c r="B109" s="296" t="s">
        <v>269</v>
      </c>
      <c r="C109" s="293" t="s">
        <v>164</v>
      </c>
      <c r="D109" s="297">
        <v>6658.9999999999991</v>
      </c>
      <c r="E109" s="297">
        <v>6658.9999999999991</v>
      </c>
      <c r="F109" s="297">
        <v>6658.9999999999991</v>
      </c>
      <c r="G109" s="297">
        <v>6658.9999999999991</v>
      </c>
      <c r="H109" s="297">
        <v>6658.9999999999991</v>
      </c>
      <c r="I109" s="297">
        <v>6658.9999999999991</v>
      </c>
      <c r="J109" s="297">
        <v>6658.9999999999991</v>
      </c>
      <c r="K109" s="297">
        <v>6658.9999999999991</v>
      </c>
      <c r="L109" s="297">
        <v>6658.9999999999991</v>
      </c>
      <c r="M109" s="297">
        <v>6658.9999999999991</v>
      </c>
      <c r="N109" s="293"/>
      <c r="O109" s="297">
        <v>3.4535000000000005</v>
      </c>
      <c r="P109" s="297">
        <v>3.4535000000000005</v>
      </c>
      <c r="Q109" s="297">
        <v>3.4535000000000005</v>
      </c>
      <c r="R109" s="297">
        <v>3.4535000000000005</v>
      </c>
      <c r="S109" s="297">
        <v>3.4535000000000005</v>
      </c>
      <c r="T109" s="297">
        <v>3.4535000000000005</v>
      </c>
      <c r="U109" s="297">
        <v>3.4535000000000005</v>
      </c>
      <c r="V109" s="297">
        <v>3.4535000000000005</v>
      </c>
      <c r="W109" s="297">
        <v>3.4535000000000005</v>
      </c>
      <c r="X109" s="297">
        <v>3.4535000000000005</v>
      </c>
      <c r="Y109" s="413">
        <f>Y108</f>
        <v>1</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hidden="1"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hidden="1" outlineLevel="1">
      <c r="A111" s="522">
        <v>23</v>
      </c>
      <c r="B111" s="520"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hidden="1" outlineLevel="1">
      <c r="B112" s="296" t="s">
        <v>269</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hidden="1"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hidden="1" outlineLevel="1">
      <c r="A114" s="522">
        <v>24</v>
      </c>
      <c r="B114" s="520"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hidden="1" outlineLevel="1">
      <c r="B115" s="296" t="s">
        <v>269</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hidden="1"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hidden="1" outlineLevel="1">
      <c r="B117" s="290" t="s">
        <v>503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hidden="1" outlineLevel="1">
      <c r="A118" s="522">
        <v>25</v>
      </c>
      <c r="B118" s="520"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hidden="1" outlineLevel="1">
      <c r="B119" s="296" t="s">
        <v>269</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hidden="1"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hidden="1" outlineLevel="1">
      <c r="A121" s="522">
        <v>26</v>
      </c>
      <c r="B121" s="520" t="s">
        <v>119</v>
      </c>
      <c r="C121" s="293" t="s">
        <v>25</v>
      </c>
      <c r="D121" s="297">
        <v>157549.14323282012</v>
      </c>
      <c r="E121" s="297">
        <v>157549.14323282012</v>
      </c>
      <c r="F121" s="297">
        <v>157549.14323282012</v>
      </c>
      <c r="G121" s="297">
        <v>157549.14323282012</v>
      </c>
      <c r="H121" s="297">
        <v>157549.14323282012</v>
      </c>
      <c r="I121" s="297">
        <v>157549.14323282012</v>
      </c>
      <c r="J121" s="297">
        <v>155886.90356597977</v>
      </c>
      <c r="K121" s="297">
        <v>155886.90356597977</v>
      </c>
      <c r="L121" s="297">
        <v>155886.90356597977</v>
      </c>
      <c r="M121" s="297">
        <v>150468.82516639068</v>
      </c>
      <c r="N121" s="297">
        <v>12</v>
      </c>
      <c r="O121" s="297">
        <v>11.253497362931158</v>
      </c>
      <c r="P121" s="297">
        <v>11.253497362931158</v>
      </c>
      <c r="Q121" s="297">
        <v>11.253497362931158</v>
      </c>
      <c r="R121" s="297">
        <v>11.253497362931158</v>
      </c>
      <c r="S121" s="297">
        <v>11.253497362931158</v>
      </c>
      <c r="T121" s="297">
        <v>11.253497362931158</v>
      </c>
      <c r="U121" s="297">
        <v>11.091711208972992</v>
      </c>
      <c r="V121" s="297">
        <v>11.091711208972992</v>
      </c>
      <c r="W121" s="297">
        <v>11.091711208972992</v>
      </c>
      <c r="X121" s="297">
        <v>10.564368441500994</v>
      </c>
      <c r="Y121" s="412">
        <v>0</v>
      </c>
      <c r="Z121" s="412">
        <v>0.33732998256267432</v>
      </c>
      <c r="AA121" s="412">
        <v>0.66267001743732568</v>
      </c>
      <c r="AB121" s="412"/>
      <c r="AC121" s="533"/>
      <c r="AD121" s="412"/>
      <c r="AE121" s="412"/>
      <c r="AF121" s="417"/>
      <c r="AG121" s="417"/>
      <c r="AH121" s="417"/>
      <c r="AI121" s="417"/>
      <c r="AJ121" s="417"/>
      <c r="AK121" s="417"/>
      <c r="AL121" s="417"/>
      <c r="AM121" s="298">
        <f>SUM(Y121:AL121)</f>
        <v>1</v>
      </c>
    </row>
    <row r="122" spans="1:39" hidden="1" outlineLevel="1">
      <c r="B122" s="296" t="s">
        <v>269</v>
      </c>
      <c r="C122" s="293" t="s">
        <v>164</v>
      </c>
      <c r="D122" s="297">
        <v>339035.14020330296</v>
      </c>
      <c r="E122" s="297">
        <v>339035.14020330296</v>
      </c>
      <c r="F122" s="297">
        <v>339035.14020330296</v>
      </c>
      <c r="G122" s="297">
        <v>339035.14020330296</v>
      </c>
      <c r="H122" s="297">
        <v>339035.14020330296</v>
      </c>
      <c r="I122" s="297">
        <v>339035.14020330296</v>
      </c>
      <c r="J122" s="297">
        <v>334126.66464447579</v>
      </c>
      <c r="K122" s="297">
        <v>334126.66464447579</v>
      </c>
      <c r="L122" s="297">
        <v>334126.66464447579</v>
      </c>
      <c r="M122" s="297">
        <v>318625.86269657878</v>
      </c>
      <c r="N122" s="297">
        <f>N121</f>
        <v>12</v>
      </c>
      <c r="O122" s="297">
        <v>53.619570761560993</v>
      </c>
      <c r="P122" s="297">
        <v>53.619570761560993</v>
      </c>
      <c r="Q122" s="297">
        <v>53.619570761560993</v>
      </c>
      <c r="R122" s="297">
        <v>53.619570761560993</v>
      </c>
      <c r="S122" s="297">
        <v>53.619570761560993</v>
      </c>
      <c r="T122" s="297">
        <v>53.619570761560993</v>
      </c>
      <c r="U122" s="297">
        <v>52.863186143468724</v>
      </c>
      <c r="V122" s="297">
        <v>52.863186143468724</v>
      </c>
      <c r="W122" s="297">
        <v>52.863186143468724</v>
      </c>
      <c r="X122" s="297">
        <v>50.474548771036652</v>
      </c>
      <c r="Y122" s="413">
        <f>Y121</f>
        <v>0</v>
      </c>
      <c r="Z122" s="413">
        <f t="shared" ref="Z122" si="241">Z121</f>
        <v>0.33732998256267432</v>
      </c>
      <c r="AA122" s="413">
        <f t="shared" ref="AA122" si="242">AA121</f>
        <v>0.66267001743732568</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hidden="1"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hidden="1" outlineLevel="1">
      <c r="A124" s="522">
        <v>27</v>
      </c>
      <c r="B124" s="520"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hidden="1" outlineLevel="1">
      <c r="B125" s="296" t="s">
        <v>269</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hidden="1"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hidden="1" outlineLevel="1">
      <c r="A127" s="522">
        <v>28</v>
      </c>
      <c r="B127" s="520"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hidden="1" outlineLevel="1">
      <c r="B128" s="296" t="s">
        <v>269</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hidden="1"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hidden="1" outlineLevel="1">
      <c r="A130" s="522">
        <v>29</v>
      </c>
      <c r="B130" s="520"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hidden="1" outlineLevel="1">
      <c r="B131" s="296" t="s">
        <v>269</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hidden="1"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hidden="1" outlineLevel="1">
      <c r="A133" s="522">
        <v>30</v>
      </c>
      <c r="B133" s="520"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hidden="1" outlineLevel="1">
      <c r="B134" s="296" t="s">
        <v>269</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hidden="1"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hidden="1" outlineLevel="1">
      <c r="A136" s="522">
        <v>31</v>
      </c>
      <c r="B136" s="520"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hidden="1" outlineLevel="1">
      <c r="B137" s="296" t="s">
        <v>269</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hidden="1" outlineLevel="1">
      <c r="B138" s="520"/>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hidden="1" customHeight="1" outlineLevel="1">
      <c r="A139" s="522">
        <v>32</v>
      </c>
      <c r="B139" s="520"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hidden="1" outlineLevel="1">
      <c r="B140" s="296" t="s">
        <v>269</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hidden="1" outlineLevel="1">
      <c r="B141" s="520"/>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hidden="1" outlineLevel="1">
      <c r="B142" s="290" t="s">
        <v>504</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hidden="1" outlineLevel="1">
      <c r="A143" s="522">
        <v>33</v>
      </c>
      <c r="B143" s="520"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hidden="1" outlineLevel="1">
      <c r="B144" s="296" t="s">
        <v>269</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hidden="1" outlineLevel="1">
      <c r="B145" s="520"/>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hidden="1" outlineLevel="1">
      <c r="A146" s="522">
        <v>34</v>
      </c>
      <c r="B146" s="520"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hidden="1" outlineLevel="1">
      <c r="B147" s="296" t="s">
        <v>269</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hidden="1" outlineLevel="1">
      <c r="B148" s="520"/>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hidden="1" outlineLevel="1">
      <c r="A149" s="522">
        <v>35</v>
      </c>
      <c r="B149" s="520"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hidden="1" outlineLevel="1">
      <c r="B150" s="296" t="s">
        <v>269</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hidden="1"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hidden="1" outlineLevel="1">
      <c r="B152" s="290" t="s">
        <v>505</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hidden="1" outlineLevel="1">
      <c r="A153" s="522">
        <v>36</v>
      </c>
      <c r="B153" s="520"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hidden="1" outlineLevel="1">
      <c r="B154" s="296" t="s">
        <v>269</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hidden="1" outlineLevel="1">
      <c r="B155" s="520"/>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hidden="1" outlineLevel="1">
      <c r="A156" s="522">
        <v>37</v>
      </c>
      <c r="B156" s="520"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hidden="1" outlineLevel="1">
      <c r="B157" s="296" t="s">
        <v>269</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hidden="1" outlineLevel="1">
      <c r="B158" s="520"/>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hidden="1" outlineLevel="1">
      <c r="A159" s="522">
        <v>38</v>
      </c>
      <c r="B159" s="520"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hidden="1" outlineLevel="1">
      <c r="B160" s="296" t="s">
        <v>269</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hidden="1" outlineLevel="1">
      <c r="B161" s="520"/>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hidden="1" outlineLevel="1">
      <c r="A162" s="522">
        <v>39</v>
      </c>
      <c r="B162" s="520"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hidden="1" outlineLevel="1">
      <c r="B163" s="296" t="s">
        <v>269</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hidden="1" outlineLevel="1">
      <c r="B164" s="520"/>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hidden="1" outlineLevel="1">
      <c r="A165" s="522">
        <v>40</v>
      </c>
      <c r="B165" s="520"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hidden="1" outlineLevel="1">
      <c r="B166" s="296" t="s">
        <v>269</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hidden="1" outlineLevel="1">
      <c r="B167" s="520"/>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hidden="1" outlineLevel="1">
      <c r="A168" s="522">
        <v>41</v>
      </c>
      <c r="B168" s="520"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hidden="1" outlineLevel="1">
      <c r="B169" s="296" t="s">
        <v>269</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hidden="1" outlineLevel="1">
      <c r="B170" s="520"/>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hidden="1" outlineLevel="1">
      <c r="A171" s="522">
        <v>42</v>
      </c>
      <c r="B171" s="520"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hidden="1" outlineLevel="1">
      <c r="B172" s="296" t="s">
        <v>269</v>
      </c>
      <c r="C172" s="293" t="s">
        <v>164</v>
      </c>
      <c r="D172" s="297"/>
      <c r="E172" s="297"/>
      <c r="F172" s="297"/>
      <c r="G172" s="297"/>
      <c r="H172" s="297"/>
      <c r="I172" s="297"/>
      <c r="J172" s="297"/>
      <c r="K172" s="297"/>
      <c r="L172" s="297"/>
      <c r="M172" s="297"/>
      <c r="N172" s="469"/>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hidden="1" outlineLevel="1">
      <c r="B173" s="520"/>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hidden="1" outlineLevel="1">
      <c r="A174" s="522">
        <v>43</v>
      </c>
      <c r="B174" s="520"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hidden="1" outlineLevel="1">
      <c r="B175" s="296" t="s">
        <v>269</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hidden="1" outlineLevel="1">
      <c r="B176" s="520"/>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hidden="1" outlineLevel="1">
      <c r="A177" s="522">
        <v>44</v>
      </c>
      <c r="B177" s="520"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hidden="1" outlineLevel="1">
      <c r="B178" s="296" t="s">
        <v>269</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hidden="1" outlineLevel="1">
      <c r="B179" s="520"/>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hidden="1" outlineLevel="1">
      <c r="A180" s="522">
        <v>45</v>
      </c>
      <c r="B180" s="520"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hidden="1" outlineLevel="1">
      <c r="B181" s="296" t="s">
        <v>269</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hidden="1" outlineLevel="1">
      <c r="B182" s="520"/>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hidden="1" outlineLevel="1">
      <c r="A183" s="522">
        <v>46</v>
      </c>
      <c r="B183" s="520"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hidden="1" outlineLevel="1">
      <c r="B184" s="296" t="s">
        <v>269</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hidden="1" outlineLevel="1">
      <c r="B185" s="520"/>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hidden="1" outlineLevel="1">
      <c r="A186" s="522">
        <v>47</v>
      </c>
      <c r="B186" s="520"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hidden="1" outlineLevel="1">
      <c r="B187" s="296" t="s">
        <v>269</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hidden="1" outlineLevel="1">
      <c r="B188" s="520"/>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hidden="1" outlineLevel="1">
      <c r="A189" s="522">
        <v>48</v>
      </c>
      <c r="B189" s="520"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hidden="1" outlineLevel="1">
      <c r="B190" s="296" t="s">
        <v>269</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hidden="1" outlineLevel="1">
      <c r="B191" s="520"/>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hidden="1" outlineLevel="1">
      <c r="A192" s="522">
        <v>49</v>
      </c>
      <c r="B192" s="520"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hidden="1" outlineLevel="1">
      <c r="B193" s="296" t="s">
        <v>269</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hidden="1"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ollapsed="1">
      <c r="B195" s="329" t="s">
        <v>273</v>
      </c>
      <c r="C195" s="331"/>
      <c r="D195" s="331">
        <f>SUM(D38:D193)</f>
        <v>2103796.7167470055</v>
      </c>
      <c r="E195" s="331"/>
      <c r="F195" s="331"/>
      <c r="G195" s="331"/>
      <c r="H195" s="331"/>
      <c r="I195" s="331"/>
      <c r="J195" s="331"/>
      <c r="K195" s="331"/>
      <c r="L195" s="331"/>
      <c r="M195" s="331"/>
      <c r="N195" s="331"/>
      <c r="O195" s="331">
        <f>SUM(O38:O193)</f>
        <v>328.14663016866541</v>
      </c>
      <c r="P195" s="331"/>
      <c r="Q195" s="331"/>
      <c r="R195" s="331"/>
      <c r="S195" s="331"/>
      <c r="T195" s="331"/>
      <c r="U195" s="331"/>
      <c r="V195" s="331"/>
      <c r="W195" s="331"/>
      <c r="X195" s="331"/>
      <c r="Y195" s="331">
        <f>IF(Y36="kWh",SUMPRODUCT(D38:D193,Y38:Y193))</f>
        <v>588649.05488399032</v>
      </c>
      <c r="Z195" s="331">
        <f>IF(Z36="kWh",SUMPRODUCT(D38:D193,Z38:Z193))</f>
        <v>1075491.6669039095</v>
      </c>
      <c r="AA195" s="331">
        <f>IF(AA36="kw",SUMPRODUCT(N38:N193,O38:O193,AA38:AA193),SUMPRODUCT(D38:D193,AA38:AA193))</f>
        <v>737.83841343775794</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274</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1345003</v>
      </c>
      <c r="Z196" s="394">
        <f>HLOOKUP(Z35,'2. LRAMVA Threshold'!$B$42:$Q$53,7,FALSE)</f>
        <v>543085</v>
      </c>
      <c r="AA196" s="394">
        <f>HLOOKUP(AA35,'2. LRAMVA Threshold'!$B$42:$Q$53,7,FALSE)</f>
        <v>10671</v>
      </c>
      <c r="AB196" s="394">
        <f>HLOOKUP(AB35,'2. LRAMVA Threshold'!$B$42:$Q$53,7,FALSE)</f>
        <v>196</v>
      </c>
      <c r="AC196" s="394">
        <f>HLOOKUP(AC35,'2. LRAMVA Threshold'!$B$42:$Q$53,7,FALSE)</f>
        <v>4684</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1"/>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1.9800000000000002E-2</v>
      </c>
      <c r="Z198" s="343">
        <f>HLOOKUP(Z$35,'3.  Distribution Rates'!$C$122:$P$133,7,FALSE)</f>
        <v>1.34E-2</v>
      </c>
      <c r="AA198" s="343">
        <f>HLOOKUP(AA$35,'3.  Distribution Rates'!$C$122:$P$133,7,FALSE)</f>
        <v>3.1553</v>
      </c>
      <c r="AB198" s="343">
        <f>HLOOKUP(AB$35,'3.  Distribution Rates'!$C$122:$P$133,7,FALSE)</f>
        <v>14.715299999999999</v>
      </c>
      <c r="AC198" s="343">
        <f>HLOOKUP(AC$35,'3.  Distribution Rates'!$C$122:$P$133,7,FALSE)</f>
        <v>1.1599999999999999E-2</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4620.5087774989552</v>
      </c>
      <c r="Z199" s="380">
        <f>'4.  2011-2014 LRAM'!Z138*Z198</f>
        <v>3115.9555229576486</v>
      </c>
      <c r="AA199" s="380">
        <f>'4.  2011-2014 LRAM'!AA138*AA198</f>
        <v>1653.0111852</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29">
        <f>SUM(Y199:AL199)</f>
        <v>9389.4754856566033</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3602.747318375657</v>
      </c>
      <c r="Z200" s="380">
        <f>'4.  2011-2014 LRAM'!Z267*Z198</f>
        <v>16094.575117688983</v>
      </c>
      <c r="AA200" s="380">
        <f>'4.  2011-2014 LRAM'!AA267*AA198</f>
        <v>1403.1623088807366</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29">
        <f>SUM(Y200:AL200)</f>
        <v>21100.484744945374</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3516.0847836333292</v>
      </c>
      <c r="Z201" s="380">
        <f>'4.  2011-2014 LRAM'!Z396*Z198</f>
        <v>17258.15916934234</v>
      </c>
      <c r="AA201" s="380">
        <f>'4.  2011-2014 LRAM'!AA396*AA198</f>
        <v>892.79092830318575</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29">
        <f>SUM(Y201:AL201)</f>
        <v>21667.034881278854</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11457.021600468599</v>
      </c>
      <c r="Z202" s="380">
        <f>'4.  2011-2014 LRAM'!Z526*Z198</f>
        <v>18896.199325091635</v>
      </c>
      <c r="AA202" s="380">
        <f>'4.  2011-2014 LRAM'!AA526*AA198</f>
        <v>2263.4236272239727</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29">
        <f>SUM(Y202:AL202)</f>
        <v>32616.644552784208</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11655.251286703009</v>
      </c>
      <c r="Z203" s="380">
        <f t="shared" ref="Z203:AL203" si="553">Z195*Z198</f>
        <v>14411.588336512388</v>
      </c>
      <c r="AA203" s="380">
        <f t="shared" si="553"/>
        <v>2328.1015459201576</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29">
        <f>SUM(Y203:AL203)</f>
        <v>28394.941169135556</v>
      </c>
    </row>
    <row r="204" spans="2:39" ht="15.75">
      <c r="B204" s="351" t="s">
        <v>270</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34851.613766679548</v>
      </c>
      <c r="Z204" s="348">
        <f>SUM(Z199:Z203)</f>
        <v>69776.477471592982</v>
      </c>
      <c r="AA204" s="348">
        <f t="shared" ref="AA204:AE204" si="554">SUM(AA199:AA203)</f>
        <v>8540.4895955280517</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113168.5808338006</v>
      </c>
    </row>
    <row r="205" spans="2:39" ht="15.75">
      <c r="B205" s="351" t="s">
        <v>271</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26631.059400000002</v>
      </c>
      <c r="Z205" s="349">
        <f t="shared" ref="Z205:AE205" si="556">Z196*Z198</f>
        <v>7277.3389999999999</v>
      </c>
      <c r="AA205" s="349">
        <f t="shared" si="556"/>
        <v>33670.206299999998</v>
      </c>
      <c r="AB205" s="349">
        <f t="shared" si="556"/>
        <v>2884.1987999999997</v>
      </c>
      <c r="AC205" s="349">
        <f t="shared" si="556"/>
        <v>54.334399999999995</v>
      </c>
      <c r="AD205" s="349">
        <f t="shared" si="556"/>
        <v>0</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70517.137900000002</v>
      </c>
    </row>
    <row r="206" spans="2:39" ht="15.75">
      <c r="B206" s="351" t="s">
        <v>272</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42651.442933800601</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578989.81832256762</v>
      </c>
      <c r="Z208" s="293">
        <f>SUMPRODUCT(E38:E193,Z38:Z193)</f>
        <v>1048900.3296959407</v>
      </c>
      <c r="AA208" s="293">
        <f>IF(AA36="kw",SUMPRODUCT(N38:N193,P38:P193,AA38:AA193),SUMPRODUCT(E38:E193,AA38:AA193))</f>
        <v>737.83841343775794</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578377.51123180834</v>
      </c>
      <c r="Z209" s="293">
        <f>SUMPRODUCT(F38:F193,Z38:Z193)</f>
        <v>1018326.4981387511</v>
      </c>
      <c r="AA209" s="293">
        <f>IF(AA36="kw",SUMPRODUCT(N38:N193,Q38:Q193,AA38:AA193),SUMPRODUCT(F38:F193,AA38:AA193))</f>
        <v>736.87079775578582</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577660.79559471598</v>
      </c>
      <c r="Z210" s="293">
        <f>SUMPRODUCT(G38:G193,Z38:Z193)</f>
        <v>1018326.4981387511</v>
      </c>
      <c r="AA210" s="293">
        <f>IF(AA36="kw",SUMPRODUCT(N38:N193,R38:R193,AA38:AA193),SUMPRODUCT(G38:G193,AA38:AA193))</f>
        <v>736.87079775578582</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572253.95823375299</v>
      </c>
      <c r="Z211" s="293">
        <f>SUMPRODUCT(H38:H193,Z38:Z193)</f>
        <v>1018326.4981387511</v>
      </c>
      <c r="AA211" s="293">
        <f>IF(AA36="kw",SUMPRODUCT(N38:N193,S38:S193,AA38:AA193),SUMPRODUCT(H38:H193,AA38:AA193))</f>
        <v>736.87079775578582</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566149.33176084189</v>
      </c>
      <c r="Z212" s="328">
        <f>SUMPRODUCT(I38:I193,Z38:Z193)</f>
        <v>1018326.4981387511</v>
      </c>
      <c r="AA212" s="328">
        <f>IF(AA36="kw",SUMPRODUCT(N38:N193,T38:T193,AA38:AA193),SUMPRODUCT(I38:I193,AA38:AA193))</f>
        <v>736.87079775578582</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594</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275</v>
      </c>
      <c r="C216" s="283"/>
      <c r="D216" s="590" t="s">
        <v>530</v>
      </c>
      <c r="E216" s="255"/>
      <c r="F216" s="590"/>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68" t="s">
        <v>212</v>
      </c>
      <c r="C217" s="870" t="s">
        <v>33</v>
      </c>
      <c r="D217" s="286" t="s">
        <v>425</v>
      </c>
      <c r="E217" s="872" t="s">
        <v>210</v>
      </c>
      <c r="F217" s="873"/>
      <c r="G217" s="873"/>
      <c r="H217" s="873"/>
      <c r="I217" s="873"/>
      <c r="J217" s="873"/>
      <c r="K217" s="873"/>
      <c r="L217" s="873"/>
      <c r="M217" s="874"/>
      <c r="N217" s="878" t="s">
        <v>214</v>
      </c>
      <c r="O217" s="286" t="s">
        <v>426</v>
      </c>
      <c r="P217" s="872" t="s">
        <v>213</v>
      </c>
      <c r="Q217" s="873"/>
      <c r="R217" s="873"/>
      <c r="S217" s="873"/>
      <c r="T217" s="873"/>
      <c r="U217" s="873"/>
      <c r="V217" s="873"/>
      <c r="W217" s="873"/>
      <c r="X217" s="874"/>
      <c r="Y217" s="875" t="s">
        <v>245</v>
      </c>
      <c r="Z217" s="876"/>
      <c r="AA217" s="876"/>
      <c r="AB217" s="876"/>
      <c r="AC217" s="876"/>
      <c r="AD217" s="876"/>
      <c r="AE217" s="876"/>
      <c r="AF217" s="876"/>
      <c r="AG217" s="876"/>
      <c r="AH217" s="876"/>
      <c r="AI217" s="876"/>
      <c r="AJ217" s="876"/>
      <c r="AK217" s="876"/>
      <c r="AL217" s="876"/>
      <c r="AM217" s="877"/>
    </row>
    <row r="218" spans="1:39" ht="60.75" customHeight="1">
      <c r="B218" s="869"/>
      <c r="C218" s="871"/>
      <c r="D218" s="287">
        <v>2016</v>
      </c>
      <c r="E218" s="287">
        <v>2017</v>
      </c>
      <c r="F218" s="287">
        <v>2018</v>
      </c>
      <c r="G218" s="287">
        <v>2019</v>
      </c>
      <c r="H218" s="287">
        <v>2020</v>
      </c>
      <c r="I218" s="287">
        <v>2021</v>
      </c>
      <c r="J218" s="287">
        <v>2022</v>
      </c>
      <c r="K218" s="287">
        <v>2023</v>
      </c>
      <c r="L218" s="287">
        <v>2024</v>
      </c>
      <c r="M218" s="287">
        <v>2025</v>
      </c>
      <c r="N218" s="879"/>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GS&gt;50 kW</v>
      </c>
      <c r="AB218" s="287" t="str">
        <f>'1.  LRAMVA Summary'!G50</f>
        <v>Streetlights</v>
      </c>
      <c r="AC218" s="287" t="str">
        <f>'1.  LRAMVA Summary'!H50</f>
        <v>Unmetered Scattered Load</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18" t="s">
        <v>507</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KWh</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hidden="1" outlineLevel="1">
      <c r="B220" s="290" t="s">
        <v>500</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hidden="1" outlineLevel="1">
      <c r="A221" s="522">
        <v>1</v>
      </c>
      <c r="B221" s="520" t="s">
        <v>95</v>
      </c>
      <c r="C221" s="293" t="s">
        <v>25</v>
      </c>
      <c r="D221" s="297" t="s">
        <v>710</v>
      </c>
      <c r="E221" s="297" t="s">
        <v>710</v>
      </c>
      <c r="F221" s="297" t="s">
        <v>710</v>
      </c>
      <c r="G221" s="297" t="s">
        <v>710</v>
      </c>
      <c r="H221" s="297" t="s">
        <v>710</v>
      </c>
      <c r="I221" s="297" t="s">
        <v>710</v>
      </c>
      <c r="J221" s="297" t="s">
        <v>710</v>
      </c>
      <c r="K221" s="297" t="s">
        <v>710</v>
      </c>
      <c r="L221" s="297" t="s">
        <v>710</v>
      </c>
      <c r="M221" s="297" t="s">
        <v>710</v>
      </c>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hidden="1" outlineLevel="1">
      <c r="B222" s="296" t="s">
        <v>291</v>
      </c>
      <c r="C222" s="293" t="s">
        <v>164</v>
      </c>
      <c r="D222" s="297" t="s">
        <v>710</v>
      </c>
      <c r="E222" s="297" t="s">
        <v>710</v>
      </c>
      <c r="F222" s="297" t="s">
        <v>710</v>
      </c>
      <c r="G222" s="297" t="s">
        <v>710</v>
      </c>
      <c r="H222" s="297" t="s">
        <v>710</v>
      </c>
      <c r="I222" s="297" t="s">
        <v>710</v>
      </c>
      <c r="J222" s="297" t="s">
        <v>710</v>
      </c>
      <c r="K222" s="297" t="s">
        <v>710</v>
      </c>
      <c r="L222" s="297" t="s">
        <v>710</v>
      </c>
      <c r="M222" s="297" t="s">
        <v>710</v>
      </c>
      <c r="N222" s="469"/>
      <c r="O222" s="297"/>
      <c r="P222" s="297"/>
      <c r="Q222" s="297"/>
      <c r="R222" s="297"/>
      <c r="S222" s="297"/>
      <c r="T222" s="297"/>
      <c r="U222" s="297"/>
      <c r="V222" s="297"/>
      <c r="W222" s="297"/>
      <c r="X222" s="297"/>
      <c r="Y222" s="413">
        <f>Y221</f>
        <v>0</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hidden="1"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hidden="1" outlineLevel="1">
      <c r="A224" s="522">
        <v>2</v>
      </c>
      <c r="B224" s="520"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hidden="1" outlineLevel="1">
      <c r="B225" s="296" t="s">
        <v>291</v>
      </c>
      <c r="C225" s="293" t="s">
        <v>164</v>
      </c>
      <c r="D225" s="297"/>
      <c r="E225" s="297"/>
      <c r="F225" s="297"/>
      <c r="G225" s="297"/>
      <c r="H225" s="297"/>
      <c r="I225" s="297"/>
      <c r="J225" s="297"/>
      <c r="K225" s="297"/>
      <c r="L225" s="297"/>
      <c r="M225" s="297"/>
      <c r="N225" s="469"/>
      <c r="O225" s="297"/>
      <c r="P225" s="297"/>
      <c r="Q225" s="297"/>
      <c r="R225" s="297"/>
      <c r="S225" s="297"/>
      <c r="T225" s="297"/>
      <c r="U225" s="297"/>
      <c r="V225" s="297"/>
      <c r="W225" s="297"/>
      <c r="X225" s="297"/>
      <c r="Y225" s="413">
        <f>Y224</f>
        <v>0</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hidden="1"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hidden="1" outlineLevel="1">
      <c r="A227" s="522">
        <v>3</v>
      </c>
      <c r="B227" s="520"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hidden="1" outlineLevel="1">
      <c r="B228" s="296" t="s">
        <v>291</v>
      </c>
      <c r="C228" s="293" t="s">
        <v>164</v>
      </c>
      <c r="D228" s="297"/>
      <c r="E228" s="297"/>
      <c r="F228" s="297"/>
      <c r="G228" s="297"/>
      <c r="H228" s="297"/>
      <c r="I228" s="297"/>
      <c r="J228" s="297"/>
      <c r="K228" s="297"/>
      <c r="L228" s="297"/>
      <c r="M228" s="297"/>
      <c r="N228" s="469"/>
      <c r="O228" s="297"/>
      <c r="P228" s="297"/>
      <c r="Q228" s="297"/>
      <c r="R228" s="297"/>
      <c r="S228" s="297"/>
      <c r="T228" s="297"/>
      <c r="U228" s="297"/>
      <c r="V228" s="297"/>
      <c r="W228" s="297"/>
      <c r="X228" s="297"/>
      <c r="Y228" s="413">
        <f>Y227</f>
        <v>0</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hidden="1"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hidden="1" outlineLevel="1">
      <c r="A230" s="522">
        <v>4</v>
      </c>
      <c r="B230" s="520"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hidden="1" outlineLevel="1">
      <c r="B231" s="296" t="s">
        <v>291</v>
      </c>
      <c r="C231" s="293" t="s">
        <v>164</v>
      </c>
      <c r="D231" s="297"/>
      <c r="E231" s="297"/>
      <c r="F231" s="297"/>
      <c r="G231" s="297"/>
      <c r="H231" s="297"/>
      <c r="I231" s="297"/>
      <c r="J231" s="297"/>
      <c r="K231" s="297"/>
      <c r="L231" s="297"/>
      <c r="M231" s="297"/>
      <c r="N231" s="469"/>
      <c r="O231" s="297"/>
      <c r="P231" s="297"/>
      <c r="Q231" s="297"/>
      <c r="R231" s="297"/>
      <c r="S231" s="297"/>
      <c r="T231" s="297"/>
      <c r="U231" s="297"/>
      <c r="V231" s="297"/>
      <c r="W231" s="297"/>
      <c r="X231" s="297"/>
      <c r="Y231" s="413">
        <f>Y230</f>
        <v>0</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hidden="1"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hidden="1" outlineLevel="1">
      <c r="A233" s="522">
        <v>5</v>
      </c>
      <c r="B233" s="520"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hidden="1" outlineLevel="1">
      <c r="B234" s="296" t="s">
        <v>291</v>
      </c>
      <c r="C234" s="293" t="s">
        <v>164</v>
      </c>
      <c r="D234" s="297"/>
      <c r="E234" s="297"/>
      <c r="F234" s="297"/>
      <c r="G234" s="297"/>
      <c r="H234" s="297"/>
      <c r="I234" s="297"/>
      <c r="J234" s="297"/>
      <c r="K234" s="297"/>
      <c r="L234" s="297"/>
      <c r="M234" s="297"/>
      <c r="N234" s="469"/>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hidden="1"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hidden="1" outlineLevel="1">
      <c r="B236" s="321" t="s">
        <v>501</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hidden="1" outlineLevel="1">
      <c r="A237" s="522">
        <v>6</v>
      </c>
      <c r="B237" s="520"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hidden="1" outlineLevel="1">
      <c r="B238" s="296" t="s">
        <v>291</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0</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hidden="1"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hidden="1" outlineLevel="1">
      <c r="A240" s="522">
        <v>7</v>
      </c>
      <c r="B240" s="520"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hidden="1" outlineLevel="1">
      <c r="B241" s="296" t="s">
        <v>291</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v>
      </c>
      <c r="AA241" s="413">
        <f t="shared" ref="AA241" si="637">AA240</f>
        <v>0</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hidden="1"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hidden="1" outlineLevel="1">
      <c r="A243" s="522">
        <v>8</v>
      </c>
      <c r="B243" s="520"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hidden="1" outlineLevel="1">
      <c r="B244" s="296" t="s">
        <v>291</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0</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hidden="1"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hidden="1" outlineLevel="1">
      <c r="A246" s="522">
        <v>9</v>
      </c>
      <c r="B246" s="520"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hidden="1" outlineLevel="1">
      <c r="B247" s="296" t="s">
        <v>291</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0</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hidden="1"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hidden="1" outlineLevel="1">
      <c r="A249" s="522">
        <v>10</v>
      </c>
      <c r="B249" s="520"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hidden="1" outlineLevel="1">
      <c r="B250" s="296" t="s">
        <v>291</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hidden="1"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hidden="1"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hidden="1" outlineLevel="1">
      <c r="A253" s="522">
        <v>11</v>
      </c>
      <c r="B253" s="520"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hidden="1" outlineLevel="1">
      <c r="B254" s="296" t="s">
        <v>291</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hidden="1"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hidden="1" outlineLevel="1">
      <c r="A256" s="522">
        <v>12</v>
      </c>
      <c r="B256" s="520"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hidden="1" outlineLevel="1">
      <c r="B257" s="296" t="s">
        <v>291</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hidden="1"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hidden="1" outlineLevel="1">
      <c r="A259" s="522">
        <v>13</v>
      </c>
      <c r="B259" s="520"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hidden="1" outlineLevel="1">
      <c r="B260" s="296" t="s">
        <v>291</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hidden="1"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hidden="1"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hidden="1" outlineLevel="1">
      <c r="A263" s="522">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hidden="1" outlineLevel="1">
      <c r="B264" s="296" t="s">
        <v>291</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hidden="1" outlineLevel="1">
      <c r="A265" s="523"/>
      <c r="B265" s="317"/>
      <c r="C265" s="307"/>
      <c r="D265" s="293"/>
      <c r="E265" s="293"/>
      <c r="F265" s="293"/>
      <c r="G265" s="293"/>
      <c r="H265" s="293"/>
      <c r="I265" s="293"/>
      <c r="J265" s="293"/>
      <c r="K265" s="293"/>
      <c r="L265" s="293"/>
      <c r="M265" s="293"/>
      <c r="N265" s="469"/>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0"/>
    </row>
    <row r="266" spans="1:40" s="311" customFormat="1" ht="15.75" hidden="1" outlineLevel="1">
      <c r="A266" s="523"/>
      <c r="B266" s="290" t="s">
        <v>493</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7"/>
      <c r="AN266" s="631"/>
    </row>
    <row r="267" spans="1:40" hidden="1" outlineLevel="1">
      <c r="A267" s="522">
        <v>15</v>
      </c>
      <c r="B267" s="296" t="s">
        <v>498</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hidden="1" outlineLevel="1">
      <c r="B268" s="296" t="s">
        <v>291</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hidden="1"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hidden="1" outlineLevel="1">
      <c r="A270" s="522">
        <v>16</v>
      </c>
      <c r="B270" s="326" t="s">
        <v>494</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hidden="1" outlineLevel="1">
      <c r="A271" s="522"/>
      <c r="B271" s="326" t="s">
        <v>291</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hidden="1" outlineLevel="1">
      <c r="A272" s="522"/>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hidden="1" outlineLevel="1">
      <c r="B273" s="519" t="s">
        <v>499</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hidden="1" outlineLevel="1">
      <c r="A274" s="522">
        <v>17</v>
      </c>
      <c r="B274" s="520"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hidden="1" outlineLevel="1">
      <c r="B275" s="296" t="s">
        <v>291</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hidden="1"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hidden="1" outlineLevel="1">
      <c r="A277" s="522">
        <v>18</v>
      </c>
      <c r="B277" s="520"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hidden="1" outlineLevel="1">
      <c r="B278" s="296" t="s">
        <v>291</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hidden="1"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hidden="1" outlineLevel="1">
      <c r="A280" s="522">
        <v>19</v>
      </c>
      <c r="B280" s="520"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hidden="1" outlineLevel="1">
      <c r="B281" s="296" t="s">
        <v>291</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hidden="1"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hidden="1" outlineLevel="1">
      <c r="A283" s="522">
        <v>20</v>
      </c>
      <c r="B283" s="520"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hidden="1" outlineLevel="1">
      <c r="B284" s="296" t="s">
        <v>291</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hidden="1"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hidden="1" outlineLevel="1">
      <c r="B286" s="518" t="s">
        <v>506</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hidden="1" outlineLevel="1">
      <c r="B287" s="290" t="s">
        <v>502</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hidden="1" outlineLevel="1">
      <c r="A288" s="522">
        <v>21</v>
      </c>
      <c r="B288" s="520" t="s">
        <v>114</v>
      </c>
      <c r="C288" s="293" t="s">
        <v>25</v>
      </c>
      <c r="D288" s="297">
        <v>1213321.5909365378</v>
      </c>
      <c r="E288" s="297">
        <v>1213321.5909365378</v>
      </c>
      <c r="F288" s="297">
        <v>1213321.5909365378</v>
      </c>
      <c r="G288" s="297">
        <v>1213321.5909365378</v>
      </c>
      <c r="H288" s="297">
        <v>1213321.5909365378</v>
      </c>
      <c r="I288" s="297">
        <v>1213321.5909365378</v>
      </c>
      <c r="J288" s="297">
        <v>1213321.5909365378</v>
      </c>
      <c r="K288" s="297">
        <v>1213158.4068729002</v>
      </c>
      <c r="L288" s="297">
        <v>1213158.4068729002</v>
      </c>
      <c r="M288" s="297">
        <v>1208247.2430350757</v>
      </c>
      <c r="N288" s="293"/>
      <c r="O288" s="297">
        <v>78.899288230727407</v>
      </c>
      <c r="P288" s="297">
        <v>78.899288230727407</v>
      </c>
      <c r="Q288" s="297">
        <v>78.899288230727407</v>
      </c>
      <c r="R288" s="297">
        <v>78.899288230727407</v>
      </c>
      <c r="S288" s="297">
        <v>78.899288230727407</v>
      </c>
      <c r="T288" s="297">
        <v>78.899288230727407</v>
      </c>
      <c r="U288" s="297">
        <v>78.899288230727407</v>
      </c>
      <c r="V288" s="297">
        <v>78.897821942814602</v>
      </c>
      <c r="W288" s="297">
        <v>78.897821942814602</v>
      </c>
      <c r="X288" s="297">
        <v>78.589512341895571</v>
      </c>
      <c r="Y288" s="412">
        <v>1</v>
      </c>
      <c r="Z288" s="412">
        <v>0</v>
      </c>
      <c r="AA288" s="412">
        <v>0</v>
      </c>
      <c r="AB288" s="412"/>
      <c r="AC288" s="412"/>
      <c r="AD288" s="412"/>
      <c r="AE288" s="412"/>
      <c r="AF288" s="412"/>
      <c r="AG288" s="412"/>
      <c r="AH288" s="412"/>
      <c r="AI288" s="412"/>
      <c r="AJ288" s="412"/>
      <c r="AK288" s="412"/>
      <c r="AL288" s="412"/>
      <c r="AM288" s="298">
        <f>SUM(Y288:AL288)</f>
        <v>1</v>
      </c>
    </row>
    <row r="289" spans="1:39" hidden="1" outlineLevel="1">
      <c r="B289" s="296" t="s">
        <v>291</v>
      </c>
      <c r="C289" s="293" t="s">
        <v>164</v>
      </c>
      <c r="D289" s="297">
        <v>147557</v>
      </c>
      <c r="E289" s="297">
        <v>147557</v>
      </c>
      <c r="F289" s="297">
        <v>147557</v>
      </c>
      <c r="G289" s="297">
        <v>147557</v>
      </c>
      <c r="H289" s="297">
        <v>147557</v>
      </c>
      <c r="I289" s="297">
        <v>147557</v>
      </c>
      <c r="J289" s="297">
        <v>147557.54793424087</v>
      </c>
      <c r="K289" s="297">
        <v>147547.34893026351</v>
      </c>
      <c r="L289" s="297">
        <v>147547.34893026351</v>
      </c>
      <c r="M289" s="297">
        <v>147690.44855420786</v>
      </c>
      <c r="N289" s="293"/>
      <c r="O289" s="297">
        <v>9.3976989985703128</v>
      </c>
      <c r="P289" s="297">
        <v>9.3976989985703128</v>
      </c>
      <c r="Q289" s="297">
        <v>9.3976989985703128</v>
      </c>
      <c r="R289" s="297">
        <v>9.3976989985703128</v>
      </c>
      <c r="S289" s="297">
        <v>9.3976989985703128</v>
      </c>
      <c r="T289" s="297">
        <v>9.3976989985703128</v>
      </c>
      <c r="U289" s="297">
        <v>9.3976989985703128</v>
      </c>
      <c r="V289" s="297">
        <v>9.3976073555757633</v>
      </c>
      <c r="W289" s="297">
        <v>9.3976073555757633</v>
      </c>
      <c r="X289" s="297">
        <v>9.4065907634617218</v>
      </c>
      <c r="Y289" s="413">
        <f>Y288</f>
        <v>1</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hidden="1"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hidden="1" outlineLevel="1">
      <c r="A291" s="522">
        <v>22</v>
      </c>
      <c r="B291" s="520" t="s">
        <v>115</v>
      </c>
      <c r="C291" s="293" t="s">
        <v>25</v>
      </c>
      <c r="D291" s="297">
        <v>165327.2000000001</v>
      </c>
      <c r="E291" s="297">
        <v>165327.2000000001</v>
      </c>
      <c r="F291" s="297">
        <v>165327.2000000001</v>
      </c>
      <c r="G291" s="297">
        <v>165327.2000000001</v>
      </c>
      <c r="H291" s="297">
        <v>165327.2000000001</v>
      </c>
      <c r="I291" s="297">
        <v>165327.2000000001</v>
      </c>
      <c r="J291" s="297">
        <v>165327.2000000001</v>
      </c>
      <c r="K291" s="297">
        <v>165327.2000000001</v>
      </c>
      <c r="L291" s="297">
        <v>165327.2000000001</v>
      </c>
      <c r="M291" s="297">
        <v>165327.2000000001</v>
      </c>
      <c r="N291" s="293"/>
      <c r="O291" s="297">
        <v>47.836400000000062</v>
      </c>
      <c r="P291" s="297">
        <v>47.836400000000062</v>
      </c>
      <c r="Q291" s="297">
        <v>47.836400000000062</v>
      </c>
      <c r="R291" s="297">
        <v>47.836400000000062</v>
      </c>
      <c r="S291" s="297">
        <v>47.836400000000062</v>
      </c>
      <c r="T291" s="297">
        <v>47.836400000000062</v>
      </c>
      <c r="U291" s="297">
        <v>47.836400000000062</v>
      </c>
      <c r="V291" s="297">
        <v>47.836400000000062</v>
      </c>
      <c r="W291" s="297">
        <v>47.836400000000062</v>
      </c>
      <c r="X291" s="297">
        <v>47.836400000000062</v>
      </c>
      <c r="Y291" s="412">
        <v>1</v>
      </c>
      <c r="Z291" s="412">
        <v>0</v>
      </c>
      <c r="AA291" s="412">
        <v>0</v>
      </c>
      <c r="AB291" s="412"/>
      <c r="AC291" s="412"/>
      <c r="AD291" s="412"/>
      <c r="AE291" s="412"/>
      <c r="AF291" s="412"/>
      <c r="AG291" s="412"/>
      <c r="AH291" s="412"/>
      <c r="AI291" s="412"/>
      <c r="AJ291" s="412"/>
      <c r="AK291" s="412"/>
      <c r="AL291" s="412"/>
      <c r="AM291" s="298">
        <f>SUM(Y291:AL291)</f>
        <v>1</v>
      </c>
    </row>
    <row r="292" spans="1:39" hidden="1" outlineLevel="1">
      <c r="B292" s="296" t="s">
        <v>291</v>
      </c>
      <c r="C292" s="293" t="s">
        <v>164</v>
      </c>
      <c r="D292" s="297">
        <v>989</v>
      </c>
      <c r="E292" s="297">
        <v>989</v>
      </c>
      <c r="F292" s="297">
        <v>989</v>
      </c>
      <c r="G292" s="297">
        <v>989</v>
      </c>
      <c r="H292" s="297">
        <v>989</v>
      </c>
      <c r="I292" s="297">
        <v>989</v>
      </c>
      <c r="J292" s="297">
        <v>988.56</v>
      </c>
      <c r="K292" s="297">
        <v>988.56</v>
      </c>
      <c r="L292" s="297">
        <v>988.56</v>
      </c>
      <c r="M292" s="297">
        <v>988.56</v>
      </c>
      <c r="N292" s="293"/>
      <c r="O292" s="297">
        <v>0.30599999999999999</v>
      </c>
      <c r="P292" s="297">
        <v>0.30599999999999999</v>
      </c>
      <c r="Q292" s="297">
        <v>0.30599999999999999</v>
      </c>
      <c r="R292" s="297">
        <v>0.30599999999999999</v>
      </c>
      <c r="S292" s="297">
        <v>0.30599999999999999</v>
      </c>
      <c r="T292" s="297">
        <v>0.30599999999999999</v>
      </c>
      <c r="U292" s="297">
        <v>0.30599999999999999</v>
      </c>
      <c r="V292" s="297">
        <v>0.30599999999999999</v>
      </c>
      <c r="W292" s="297">
        <v>0.30599999999999999</v>
      </c>
      <c r="X292" s="297">
        <v>0.30599999999999999</v>
      </c>
      <c r="Y292" s="413">
        <f>Y291</f>
        <v>1</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hidden="1"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hidden="1" outlineLevel="1">
      <c r="A294" s="522">
        <v>23</v>
      </c>
      <c r="B294" s="520"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idden="1" outlineLevel="1">
      <c r="B295" s="296" t="s">
        <v>291</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hidden="1"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hidden="1" outlineLevel="1">
      <c r="A297" s="522">
        <v>24</v>
      </c>
      <c r="B297" s="520" t="s">
        <v>117</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idden="1" outlineLevel="1">
      <c r="B298" s="296" t="s">
        <v>291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hidden="1"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hidden="1" outlineLevel="1">
      <c r="B300" s="290" t="s">
        <v>503</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hidden="1" outlineLevel="1">
      <c r="A301" s="522">
        <v>25</v>
      </c>
      <c r="B301" s="520" t="s">
        <v>118</v>
      </c>
      <c r="C301" s="293" t="s">
        <v>25</v>
      </c>
      <c r="D301" s="297">
        <v>13142.640539737338</v>
      </c>
      <c r="E301" s="297">
        <v>13142.640539737338</v>
      </c>
      <c r="F301" s="297">
        <v>13142.640539737338</v>
      </c>
      <c r="G301" s="297">
        <v>13142.640539737338</v>
      </c>
      <c r="H301" s="297">
        <v>13142.640539737338</v>
      </c>
      <c r="I301" s="297">
        <v>13142.640539737338</v>
      </c>
      <c r="J301" s="297">
        <v>13142.640539737338</v>
      </c>
      <c r="K301" s="297">
        <v>13142.640539737338</v>
      </c>
      <c r="L301" s="297">
        <v>13142.640539737338</v>
      </c>
      <c r="M301" s="297">
        <v>13142.640539737338</v>
      </c>
      <c r="N301" s="297">
        <v>12</v>
      </c>
      <c r="O301" s="297">
        <v>1.7149847194239736</v>
      </c>
      <c r="P301" s="297">
        <v>1.7149847194239736</v>
      </c>
      <c r="Q301" s="297">
        <v>1.7149847194239736</v>
      </c>
      <c r="R301" s="297">
        <v>1.7149847194239736</v>
      </c>
      <c r="S301" s="297">
        <v>1.7149847194239736</v>
      </c>
      <c r="T301" s="297">
        <v>1.7149847194239736</v>
      </c>
      <c r="U301" s="297">
        <v>1.7149847194239736</v>
      </c>
      <c r="V301" s="297">
        <v>1.7149847194239736</v>
      </c>
      <c r="W301" s="297">
        <v>1.7149847194239736</v>
      </c>
      <c r="X301" s="297">
        <v>1.7149847194239736</v>
      </c>
      <c r="Y301" s="412">
        <v>0</v>
      </c>
      <c r="Z301" s="412">
        <v>1</v>
      </c>
      <c r="AA301" s="412">
        <v>0</v>
      </c>
      <c r="AB301" s="412"/>
      <c r="AC301" s="412"/>
      <c r="AD301" s="412"/>
      <c r="AE301" s="412"/>
      <c r="AF301" s="412"/>
      <c r="AG301" s="417"/>
      <c r="AH301" s="417"/>
      <c r="AI301" s="417"/>
      <c r="AJ301" s="417"/>
      <c r="AK301" s="417"/>
      <c r="AL301" s="417"/>
      <c r="AM301" s="298">
        <f>SUM(Y301:AL301)</f>
        <v>1</v>
      </c>
    </row>
    <row r="302" spans="1:39" hidden="1" outlineLevel="1">
      <c r="B302" s="296" t="s">
        <v>291</v>
      </c>
      <c r="C302" s="293" t="s">
        <v>164</v>
      </c>
      <c r="D302" s="297" t="s">
        <v>710</v>
      </c>
      <c r="E302" s="297" t="s">
        <v>710</v>
      </c>
      <c r="F302" s="297" t="s">
        <v>710</v>
      </c>
      <c r="G302" s="297" t="s">
        <v>710</v>
      </c>
      <c r="H302" s="297" t="s">
        <v>710</v>
      </c>
      <c r="I302" s="297" t="s">
        <v>710</v>
      </c>
      <c r="J302" s="297" t="s">
        <v>710</v>
      </c>
      <c r="K302" s="297" t="s">
        <v>710</v>
      </c>
      <c r="L302" s="297" t="s">
        <v>710</v>
      </c>
      <c r="M302" s="297" t="s">
        <v>710</v>
      </c>
      <c r="N302" s="297">
        <f>N301</f>
        <v>12</v>
      </c>
      <c r="O302" s="297">
        <v>0</v>
      </c>
      <c r="P302" s="297">
        <v>0</v>
      </c>
      <c r="Q302" s="297">
        <v>0</v>
      </c>
      <c r="R302" s="297">
        <v>0</v>
      </c>
      <c r="S302" s="297">
        <v>0</v>
      </c>
      <c r="T302" s="297">
        <v>0</v>
      </c>
      <c r="U302" s="297">
        <v>0</v>
      </c>
      <c r="V302" s="297">
        <v>0</v>
      </c>
      <c r="W302" s="297">
        <v>0</v>
      </c>
      <c r="X302" s="297">
        <v>0</v>
      </c>
      <c r="Y302" s="413">
        <f>Y301</f>
        <v>0</v>
      </c>
      <c r="Z302" s="413">
        <f t="shared" ref="Z302" si="798">Z301</f>
        <v>1</v>
      </c>
      <c r="AA302" s="413">
        <f t="shared" ref="AA302" si="799">AA301</f>
        <v>0</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hidden="1"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hidden="1" outlineLevel="1">
      <c r="A304" s="522">
        <v>26</v>
      </c>
      <c r="B304" s="520" t="s">
        <v>119</v>
      </c>
      <c r="C304" s="293" t="s">
        <v>25</v>
      </c>
      <c r="D304" s="297">
        <v>685419.37317366723</v>
      </c>
      <c r="E304" s="297">
        <v>678724.47254545765</v>
      </c>
      <c r="F304" s="297">
        <v>678724.47254545765</v>
      </c>
      <c r="G304" s="297">
        <v>678724.47254545765</v>
      </c>
      <c r="H304" s="297">
        <v>678724.47254545765</v>
      </c>
      <c r="I304" s="297">
        <v>644707.39801255171</v>
      </c>
      <c r="J304" s="297">
        <v>644707.39801255171</v>
      </c>
      <c r="K304" s="297">
        <v>644707.39801255171</v>
      </c>
      <c r="L304" s="297">
        <v>644707.39801255171</v>
      </c>
      <c r="M304" s="297">
        <v>644707.39801255171</v>
      </c>
      <c r="N304" s="297">
        <v>12</v>
      </c>
      <c r="O304" s="297">
        <v>88.675643452987742</v>
      </c>
      <c r="P304" s="297">
        <v>86.977191344639024</v>
      </c>
      <c r="Q304" s="297">
        <v>86.977191344639024</v>
      </c>
      <c r="R304" s="297">
        <v>86.977191344639024</v>
      </c>
      <c r="S304" s="297">
        <v>86.977191344639024</v>
      </c>
      <c r="T304" s="297">
        <v>81.484276454079136</v>
      </c>
      <c r="U304" s="297">
        <v>81.484276454079136</v>
      </c>
      <c r="V304" s="297">
        <v>81.484276454079136</v>
      </c>
      <c r="W304" s="297">
        <v>81.484276454079136</v>
      </c>
      <c r="X304" s="297">
        <v>81.484276454079136</v>
      </c>
      <c r="Y304" s="412">
        <v>0</v>
      </c>
      <c r="Z304" s="412">
        <v>0.38343414452057756</v>
      </c>
      <c r="AA304" s="412">
        <v>0.61656585547942244</v>
      </c>
      <c r="AB304" s="412"/>
      <c r="AC304" s="412"/>
      <c r="AD304" s="412"/>
      <c r="AE304" s="412"/>
      <c r="AF304" s="412"/>
      <c r="AG304" s="417"/>
      <c r="AH304" s="417"/>
      <c r="AI304" s="417"/>
      <c r="AJ304" s="417"/>
      <c r="AK304" s="417"/>
      <c r="AL304" s="417"/>
      <c r="AM304" s="298">
        <f>SUM(Y304:AL304)</f>
        <v>1</v>
      </c>
    </row>
    <row r="305" spans="1:39" hidden="1" outlineLevel="1">
      <c r="B305" s="296" t="s">
        <v>291</v>
      </c>
      <c r="C305" s="293" t="s">
        <v>164</v>
      </c>
      <c r="D305" s="297">
        <v>178177</v>
      </c>
      <c r="E305" s="297">
        <v>184872</v>
      </c>
      <c r="F305" s="297">
        <v>184872</v>
      </c>
      <c r="G305" s="297">
        <v>184872</v>
      </c>
      <c r="H305" s="297">
        <v>184872</v>
      </c>
      <c r="I305" s="297">
        <v>184872</v>
      </c>
      <c r="J305" s="297">
        <v>184872.29286278464</v>
      </c>
      <c r="K305" s="297">
        <v>184872.29286278458</v>
      </c>
      <c r="L305" s="297">
        <v>184872.29286278458</v>
      </c>
      <c r="M305" s="297">
        <v>184872.29286278458</v>
      </c>
      <c r="N305" s="297">
        <f>N304</f>
        <v>12</v>
      </c>
      <c r="O305" s="297">
        <v>37.799412720574452</v>
      </c>
      <c r="P305" s="297">
        <v>39.497864828923177</v>
      </c>
      <c r="Q305" s="297">
        <v>39.497864828923177</v>
      </c>
      <c r="R305" s="297">
        <v>39.497864828923177</v>
      </c>
      <c r="S305" s="297">
        <v>39.497864828923177</v>
      </c>
      <c r="T305" s="297">
        <v>39.497864828923177</v>
      </c>
      <c r="U305" s="297">
        <v>39.497864828923177</v>
      </c>
      <c r="V305" s="297">
        <v>39.497864828923177</v>
      </c>
      <c r="W305" s="297">
        <v>39.497864828923177</v>
      </c>
      <c r="X305" s="297">
        <v>39.497864828923177</v>
      </c>
      <c r="Y305" s="413">
        <f>Y304</f>
        <v>0</v>
      </c>
      <c r="Z305" s="413">
        <f t="shared" ref="Z305" si="811">Z304</f>
        <v>0.38343414452057756</v>
      </c>
      <c r="AA305" s="413">
        <f t="shared" ref="AA305" si="812">AA304</f>
        <v>0.61656585547942244</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hidden="1"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hidden="1" outlineLevel="1">
      <c r="A307" s="522">
        <v>27</v>
      </c>
      <c r="B307" s="520"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hidden="1" outlineLevel="1">
      <c r="B308" s="296" t="s">
        <v>291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0</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hidden="1"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hidden="1" outlineLevel="1">
      <c r="A310" s="522">
        <v>28</v>
      </c>
      <c r="B310" s="520"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hidden="1" outlineLevel="1">
      <c r="B311" s="296" t="s">
        <v>291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0</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hidden="1"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hidden="1" outlineLevel="1">
      <c r="A313" s="522">
        <v>29</v>
      </c>
      <c r="B313" s="520"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hidden="1" outlineLevel="1">
      <c r="B314" s="296" t="s">
        <v>291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hidden="1"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hidden="1" outlineLevel="1">
      <c r="A316" s="522">
        <v>30</v>
      </c>
      <c r="B316" s="520"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hidden="1" outlineLevel="1">
      <c r="B317" s="296" t="s">
        <v>291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hidden="1"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hidden="1" outlineLevel="1">
      <c r="A319" s="522">
        <v>31</v>
      </c>
      <c r="B319" s="520"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hidden="1" outlineLevel="1">
      <c r="B320" s="296" t="s">
        <v>291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hidden="1" outlineLevel="1">
      <c r="B321" s="520"/>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hidden="1" outlineLevel="1">
      <c r="A322" s="522">
        <v>32</v>
      </c>
      <c r="B322" s="520"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hidden="1" outlineLevel="1">
      <c r="B323" s="296" t="s">
        <v>291</v>
      </c>
      <c r="C323" s="293" t="s">
        <v>164</v>
      </c>
      <c r="D323" s="297">
        <v>835</v>
      </c>
      <c r="E323" s="297">
        <v>835</v>
      </c>
      <c r="F323" s="297">
        <v>835</v>
      </c>
      <c r="G323" s="297">
        <v>835</v>
      </c>
      <c r="H323" s="297">
        <v>835</v>
      </c>
      <c r="I323" s="297">
        <v>835</v>
      </c>
      <c r="J323" s="297">
        <v>835.44588199999998</v>
      </c>
      <c r="K323" s="297">
        <v>835.44588199999998</v>
      </c>
      <c r="L323" s="297">
        <v>835.44588199999998</v>
      </c>
      <c r="M323" s="297">
        <v>835.44588199999998</v>
      </c>
      <c r="N323" s="297">
        <f>N322</f>
        <v>12</v>
      </c>
      <c r="O323" s="297">
        <v>0</v>
      </c>
      <c r="P323" s="297">
        <v>0</v>
      </c>
      <c r="Q323" s="297">
        <v>0</v>
      </c>
      <c r="R323" s="297">
        <v>0</v>
      </c>
      <c r="S323" s="297">
        <v>0</v>
      </c>
      <c r="T323" s="297">
        <v>0</v>
      </c>
      <c r="U323" s="297">
        <v>0</v>
      </c>
      <c r="V323" s="297">
        <v>0</v>
      </c>
      <c r="W323" s="297">
        <v>0</v>
      </c>
      <c r="X323" s="297">
        <v>0</v>
      </c>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hidden="1" outlineLevel="1">
      <c r="B324" s="520"/>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hidden="1" outlineLevel="1">
      <c r="B325" s="290" t="s">
        <v>504</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hidden="1" outlineLevel="1">
      <c r="A326" s="522">
        <v>33</v>
      </c>
      <c r="B326" s="520" t="s">
        <v>126</v>
      </c>
      <c r="C326" s="293" t="s">
        <v>25</v>
      </c>
      <c r="D326" s="297">
        <v>160425.60097554341</v>
      </c>
      <c r="E326" s="297">
        <v>160024.5185555107</v>
      </c>
      <c r="F326" s="297">
        <v>160024.5185555107</v>
      </c>
      <c r="G326" s="297">
        <v>138828.02697156524</v>
      </c>
      <c r="H326" s="297">
        <v>123298.61035753973</v>
      </c>
      <c r="I326" s="297">
        <v>123298.61035753973</v>
      </c>
      <c r="J326" s="297">
        <v>123298.61035753973</v>
      </c>
      <c r="K326" s="297">
        <v>123298.61035753973</v>
      </c>
      <c r="L326" s="297">
        <v>123298.61035753973</v>
      </c>
      <c r="M326" s="297">
        <v>123298.61035753973</v>
      </c>
      <c r="N326" s="297">
        <v>0</v>
      </c>
      <c r="O326" s="297">
        <v>22.108945842697246</v>
      </c>
      <c r="P326" s="297">
        <v>22.003026268235267</v>
      </c>
      <c r="Q326" s="297">
        <v>22.003026268235267</v>
      </c>
      <c r="R326" s="297">
        <v>18.360034843558086</v>
      </c>
      <c r="S326" s="297">
        <v>15.776239163500703</v>
      </c>
      <c r="T326" s="297">
        <v>15.776239163500703</v>
      </c>
      <c r="U326" s="297">
        <v>15.776239163500703</v>
      </c>
      <c r="V326" s="297">
        <v>15.776239163500703</v>
      </c>
      <c r="W326" s="297">
        <v>15.776239163500703</v>
      </c>
      <c r="X326" s="297">
        <v>15.776239163500703</v>
      </c>
      <c r="Y326" s="412">
        <v>0</v>
      </c>
      <c r="Z326" s="412">
        <v>1</v>
      </c>
      <c r="AA326" s="412">
        <v>0</v>
      </c>
      <c r="AB326" s="412"/>
      <c r="AC326" s="412"/>
      <c r="AD326" s="412"/>
      <c r="AE326" s="412"/>
      <c r="AF326" s="412"/>
      <c r="AG326" s="417"/>
      <c r="AH326" s="417"/>
      <c r="AI326" s="417"/>
      <c r="AJ326" s="417"/>
      <c r="AK326" s="417"/>
      <c r="AL326" s="417"/>
      <c r="AM326" s="298">
        <f>SUM(Y326:AL326)</f>
        <v>1</v>
      </c>
    </row>
    <row r="327" spans="1:39" hidden="1" outlineLevel="1">
      <c r="B327" s="296" t="s">
        <v>291</v>
      </c>
      <c r="C327" s="293" t="s">
        <v>164</v>
      </c>
      <c r="D327" s="297" t="s">
        <v>710</v>
      </c>
      <c r="E327" s="297" t="s">
        <v>710</v>
      </c>
      <c r="F327" s="297" t="s">
        <v>710</v>
      </c>
      <c r="G327" s="297" t="s">
        <v>710</v>
      </c>
      <c r="H327" s="297" t="s">
        <v>710</v>
      </c>
      <c r="I327" s="297" t="s">
        <v>710</v>
      </c>
      <c r="J327" s="297" t="s">
        <v>710</v>
      </c>
      <c r="K327" s="297" t="s">
        <v>710</v>
      </c>
      <c r="L327" s="297" t="s">
        <v>710</v>
      </c>
      <c r="M327" s="297" t="s">
        <v>710</v>
      </c>
      <c r="N327" s="297">
        <f>N326</f>
        <v>0</v>
      </c>
      <c r="O327" s="297">
        <v>0</v>
      </c>
      <c r="P327" s="297">
        <v>0</v>
      </c>
      <c r="Q327" s="297">
        <v>0</v>
      </c>
      <c r="R327" s="297">
        <v>0</v>
      </c>
      <c r="S327" s="297">
        <v>0</v>
      </c>
      <c r="T327" s="297">
        <v>0</v>
      </c>
      <c r="U327" s="297">
        <v>0</v>
      </c>
      <c r="V327" s="297">
        <v>0</v>
      </c>
      <c r="W327" s="297">
        <v>0</v>
      </c>
      <c r="X327" s="297">
        <v>0</v>
      </c>
      <c r="Y327" s="413">
        <f>Y326</f>
        <v>0</v>
      </c>
      <c r="Z327" s="413">
        <f t="shared" ref="Z327" si="902">Z326</f>
        <v>1</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hidden="1" outlineLevel="1">
      <c r="B328" s="520"/>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hidden="1" outlineLevel="1">
      <c r="A329" s="522">
        <v>34</v>
      </c>
      <c r="B329" s="520"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hidden="1" outlineLevel="1">
      <c r="B330" s="296" t="s">
        <v>291</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hidden="1" outlineLevel="1">
      <c r="B331" s="520"/>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hidden="1" outlineLevel="1">
      <c r="A332" s="522">
        <v>35</v>
      </c>
      <c r="B332" s="520"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v>1</v>
      </c>
      <c r="Z332" s="412"/>
      <c r="AA332" s="412"/>
      <c r="AB332" s="412"/>
      <c r="AC332" s="412"/>
      <c r="AD332" s="412"/>
      <c r="AE332" s="412"/>
      <c r="AF332" s="412"/>
      <c r="AG332" s="417"/>
      <c r="AH332" s="417"/>
      <c r="AI332" s="417"/>
      <c r="AJ332" s="417"/>
      <c r="AK332" s="417"/>
      <c r="AL332" s="417"/>
      <c r="AM332" s="298">
        <f>SUM(Y332:AL332)</f>
        <v>1</v>
      </c>
    </row>
    <row r="333" spans="1:39" hidden="1" outlineLevel="1">
      <c r="B333" s="296" t="s">
        <v>291</v>
      </c>
      <c r="C333" s="293" t="s">
        <v>164</v>
      </c>
      <c r="D333" s="297">
        <v>317142</v>
      </c>
      <c r="E333" s="297">
        <v>0</v>
      </c>
      <c r="F333" s="297">
        <v>0</v>
      </c>
      <c r="G333" s="297">
        <v>0</v>
      </c>
      <c r="H333" s="297">
        <v>0</v>
      </c>
      <c r="I333" s="297">
        <v>0</v>
      </c>
      <c r="J333" s="297">
        <v>0</v>
      </c>
      <c r="K333" s="297">
        <v>0</v>
      </c>
      <c r="L333" s="297">
        <v>0</v>
      </c>
      <c r="M333" s="297">
        <v>0</v>
      </c>
      <c r="N333" s="297">
        <f>N332</f>
        <v>0</v>
      </c>
      <c r="O333" s="297">
        <v>0</v>
      </c>
      <c r="P333" s="297">
        <v>0</v>
      </c>
      <c r="Q333" s="297">
        <v>0</v>
      </c>
      <c r="R333" s="297">
        <v>0</v>
      </c>
      <c r="S333" s="297">
        <v>0</v>
      </c>
      <c r="T333" s="297">
        <v>0</v>
      </c>
      <c r="U333" s="297">
        <v>0</v>
      </c>
      <c r="V333" s="297">
        <v>0</v>
      </c>
      <c r="W333" s="297">
        <v>0</v>
      </c>
      <c r="X333" s="297">
        <v>0</v>
      </c>
      <c r="Y333" s="413">
        <f>Y332</f>
        <v>1</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hidden="1"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hidden="1" outlineLevel="1">
      <c r="B335" s="290" t="s">
        <v>505</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hidden="1" outlineLevel="1">
      <c r="A336" s="522">
        <v>36</v>
      </c>
      <c r="B336" s="520"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hidden="1" outlineLevel="1">
      <c r="B337" s="296" t="s">
        <v>291</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hidden="1" outlineLevel="1">
      <c r="B338" s="520"/>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hidden="1" outlineLevel="1">
      <c r="A339" s="522">
        <v>37</v>
      </c>
      <c r="B339" s="520"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hidden="1" outlineLevel="1">
      <c r="B340" s="296" t="s">
        <v>291</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hidden="1" outlineLevel="1">
      <c r="B341" s="520"/>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hidden="1" outlineLevel="1">
      <c r="A342" s="522">
        <v>38</v>
      </c>
      <c r="B342" s="520"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hidden="1" outlineLevel="1">
      <c r="B343" s="296" t="s">
        <v>291</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hidden="1" outlineLevel="1">
      <c r="B344" s="520"/>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hidden="1" outlineLevel="1">
      <c r="A345" s="522">
        <v>39</v>
      </c>
      <c r="B345" s="520"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hidden="1" outlineLevel="1">
      <c r="B346" s="296" t="s">
        <v>291</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hidden="1" outlineLevel="1">
      <c r="B347" s="520"/>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hidden="1" outlineLevel="1">
      <c r="A348" s="522">
        <v>40</v>
      </c>
      <c r="B348" s="520"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hidden="1" outlineLevel="1">
      <c r="B349" s="296" t="s">
        <v>291</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hidden="1" outlineLevel="1">
      <c r="B350" s="520"/>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hidden="1" outlineLevel="1">
      <c r="A351" s="522">
        <v>41</v>
      </c>
      <c r="B351" s="520"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hidden="1" outlineLevel="1">
      <c r="B352" s="296" t="s">
        <v>291</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hidden="1" outlineLevel="1">
      <c r="B353" s="520"/>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hidden="1" outlineLevel="1">
      <c r="A354" s="522">
        <v>42</v>
      </c>
      <c r="B354" s="520"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hidden="1" outlineLevel="1">
      <c r="B355" s="296" t="s">
        <v>291</v>
      </c>
      <c r="C355" s="293" t="s">
        <v>164</v>
      </c>
      <c r="D355" s="297"/>
      <c r="E355" s="297"/>
      <c r="F355" s="297"/>
      <c r="G355" s="297"/>
      <c r="H355" s="297"/>
      <c r="I355" s="297"/>
      <c r="J355" s="297"/>
      <c r="K355" s="297"/>
      <c r="L355" s="297"/>
      <c r="M355" s="297"/>
      <c r="N355" s="469"/>
      <c r="O355" s="297"/>
      <c r="P355" s="297"/>
      <c r="Q355" s="297"/>
      <c r="R355" s="297"/>
      <c r="S355" s="297"/>
      <c r="T355" s="297"/>
      <c r="U355" s="297"/>
      <c r="V355" s="297"/>
      <c r="W355" s="297"/>
      <c r="X355" s="297"/>
      <c r="Y355" s="413">
        <f>Y354</f>
        <v>0</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hidden="1" outlineLevel="1">
      <c r="B356" s="520"/>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hidden="1" outlineLevel="1">
      <c r="A357" s="522">
        <v>43</v>
      </c>
      <c r="B357" s="520"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hidden="1" outlineLevel="1">
      <c r="B358" s="296" t="s">
        <v>291</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hidden="1" outlineLevel="1">
      <c r="B359" s="520"/>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hidden="1" outlineLevel="1">
      <c r="A360" s="522">
        <v>44</v>
      </c>
      <c r="B360" s="520"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hidden="1" outlineLevel="1">
      <c r="B361" s="296" t="s">
        <v>291</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hidden="1" outlineLevel="1">
      <c r="B362" s="520"/>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hidden="1" outlineLevel="1">
      <c r="A363" s="522">
        <v>45</v>
      </c>
      <c r="B363" s="520"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hidden="1" outlineLevel="1">
      <c r="B364" s="296" t="s">
        <v>291</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hidden="1" outlineLevel="1">
      <c r="B365" s="520"/>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hidden="1" outlineLevel="1">
      <c r="A366" s="522">
        <v>46</v>
      </c>
      <c r="B366" s="520"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hidden="1" outlineLevel="1">
      <c r="B367" s="296" t="s">
        <v>291</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hidden="1" outlineLevel="1">
      <c r="B368" s="520"/>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hidden="1" outlineLevel="1">
      <c r="A369" s="522">
        <v>47</v>
      </c>
      <c r="B369" s="520"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hidden="1" outlineLevel="1">
      <c r="B370" s="296" t="s">
        <v>291</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hidden="1" outlineLevel="1">
      <c r="B371" s="520"/>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hidden="1" outlineLevel="1">
      <c r="A372" s="522">
        <v>48</v>
      </c>
      <c r="B372" s="520"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hidden="1" outlineLevel="1">
      <c r="B373" s="296" t="s">
        <v>291</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hidden="1" outlineLevel="1">
      <c r="B374" s="520"/>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hidden="1" outlineLevel="1">
      <c r="A375" s="522">
        <v>49</v>
      </c>
      <c r="B375" s="520"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hidden="1" outlineLevel="1">
      <c r="B376" s="296" t="s">
        <v>291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hidden="1"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ollapsed="1">
      <c r="B378" s="329" t="s">
        <v>276</v>
      </c>
      <c r="C378" s="331"/>
      <c r="D378" s="331">
        <f>SUM(D221:D376)</f>
        <v>2882336.4056254858</v>
      </c>
      <c r="E378" s="331"/>
      <c r="F378" s="331"/>
      <c r="G378" s="331"/>
      <c r="H378" s="331"/>
      <c r="I378" s="331"/>
      <c r="J378" s="331"/>
      <c r="K378" s="331"/>
      <c r="L378" s="331"/>
      <c r="M378" s="331"/>
      <c r="N378" s="331"/>
      <c r="O378" s="331">
        <f>SUM(O221:O376)</f>
        <v>286.73837396498118</v>
      </c>
      <c r="P378" s="331"/>
      <c r="Q378" s="331"/>
      <c r="R378" s="331"/>
      <c r="S378" s="331"/>
      <c r="T378" s="331"/>
      <c r="U378" s="331"/>
      <c r="V378" s="331"/>
      <c r="W378" s="331"/>
      <c r="X378" s="331"/>
      <c r="Y378" s="331">
        <f>IF(Y219="kWh",SUMPRODUCT(D221:D376,Y221:Y376))</f>
        <v>1844336.790936538</v>
      </c>
      <c r="Z378" s="331">
        <f>IF(Z219="kWh",SUMPRODUCT(D221:D376,Z221:Z376))</f>
        <v>504700.57807419926</v>
      </c>
      <c r="AA378" s="331">
        <f>IF(AA219="kw",SUMPRODUCT(N221:N376,O221:O376,AA221:AA376),SUMPRODUCT(D221:D376,AA221:AA376))</f>
        <v>935.76241447752466</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277</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1345003</v>
      </c>
      <c r="Z379" s="394">
        <f>HLOOKUP(Z218,'2. LRAMVA Threshold'!$B$42:$Q$53,8,FALSE)</f>
        <v>543085</v>
      </c>
      <c r="AA379" s="394">
        <f>HLOOKUP(AA218,'2. LRAMVA Threshold'!$B$42:$Q$53,8,FALSE)</f>
        <v>10671</v>
      </c>
      <c r="AB379" s="394">
        <f>HLOOKUP(AB218,'2. LRAMVA Threshold'!$B$42:$Q$53,8,FALSE)</f>
        <v>196</v>
      </c>
      <c r="AC379" s="394">
        <f>HLOOKUP(AC218,'2. LRAMVA Threshold'!$B$42:$Q$53,8,FALSE)</f>
        <v>4684</v>
      </c>
      <c r="AD379" s="394">
        <f>HLOOKUP(AD218,'2. LRAMVA Threshold'!$B$42:$Q$53,8,FALSE)</f>
        <v>0</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278</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1.6899999999999998E-2</v>
      </c>
      <c r="Z381" s="343">
        <f>HLOOKUP(Z$35,'3.  Distribution Rates'!$C$122:$P$133,8,FALSE)</f>
        <v>1.37E-2</v>
      </c>
      <c r="AA381" s="343">
        <f>HLOOKUP(AA$35,'3.  Distribution Rates'!$C$122:$P$133,8,FALSE)</f>
        <v>3.2206000000000001</v>
      </c>
      <c r="AB381" s="343">
        <f>HLOOKUP(AB$35,'3.  Distribution Rates'!$C$122:$P$133,8,FALSE)</f>
        <v>15.076599999999999</v>
      </c>
      <c r="AC381" s="343">
        <f>HLOOKUP(AC$35,'3.  Distribution Rates'!$C$122:$P$133,8,FALSE)</f>
        <v>1.18E-2</v>
      </c>
      <c r="AD381" s="343">
        <f>HLOOKUP(AD$35,'3.  Distribution Rates'!$C$122:$P$133,8,FALSE)</f>
        <v>0</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279</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3052.7077384717682</v>
      </c>
      <c r="Z382" s="380">
        <f>'4.  2011-2014 LRAM'!Z139*Z381</f>
        <v>3185.7157212328198</v>
      </c>
      <c r="AA382" s="380">
        <f>'4.  2011-2014 LRAM'!AA139*AA381</f>
        <v>1687.2208104000001</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29">
        <f t="shared" ref="AM382:AM387" si="1123">SUM(Y382:AL382)</f>
        <v>7925.644270104588</v>
      </c>
    </row>
    <row r="383" spans="1:42">
      <c r="B383" s="326" t="s">
        <v>280</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2731.0897968211975</v>
      </c>
      <c r="Z383" s="380">
        <f>'4.  2011-2014 LRAM'!Z268*Z381</f>
        <v>16454.90142629396</v>
      </c>
      <c r="AA383" s="380">
        <f>'4.  2011-2014 LRAM'!AA268*AA381</f>
        <v>1432.2012271357085</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29">
        <f t="shared" si="1123"/>
        <v>20618.192450250866</v>
      </c>
    </row>
    <row r="384" spans="1:42">
      <c r="B384" s="326" t="s">
        <v>281</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2883.6579071001083</v>
      </c>
      <c r="Z384" s="380">
        <f>'4.  2011-2014 LRAM'!Z397*Z381</f>
        <v>16293.105889958782</v>
      </c>
      <c r="AA384" s="380">
        <f>'4.  2011-2014 LRAM'!AA397*AA381</f>
        <v>911.26753833018734</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29">
        <f t="shared" si="1123"/>
        <v>20088.031335389078</v>
      </c>
    </row>
    <row r="385" spans="2:39">
      <c r="B385" s="326" t="s">
        <v>282</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9245.1736083323831</v>
      </c>
      <c r="Z385" s="380">
        <f>'4.  2011-2014 LRAM'!Z527*Z381</f>
        <v>14872.908551039387</v>
      </c>
      <c r="AA385" s="380">
        <f>'4.  2011-2014 LRAM'!AA527*AA381</f>
        <v>2310.2659442327281</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29">
        <f t="shared" si="1123"/>
        <v>26428.348103604498</v>
      </c>
    </row>
    <row r="386" spans="2:39">
      <c r="B386" s="326" t="s">
        <v>283</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9784.9279296513923</v>
      </c>
      <c r="Z386" s="380">
        <f t="shared" si="1124"/>
        <v>14369.934516834388</v>
      </c>
      <c r="AA386" s="380">
        <f t="shared" si="1124"/>
        <v>2376.2823943176431</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29">
        <f t="shared" si="1123"/>
        <v>26531.144840803423</v>
      </c>
    </row>
    <row r="387" spans="2:39">
      <c r="B387" s="326" t="s">
        <v>292</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31169.291766827489</v>
      </c>
      <c r="Z387" s="380">
        <f t="shared" ref="Z387:AL387" si="1125">Z378*Z381</f>
        <v>6914.3979196165301</v>
      </c>
      <c r="AA387" s="380">
        <f t="shared" si="1125"/>
        <v>3013.716432066316</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29">
        <f t="shared" si="1123"/>
        <v>41097.406118510335</v>
      </c>
    </row>
    <row r="388" spans="2:39" ht="15.75">
      <c r="B388" s="351" t="s">
        <v>284</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58866.848747204342</v>
      </c>
      <c r="Z388" s="348">
        <f t="shared" ref="Z388:AE388" si="1126">SUM(Z382:Z387)</f>
        <v>72090.964024975867</v>
      </c>
      <c r="AA388" s="348">
        <f t="shared" si="1126"/>
        <v>11730.954346482582</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142688.76711866277</v>
      </c>
    </row>
    <row r="389" spans="2:39" ht="15.75">
      <c r="B389" s="351" t="s">
        <v>285</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22730.550699999996</v>
      </c>
      <c r="Z389" s="349">
        <f t="shared" ref="Z389:AE389" si="1128">Z379*Z381</f>
        <v>7440.2645000000002</v>
      </c>
      <c r="AA389" s="349">
        <f t="shared" si="1128"/>
        <v>34367.022600000004</v>
      </c>
      <c r="AB389" s="349">
        <f t="shared" si="1128"/>
        <v>2955.0135999999998</v>
      </c>
      <c r="AC389" s="349">
        <f t="shared" si="1128"/>
        <v>55.2712</v>
      </c>
      <c r="AD389" s="349">
        <f t="shared" si="1128"/>
        <v>0</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67548.122600000002</v>
      </c>
    </row>
    <row r="390" spans="2:39" ht="15.75">
      <c r="B390" s="351" t="s">
        <v>286</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75140.644518662768</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287</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1527194.790936538</v>
      </c>
      <c r="Z392" s="293">
        <f>SUMPRODUCT(E221:E376,Z221:Z376)</f>
        <v>504299.53375670407</v>
      </c>
      <c r="AA392" s="293">
        <f t="shared" ref="AA392:AL392" si="1130">IF(AA219="kw",SUMPRODUCT($N$221:$N$376,$P$221:$P$376,AA221:AA376),SUMPRODUCT($E$221:$E$376,AA221:AA376))</f>
        <v>935.76241447752454</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288</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1527194.790936538</v>
      </c>
      <c r="Z393" s="293">
        <f>SUMPRODUCT(F221:F376,Z221:Z376)</f>
        <v>504299.53375670407</v>
      </c>
      <c r="AA393" s="293">
        <f t="shared" ref="AA393:AL393" si="1131">IF(AA219="kw",SUMPRODUCT($N$221:$N$376,$Q$221:$Q$376,AA221:AA376),SUMPRODUCT($F$221:$F$376,AA221:AA376))</f>
        <v>935.76241447752454</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289</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1527194.790936538</v>
      </c>
      <c r="Z394" s="293">
        <f>SUMPRODUCT(G221:G376,Z221:Z376)</f>
        <v>483103.04217275861</v>
      </c>
      <c r="AA394" s="293">
        <f t="shared" ref="AA394:AL394" si="1132">IF(AA219="kw",SUMPRODUCT($N$221:$N$376,$R$221:$R$376,AA221:AA376),SUMPRODUCT($G$221:$G$376,AA221:AA376))</f>
        <v>935.76241447752454</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290</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1527194.790936538</v>
      </c>
      <c r="Z395" s="328">
        <f>SUMPRODUCT(H221:H376,Z221:Z376)</f>
        <v>467573.62555873307</v>
      </c>
      <c r="AA395" s="328">
        <f t="shared" ref="AA395:AL395" si="1133">IF(AA219="kw",SUMPRODUCT($N$221:$N$376,$S$221:$S$376,AA221:AA376),SUMPRODUCT($H$221:$H$376,AA221:AA376))</f>
        <v>935.76241447752454</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594</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hidden="1">
      <c r="B399" s="282" t="s">
        <v>293</v>
      </c>
      <c r="C399" s="283"/>
      <c r="D399" s="590" t="s">
        <v>530</v>
      </c>
      <c r="E399" s="255"/>
      <c r="F399" s="592"/>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hidden="1" customHeight="1">
      <c r="B400" s="868" t="s">
        <v>212</v>
      </c>
      <c r="C400" s="870" t="s">
        <v>33</v>
      </c>
      <c r="D400" s="286" t="s">
        <v>425</v>
      </c>
      <c r="E400" s="872" t="s">
        <v>210</v>
      </c>
      <c r="F400" s="873"/>
      <c r="G400" s="873"/>
      <c r="H400" s="873"/>
      <c r="I400" s="873"/>
      <c r="J400" s="873"/>
      <c r="K400" s="873"/>
      <c r="L400" s="873"/>
      <c r="M400" s="874"/>
      <c r="N400" s="878" t="s">
        <v>214</v>
      </c>
      <c r="O400" s="286" t="s">
        <v>426</v>
      </c>
      <c r="P400" s="872" t="s">
        <v>213</v>
      </c>
      <c r="Q400" s="873"/>
      <c r="R400" s="873"/>
      <c r="S400" s="873"/>
      <c r="T400" s="873"/>
      <c r="U400" s="873"/>
      <c r="V400" s="873"/>
      <c r="W400" s="873"/>
      <c r="X400" s="874"/>
      <c r="Y400" s="875" t="s">
        <v>245</v>
      </c>
      <c r="Z400" s="876"/>
      <c r="AA400" s="876"/>
      <c r="AB400" s="876"/>
      <c r="AC400" s="876"/>
      <c r="AD400" s="876"/>
      <c r="AE400" s="876"/>
      <c r="AF400" s="876"/>
      <c r="AG400" s="876"/>
      <c r="AH400" s="876"/>
      <c r="AI400" s="876"/>
      <c r="AJ400" s="876"/>
      <c r="AK400" s="876"/>
      <c r="AL400" s="876"/>
      <c r="AM400" s="877"/>
    </row>
    <row r="401" spans="1:39" ht="61.5" hidden="1" customHeight="1">
      <c r="B401" s="869"/>
      <c r="C401" s="871"/>
      <c r="D401" s="287">
        <v>2017</v>
      </c>
      <c r="E401" s="287">
        <v>2018</v>
      </c>
      <c r="F401" s="287">
        <v>2019</v>
      </c>
      <c r="G401" s="287">
        <v>2020</v>
      </c>
      <c r="H401" s="287">
        <v>2021</v>
      </c>
      <c r="I401" s="287">
        <v>2022</v>
      </c>
      <c r="J401" s="287">
        <v>2023</v>
      </c>
      <c r="K401" s="287">
        <v>2024</v>
      </c>
      <c r="L401" s="287">
        <v>2025</v>
      </c>
      <c r="M401" s="287">
        <v>2026</v>
      </c>
      <c r="N401" s="879"/>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GS&gt;50 kW</v>
      </c>
      <c r="AB401" s="287" t="str">
        <f>'1.  LRAMVA Summary'!G50</f>
        <v>Streetlights</v>
      </c>
      <c r="AC401" s="287" t="str">
        <f>'1.  LRAMVA Summary'!H50</f>
        <v>Unmetered Scattered Load</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hidden="1" customHeight="1">
      <c r="A402" s="532"/>
      <c r="B402" s="524" t="s">
        <v>507</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v>
      </c>
      <c r="AC402" s="293" t="str">
        <f>'1.  LRAMVA Summary'!H51</f>
        <v>KWh</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2"/>
      <c r="B403" s="504" t="s">
        <v>500</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2">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2"/>
      <c r="B405" s="433" t="s">
        <v>310</v>
      </c>
      <c r="C405" s="293" t="s">
        <v>164</v>
      </c>
      <c r="D405" s="297"/>
      <c r="E405" s="297"/>
      <c r="F405" s="297"/>
      <c r="G405" s="297"/>
      <c r="H405" s="297"/>
      <c r="I405" s="297"/>
      <c r="J405" s="297"/>
      <c r="K405" s="297"/>
      <c r="L405" s="297"/>
      <c r="M405" s="297"/>
      <c r="N405" s="469"/>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hidden="1" outlineLevel="1">
      <c r="A406" s="532"/>
      <c r="B406" s="525"/>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2">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2"/>
      <c r="B408" s="433" t="s">
        <v>310</v>
      </c>
      <c r="C408" s="293" t="s">
        <v>164</v>
      </c>
      <c r="D408" s="297"/>
      <c r="E408" s="297"/>
      <c r="F408" s="297"/>
      <c r="G408" s="297"/>
      <c r="H408" s="297"/>
      <c r="I408" s="297"/>
      <c r="J408" s="297"/>
      <c r="K408" s="297"/>
      <c r="L408" s="297"/>
      <c r="M408" s="297"/>
      <c r="N408" s="469"/>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hidden="1" outlineLevel="1">
      <c r="A409" s="532"/>
      <c r="B409" s="525"/>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2">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2"/>
      <c r="B411" s="433" t="s">
        <v>310</v>
      </c>
      <c r="C411" s="293" t="s">
        <v>164</v>
      </c>
      <c r="D411" s="297"/>
      <c r="E411" s="297"/>
      <c r="F411" s="297"/>
      <c r="G411" s="297"/>
      <c r="H411" s="297"/>
      <c r="I411" s="297"/>
      <c r="J411" s="297"/>
      <c r="K411" s="297"/>
      <c r="L411" s="297"/>
      <c r="M411" s="297"/>
      <c r="N411" s="469"/>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hidden="1" outlineLevel="1">
      <c r="A412" s="532"/>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2">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2"/>
      <c r="B414" s="433" t="s">
        <v>310</v>
      </c>
      <c r="C414" s="293" t="s">
        <v>164</v>
      </c>
      <c r="D414" s="297"/>
      <c r="E414" s="297"/>
      <c r="F414" s="297"/>
      <c r="G414" s="297"/>
      <c r="H414" s="297"/>
      <c r="I414" s="297"/>
      <c r="J414" s="297"/>
      <c r="K414" s="297"/>
      <c r="L414" s="297"/>
      <c r="M414" s="297"/>
      <c r="N414" s="469"/>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hidden="1" outlineLevel="1">
      <c r="A415" s="532"/>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2">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2"/>
      <c r="B417" s="433" t="s">
        <v>310</v>
      </c>
      <c r="C417" s="293" t="s">
        <v>164</v>
      </c>
      <c r="D417" s="297"/>
      <c r="E417" s="297"/>
      <c r="F417" s="297"/>
      <c r="G417" s="297"/>
      <c r="H417" s="297"/>
      <c r="I417" s="297"/>
      <c r="J417" s="297"/>
      <c r="K417" s="297"/>
      <c r="L417" s="297"/>
      <c r="M417" s="297"/>
      <c r="N417" s="469"/>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hidden="1" outlineLevel="1">
      <c r="A418" s="532"/>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2"/>
      <c r="B419" s="514" t="s">
        <v>501</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2">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2"/>
      <c r="B421" s="433" t="s">
        <v>310</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hidden="1" outlineLevel="1">
      <c r="A422" s="532"/>
      <c r="B422" s="526"/>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2">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2"/>
      <c r="B424" s="433" t="s">
        <v>310</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hidden="1" outlineLevel="1">
      <c r="A425" s="532"/>
      <c r="B425" s="527"/>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2">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2"/>
      <c r="B427" s="433" t="s">
        <v>310</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hidden="1" outlineLevel="1">
      <c r="A428" s="532"/>
      <c r="B428" s="527"/>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2">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2"/>
      <c r="B430" s="433" t="s">
        <v>310</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hidden="1" outlineLevel="1">
      <c r="A431" s="532"/>
      <c r="B431" s="527"/>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2">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2"/>
      <c r="B433" s="433" t="s">
        <v>310</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hidden="1" outlineLevel="1">
      <c r="A434" s="532"/>
      <c r="B434" s="527"/>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2"/>
      <c r="B435" s="504"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2">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2"/>
      <c r="B437" s="433" t="s">
        <v>310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hidden="1" outlineLevel="1">
      <c r="A438" s="532"/>
      <c r="B438" s="528"/>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2">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2"/>
      <c r="B440" s="433" t="s">
        <v>310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hidden="1" outlineLevel="1">
      <c r="A441" s="532"/>
      <c r="B441" s="528"/>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2">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2"/>
      <c r="B443" s="433" t="s">
        <v>310</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hidden="1" outlineLevel="1">
      <c r="A444" s="532"/>
      <c r="B444" s="528"/>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2"/>
      <c r="B445" s="504"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2">
        <v>14</v>
      </c>
      <c r="B446" s="528"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2"/>
      <c r="B447" s="433" t="s">
        <v>310</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hidden="1" outlineLevel="1">
      <c r="A448" s="532"/>
      <c r="B448" s="528"/>
      <c r="C448" s="307"/>
      <c r="D448" s="293"/>
      <c r="E448" s="293"/>
      <c r="F448" s="293"/>
      <c r="G448" s="293"/>
      <c r="H448" s="293"/>
      <c r="I448" s="293"/>
      <c r="J448" s="293"/>
      <c r="K448" s="293"/>
      <c r="L448" s="293"/>
      <c r="M448" s="293"/>
      <c r="N448" s="469"/>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0"/>
    </row>
    <row r="449" spans="1:40" s="311" customFormat="1" ht="15.75" hidden="1" outlineLevel="1">
      <c r="A449" s="532"/>
      <c r="B449" s="504" t="s">
        <v>493</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7"/>
      <c r="AN449" s="631"/>
    </row>
    <row r="450" spans="1:40" hidden="1" outlineLevel="1">
      <c r="A450" s="532">
        <v>15</v>
      </c>
      <c r="B450" s="433" t="s">
        <v>498</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2"/>
      <c r="B451" s="433" t="s">
        <v>310</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hidden="1" outlineLevel="1">
      <c r="A452" s="532"/>
      <c r="B452" s="528"/>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2">
        <v>16</v>
      </c>
      <c r="B453" s="529" t="s">
        <v>494</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2"/>
      <c r="B454" s="529" t="s">
        <v>310</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hidden="1" outlineLevel="1">
      <c r="A455" s="532"/>
      <c r="B455" s="529"/>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2"/>
      <c r="B456" s="530" t="s">
        <v>499</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2">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2"/>
      <c r="B458" s="433" t="s">
        <v>310</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hidden="1" outlineLevel="1">
      <c r="A459" s="532"/>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2">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2"/>
      <c r="B461" s="433" t="s">
        <v>310</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hidden="1" outlineLevel="1">
      <c r="A462" s="532"/>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2">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2"/>
      <c r="B464" s="433" t="s">
        <v>310</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hidden="1" outlineLevel="1">
      <c r="A465" s="532"/>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2">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2"/>
      <c r="B467" s="433" t="s">
        <v>310</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hidden="1" outlineLevel="1">
      <c r="A468" s="532"/>
      <c r="B468" s="531"/>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2"/>
      <c r="B469" s="524" t="s">
        <v>506</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2"/>
      <c r="B470" s="504" t="s">
        <v>502</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2">
        <v>21</v>
      </c>
      <c r="B471" s="430" t="s">
        <v>114</v>
      </c>
      <c r="C471" s="293" t="s">
        <v>25</v>
      </c>
      <c r="D471" s="297">
        <v>3037051</v>
      </c>
      <c r="E471" s="297">
        <v>2344528</v>
      </c>
      <c r="F471" s="297">
        <v>2344528</v>
      </c>
      <c r="G471" s="297">
        <v>2344528</v>
      </c>
      <c r="H471" s="297">
        <v>2344528</v>
      </c>
      <c r="I471" s="297">
        <v>2344529.2589537292</v>
      </c>
      <c r="J471" s="297">
        <v>2344529.2589537287</v>
      </c>
      <c r="K471" s="297">
        <v>2344460.2459069318</v>
      </c>
      <c r="L471" s="297">
        <v>2344460.2459069318</v>
      </c>
      <c r="M471" s="297">
        <v>2342042.1014651028</v>
      </c>
      <c r="N471" s="293"/>
      <c r="O471" s="297">
        <v>209.93872372563288</v>
      </c>
      <c r="P471" s="297">
        <v>163.50914392030768</v>
      </c>
      <c r="Q471" s="297">
        <v>163.50914392030768</v>
      </c>
      <c r="R471" s="297">
        <v>163.50914392030768</v>
      </c>
      <c r="S471" s="297">
        <v>163.50914392030768</v>
      </c>
      <c r="T471" s="297">
        <v>163.50914392030768</v>
      </c>
      <c r="U471" s="297">
        <v>163.50914392030768</v>
      </c>
      <c r="V471" s="297">
        <v>163.50224261562798</v>
      </c>
      <c r="W471" s="297">
        <v>163.50224261562798</v>
      </c>
      <c r="X471" s="297">
        <v>4</v>
      </c>
      <c r="Y471" s="412">
        <v>1</v>
      </c>
      <c r="Z471" s="412"/>
      <c r="AA471" s="412"/>
      <c r="AB471" s="412"/>
      <c r="AC471" s="412"/>
      <c r="AD471" s="412"/>
      <c r="AE471" s="412"/>
      <c r="AF471" s="412"/>
      <c r="AG471" s="412"/>
      <c r="AH471" s="412"/>
      <c r="AI471" s="412"/>
      <c r="AJ471" s="412"/>
      <c r="AK471" s="412"/>
      <c r="AL471" s="412"/>
      <c r="AM471" s="298">
        <f>SUM(Y471:AL471)</f>
        <v>1</v>
      </c>
    </row>
    <row r="472" spans="1:39" hidden="1" outlineLevel="1">
      <c r="A472" s="532"/>
      <c r="B472" s="433" t="s">
        <v>310</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1</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hidden="1" outlineLevel="1">
      <c r="A473" s="532"/>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2">
        <v>22</v>
      </c>
      <c r="B474" s="430" t="s">
        <v>115</v>
      </c>
      <c r="C474" s="293" t="s">
        <v>25</v>
      </c>
      <c r="D474" s="297">
        <v>129501</v>
      </c>
      <c r="E474" s="297">
        <v>129501</v>
      </c>
      <c r="F474" s="297">
        <v>129501</v>
      </c>
      <c r="G474" s="297">
        <v>129501</v>
      </c>
      <c r="H474" s="297">
        <v>129501</v>
      </c>
      <c r="I474" s="297">
        <v>129528.21700000022</v>
      </c>
      <c r="J474" s="297">
        <v>129528.21700000022</v>
      </c>
      <c r="K474" s="297">
        <v>129528.21700000022</v>
      </c>
      <c r="L474" s="297">
        <v>129528.21700000022</v>
      </c>
      <c r="M474" s="297">
        <v>129528.21700000022</v>
      </c>
      <c r="N474" s="293"/>
      <c r="O474" s="297">
        <v>34.60799999999999</v>
      </c>
      <c r="P474" s="297">
        <v>34.60799999999999</v>
      </c>
      <c r="Q474" s="297">
        <v>34.60799999999999</v>
      </c>
      <c r="R474" s="297">
        <v>34.60799999999999</v>
      </c>
      <c r="S474" s="297">
        <v>34.60799999999999</v>
      </c>
      <c r="T474" s="297">
        <v>34.60799999999999</v>
      </c>
      <c r="U474" s="297">
        <v>34.60799999999999</v>
      </c>
      <c r="V474" s="297">
        <v>34.60799999999999</v>
      </c>
      <c r="W474" s="297">
        <v>34.60799999999999</v>
      </c>
      <c r="X474" s="297">
        <v>140</v>
      </c>
      <c r="Y474" s="412">
        <v>1</v>
      </c>
      <c r="Z474" s="412"/>
      <c r="AA474" s="412"/>
      <c r="AB474" s="412"/>
      <c r="AC474" s="412"/>
      <c r="AD474" s="412"/>
      <c r="AE474" s="412"/>
      <c r="AF474" s="412"/>
      <c r="AG474" s="412"/>
      <c r="AH474" s="412"/>
      <c r="AI474" s="412"/>
      <c r="AJ474" s="412"/>
      <c r="AK474" s="412"/>
      <c r="AL474" s="412"/>
      <c r="AM474" s="298">
        <f>SUM(Y474:AL474)</f>
        <v>1</v>
      </c>
    </row>
    <row r="475" spans="1:39" hidden="1" outlineLevel="1">
      <c r="A475" s="532"/>
      <c r="B475" s="433" t="s">
        <v>310</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1</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hidden="1" outlineLevel="1">
      <c r="A476" s="532"/>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2">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2"/>
      <c r="B478" s="433" t="s">
        <v>310</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hidden="1" outlineLevel="1">
      <c r="A479" s="532"/>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2">
        <v>24</v>
      </c>
      <c r="B480" s="430" t="s">
        <v>117</v>
      </c>
      <c r="C480" s="293" t="s">
        <v>25</v>
      </c>
      <c r="D480" s="297">
        <v>7430</v>
      </c>
      <c r="E480" s="297">
        <v>7430</v>
      </c>
      <c r="F480" s="297">
        <v>7430</v>
      </c>
      <c r="G480" s="297">
        <v>7430</v>
      </c>
      <c r="H480" s="297">
        <v>7430</v>
      </c>
      <c r="I480" s="297">
        <v>7431.1598491999994</v>
      </c>
      <c r="J480" s="297">
        <v>7431.1598491999994</v>
      </c>
      <c r="K480" s="297">
        <v>7431.1598491999994</v>
      </c>
      <c r="L480" s="297">
        <v>7431.1598491999994</v>
      </c>
      <c r="M480" s="297">
        <v>7431.1598491999994</v>
      </c>
      <c r="N480" s="293"/>
      <c r="O480" s="297">
        <v>1.3622098999999999</v>
      </c>
      <c r="P480" s="297">
        <v>1.3622098999999999</v>
      </c>
      <c r="Q480" s="297">
        <v>1.3622098999999999</v>
      </c>
      <c r="R480" s="297">
        <v>1.3622098999999999</v>
      </c>
      <c r="S480" s="297">
        <v>1.3622098999999999</v>
      </c>
      <c r="T480" s="297">
        <v>1.3622098999999999</v>
      </c>
      <c r="U480" s="297">
        <v>1.3622098999999999</v>
      </c>
      <c r="V480" s="297">
        <v>1.3622098999999999</v>
      </c>
      <c r="W480" s="297">
        <v>1.3622098999999999</v>
      </c>
      <c r="X480" s="297">
        <v>4</v>
      </c>
      <c r="Y480" s="412">
        <v>1</v>
      </c>
      <c r="Z480" s="412"/>
      <c r="AA480" s="412"/>
      <c r="AB480" s="412"/>
      <c r="AC480" s="412"/>
      <c r="AD480" s="412"/>
      <c r="AE480" s="412"/>
      <c r="AF480" s="412"/>
      <c r="AG480" s="412"/>
      <c r="AH480" s="412"/>
      <c r="AI480" s="412"/>
      <c r="AJ480" s="412"/>
      <c r="AK480" s="412"/>
      <c r="AL480" s="412"/>
      <c r="AM480" s="298">
        <f>SUM(Y480:AL480)</f>
        <v>1</v>
      </c>
    </row>
    <row r="481" spans="1:39" hidden="1" outlineLevel="1">
      <c r="A481" s="532"/>
      <c r="B481" s="433" t="s">
        <v>310</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1</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hidden="1" outlineLevel="1">
      <c r="A482" s="532"/>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2"/>
      <c r="B483" s="504" t="s">
        <v>503</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2">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2"/>
      <c r="B485" s="433" t="s">
        <v>310</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hidden="1" outlineLevel="1">
      <c r="A486" s="532"/>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2">
        <v>26</v>
      </c>
      <c r="B487" s="430" t="s">
        <v>119</v>
      </c>
      <c r="C487" s="293" t="s">
        <v>25</v>
      </c>
      <c r="D487" s="297">
        <v>3389194</v>
      </c>
      <c r="E487" s="297">
        <v>3437086</v>
      </c>
      <c r="F487" s="297">
        <v>3437086</v>
      </c>
      <c r="G487" s="297">
        <v>3437086</v>
      </c>
      <c r="H487" s="297">
        <v>3437086</v>
      </c>
      <c r="I487" s="297">
        <v>3401919.0078805345</v>
      </c>
      <c r="J487" s="297">
        <v>3401919.0078805345</v>
      </c>
      <c r="K487" s="297">
        <v>3401919.0078805345</v>
      </c>
      <c r="L487" s="297">
        <v>3392188.170817954</v>
      </c>
      <c r="M487" s="297">
        <v>3392188.170817954</v>
      </c>
      <c r="N487" s="297">
        <v>12</v>
      </c>
      <c r="O487" s="297">
        <v>516.80782880764957</v>
      </c>
      <c r="P487" s="297">
        <v>533.90093469736792</v>
      </c>
      <c r="Q487" s="297">
        <v>533.90093469736792</v>
      </c>
      <c r="R487" s="297">
        <v>533.90093469736792</v>
      </c>
      <c r="S487" s="297">
        <v>533.90093469736792</v>
      </c>
      <c r="T487" s="297">
        <v>526.59582397609108</v>
      </c>
      <c r="U487" s="297">
        <v>526.59582397609108</v>
      </c>
      <c r="V487" s="297">
        <v>526.59582397609108</v>
      </c>
      <c r="W487" s="297">
        <v>526.59582397609108</v>
      </c>
      <c r="X487" s="297">
        <v>16</v>
      </c>
      <c r="Y487" s="428"/>
      <c r="Z487" s="412">
        <v>5.1195062896960165E-3</v>
      </c>
      <c r="AA487" s="412">
        <v>0.58674363285194064</v>
      </c>
      <c r="AB487" s="412">
        <v>0.40813686085836337</v>
      </c>
      <c r="AC487" s="412"/>
      <c r="AD487" s="412"/>
      <c r="AE487" s="412"/>
      <c r="AF487" s="417"/>
      <c r="AG487" s="417"/>
      <c r="AH487" s="417"/>
      <c r="AI487" s="417"/>
      <c r="AJ487" s="417"/>
      <c r="AK487" s="417"/>
      <c r="AL487" s="417"/>
      <c r="AM487" s="298">
        <f>SUM(Y487:AL487)</f>
        <v>1</v>
      </c>
    </row>
    <row r="488" spans="1:39" hidden="1" outlineLevel="1">
      <c r="A488" s="532"/>
      <c r="B488" s="433" t="s">
        <v>310</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5.1195062896960165E-3</v>
      </c>
      <c r="AA488" s="413">
        <f t="shared" ref="AA488" si="1388">AA487</f>
        <v>0.58674363285194064</v>
      </c>
      <c r="AB488" s="413">
        <f t="shared" ref="AB488" si="1389">AB487</f>
        <v>0.40813686085836337</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hidden="1" outlineLevel="1">
      <c r="A489" s="532"/>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2">
        <v>27</v>
      </c>
      <c r="B490" s="430" t="s">
        <v>120</v>
      </c>
      <c r="C490" s="293" t="s">
        <v>25</v>
      </c>
      <c r="D490" s="297">
        <v>99039</v>
      </c>
      <c r="E490" s="297">
        <v>99039</v>
      </c>
      <c r="F490" s="297">
        <v>94008</v>
      </c>
      <c r="G490" s="297">
        <v>94008</v>
      </c>
      <c r="H490" s="297">
        <v>94008</v>
      </c>
      <c r="I490" s="297">
        <v>71121.02794488013</v>
      </c>
      <c r="J490" s="297">
        <v>54508.995156088306</v>
      </c>
      <c r="K490" s="297">
        <v>47180.688006930861</v>
      </c>
      <c r="L490" s="297">
        <v>39987.95380540035</v>
      </c>
      <c r="M490" s="297">
        <v>34635.579952544656</v>
      </c>
      <c r="N490" s="297">
        <v>12</v>
      </c>
      <c r="O490" s="297">
        <v>22.398136590954895</v>
      </c>
      <c r="P490" s="297">
        <v>22.398136590954895</v>
      </c>
      <c r="Q490" s="297">
        <v>21.956963784362262</v>
      </c>
      <c r="R490" s="297">
        <v>21.956963784362262</v>
      </c>
      <c r="S490" s="297">
        <v>21.956963784362262</v>
      </c>
      <c r="T490" s="297">
        <v>18.659082166330613</v>
      </c>
      <c r="U490" s="297">
        <v>15.566276970113506</v>
      </c>
      <c r="V490" s="297">
        <v>13.956111114802113</v>
      </c>
      <c r="W490" s="297">
        <v>12.574573875407214</v>
      </c>
      <c r="X490" s="297">
        <v>23</v>
      </c>
      <c r="Y490" s="428"/>
      <c r="Z490" s="412">
        <v>0.98833792748311267</v>
      </c>
      <c r="AA490" s="412">
        <v>1.1662072516887287E-2</v>
      </c>
      <c r="AB490" s="412"/>
      <c r="AC490" s="412"/>
      <c r="AD490" s="412"/>
      <c r="AE490" s="412"/>
      <c r="AF490" s="417"/>
      <c r="AG490" s="417"/>
      <c r="AH490" s="417"/>
      <c r="AI490" s="417"/>
      <c r="AJ490" s="417"/>
      <c r="AK490" s="417"/>
      <c r="AL490" s="417"/>
      <c r="AM490" s="298">
        <f>SUM(Y490:AL490)</f>
        <v>1</v>
      </c>
    </row>
    <row r="491" spans="1:39" hidden="1" outlineLevel="1">
      <c r="A491" s="532"/>
      <c r="B491" s="433" t="s">
        <v>310</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0.98833792748311267</v>
      </c>
      <c r="AA491" s="413">
        <f t="shared" ref="AA491" si="1401">AA490</f>
        <v>1.1662072516887287E-2</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hidden="1" outlineLevel="1">
      <c r="A492" s="532"/>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2">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2"/>
      <c r="B494" s="433" t="s">
        <v>310</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hidden="1" outlineLevel="1">
      <c r="A495" s="532"/>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2">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2"/>
      <c r="B497" s="433" t="s">
        <v>310</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hidden="1" outlineLevel="1">
      <c r="A498" s="532"/>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2">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2"/>
      <c r="B500" s="433" t="s">
        <v>310</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hidden="1" outlineLevel="1">
      <c r="A501" s="532"/>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2">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2"/>
      <c r="B503" s="433" t="s">
        <v>310</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hidden="1" outlineLevel="1">
      <c r="A504" s="532"/>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2">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2"/>
      <c r="B506" s="433" t="s">
        <v>310</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hidden="1" outlineLevel="1">
      <c r="A507" s="532"/>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2"/>
      <c r="B508" s="504" t="s">
        <v>504</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2">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2"/>
      <c r="B510" s="433" t="s">
        <v>310</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hidden="1" outlineLevel="1">
      <c r="A511" s="532"/>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2">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2"/>
      <c r="B513" s="433" t="s">
        <v>310</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hidden="1" outlineLevel="1">
      <c r="A514" s="532"/>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2">
        <v>35</v>
      </c>
      <c r="B515" s="430" t="s">
        <v>128</v>
      </c>
      <c r="C515" s="293" t="s">
        <v>25</v>
      </c>
      <c r="D515" s="297">
        <v>1130910</v>
      </c>
      <c r="E515" s="297">
        <v>1130910</v>
      </c>
      <c r="F515" s="297">
        <v>1130910</v>
      </c>
      <c r="G515" s="297">
        <v>1130910</v>
      </c>
      <c r="H515" s="297">
        <v>0</v>
      </c>
      <c r="I515" s="297">
        <v>0</v>
      </c>
      <c r="J515" s="297">
        <v>0</v>
      </c>
      <c r="K515" s="297">
        <v>0</v>
      </c>
      <c r="L515" s="297">
        <v>0</v>
      </c>
      <c r="M515" s="297">
        <v>0</v>
      </c>
      <c r="N515" s="297">
        <v>0</v>
      </c>
      <c r="O515" s="297">
        <v>413.05323892045845</v>
      </c>
      <c r="P515" s="297">
        <v>413.05323892045845</v>
      </c>
      <c r="Q515" s="297">
        <v>413.05323892045845</v>
      </c>
      <c r="R515" s="297">
        <v>413.05323892045845</v>
      </c>
      <c r="S515" s="297">
        <v>0</v>
      </c>
      <c r="T515" s="297">
        <v>0</v>
      </c>
      <c r="U515" s="297">
        <v>0</v>
      </c>
      <c r="V515" s="297">
        <v>0</v>
      </c>
      <c r="W515" s="297">
        <v>0</v>
      </c>
      <c r="X515" s="297">
        <v>0</v>
      </c>
      <c r="Y515" s="428">
        <v>1</v>
      </c>
      <c r="Z515" s="412"/>
      <c r="AA515" s="412"/>
      <c r="AB515" s="412"/>
      <c r="AC515" s="412"/>
      <c r="AD515" s="412"/>
      <c r="AE515" s="412"/>
      <c r="AF515" s="417"/>
      <c r="AG515" s="417"/>
      <c r="AH515" s="417"/>
      <c r="AI515" s="417"/>
      <c r="AJ515" s="417"/>
      <c r="AK515" s="417"/>
      <c r="AL515" s="417"/>
      <c r="AM515" s="298">
        <f>SUM(Y515:AL515)</f>
        <v>1</v>
      </c>
    </row>
    <row r="516" spans="1:39" hidden="1" outlineLevel="1">
      <c r="A516" s="532"/>
      <c r="B516" s="433" t="s">
        <v>310</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1</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hidden="1" outlineLevel="1">
      <c r="A517" s="532"/>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2"/>
      <c r="B518" s="504" t="s">
        <v>505</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idden="1" outlineLevel="1">
      <c r="A519" s="532">
        <v>36</v>
      </c>
      <c r="B519" s="430" t="s">
        <v>693</v>
      </c>
      <c r="C519" s="293" t="s">
        <v>25</v>
      </c>
      <c r="D519" s="297">
        <v>643</v>
      </c>
      <c r="E519" s="297">
        <v>643</v>
      </c>
      <c r="F519" s="297">
        <v>643</v>
      </c>
      <c r="G519" s="297">
        <v>643</v>
      </c>
      <c r="H519" s="297">
        <v>643</v>
      </c>
      <c r="I519" s="297">
        <v>643.47</v>
      </c>
      <c r="J519" s="297">
        <v>643.47</v>
      </c>
      <c r="K519" s="297">
        <v>643.47</v>
      </c>
      <c r="L519" s="297">
        <v>643.47</v>
      </c>
      <c r="M519" s="297">
        <v>643.47</v>
      </c>
      <c r="N519" s="297">
        <v>0</v>
      </c>
      <c r="O519" s="297">
        <v>3.7196370705527435E-2</v>
      </c>
      <c r="P519" s="297">
        <v>3.7196370705527435E-2</v>
      </c>
      <c r="Q519" s="297">
        <v>3.7196370705527435E-2</v>
      </c>
      <c r="R519" s="297">
        <v>3.7196370705527435E-2</v>
      </c>
      <c r="S519" s="297">
        <v>3.7196370705527435E-2</v>
      </c>
      <c r="T519" s="297">
        <v>3.7196370705527435E-2</v>
      </c>
      <c r="U519" s="297">
        <v>3.7196370705527435E-2</v>
      </c>
      <c r="V519" s="297">
        <v>3.7196370705527435E-2</v>
      </c>
      <c r="W519" s="297">
        <v>3.7196370705527435E-2</v>
      </c>
      <c r="X519" s="297">
        <v>1</v>
      </c>
      <c r="Y519" s="428">
        <v>1</v>
      </c>
      <c r="Z519" s="412"/>
      <c r="AA519" s="412"/>
      <c r="AB519" s="412"/>
      <c r="AC519" s="412"/>
      <c r="AD519" s="412"/>
      <c r="AE519" s="412"/>
      <c r="AF519" s="417"/>
      <c r="AG519" s="417"/>
      <c r="AH519" s="417"/>
      <c r="AI519" s="417"/>
      <c r="AJ519" s="417"/>
      <c r="AK519" s="417"/>
      <c r="AL519" s="417"/>
      <c r="AM519" s="298">
        <f>SUM(Y519:AL519)</f>
        <v>1</v>
      </c>
    </row>
    <row r="520" spans="1:39" hidden="1" outlineLevel="1">
      <c r="A520" s="532"/>
      <c r="B520" s="433" t="s">
        <v>310</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1</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hidden="1" outlineLevel="1">
      <c r="A521" s="532"/>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2">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2"/>
      <c r="B523" s="433" t="s">
        <v>310</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hidden="1" outlineLevel="1">
      <c r="A524" s="532"/>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2">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2"/>
      <c r="B526" s="433" t="s">
        <v>310</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hidden="1" outlineLevel="1">
      <c r="A527" s="532"/>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2">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2"/>
      <c r="B529" s="433" t="s">
        <v>310</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hidden="1" outlineLevel="1">
      <c r="A530" s="532"/>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2">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2"/>
      <c r="B532" s="433" t="s">
        <v>310</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hidden="1" outlineLevel="1">
      <c r="A533" s="532"/>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2">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2"/>
      <c r="B535" s="433" t="s">
        <v>310</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hidden="1" outlineLevel="1">
      <c r="A536" s="532"/>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2">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2"/>
      <c r="B538" s="433" t="s">
        <v>310</v>
      </c>
      <c r="C538" s="293" t="s">
        <v>164</v>
      </c>
      <c r="D538" s="297"/>
      <c r="E538" s="297"/>
      <c r="F538" s="297"/>
      <c r="G538" s="297"/>
      <c r="H538" s="297"/>
      <c r="I538" s="297"/>
      <c r="J538" s="297"/>
      <c r="K538" s="297"/>
      <c r="L538" s="297"/>
      <c r="M538" s="297"/>
      <c r="N538" s="469"/>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hidden="1" outlineLevel="1">
      <c r="A539" s="532"/>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2">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2"/>
      <c r="B541" s="433" t="s">
        <v>310</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hidden="1" outlineLevel="1">
      <c r="A542" s="532"/>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2">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2"/>
      <c r="B544" s="433" t="s">
        <v>310</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hidden="1" outlineLevel="1">
      <c r="A545" s="532"/>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2">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2"/>
      <c r="B547" s="433" t="s">
        <v>310</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hidden="1" outlineLevel="1">
      <c r="A548" s="532"/>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2">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2"/>
      <c r="B550" s="433" t="s">
        <v>310</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hidden="1" outlineLevel="1">
      <c r="A551" s="532"/>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2">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2"/>
      <c r="B553" s="433" t="s">
        <v>310</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hidden="1" outlineLevel="1">
      <c r="A554" s="532"/>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2">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2"/>
      <c r="B556" s="433" t="s">
        <v>310</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hidden="1" outlineLevel="1">
      <c r="A557" s="532"/>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2">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2"/>
      <c r="B559" s="433" t="s">
        <v>310</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hidden="1" outlineLevel="1">
      <c r="A560" s="532"/>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hidden="1" collapsed="1">
      <c r="B561" s="329" t="s">
        <v>294</v>
      </c>
      <c r="C561" s="331"/>
      <c r="D561" s="331">
        <f>SUM(D404:D559)</f>
        <v>7793768</v>
      </c>
      <c r="E561" s="331"/>
      <c r="F561" s="331"/>
      <c r="G561" s="331"/>
      <c r="H561" s="331"/>
      <c r="I561" s="331"/>
      <c r="J561" s="331"/>
      <c r="K561" s="331"/>
      <c r="L561" s="331"/>
      <c r="M561" s="331"/>
      <c r="N561" s="331"/>
      <c r="O561" s="331">
        <f>SUM(O404:O559)</f>
        <v>1198.2053343154014</v>
      </c>
      <c r="P561" s="331"/>
      <c r="Q561" s="331"/>
      <c r="R561" s="331"/>
      <c r="S561" s="331"/>
      <c r="T561" s="331"/>
      <c r="U561" s="331"/>
      <c r="V561" s="331"/>
      <c r="W561" s="331"/>
      <c r="X561" s="331"/>
      <c r="Y561" s="331">
        <f>IF(Y402="kWh",SUMPRODUCT(D404:D559,Y404:Y559))</f>
        <v>4305535</v>
      </c>
      <c r="Z561" s="331">
        <f>IF(Z402="kWh",SUMPRODUCT(D404:D559,Z404:Z559))</f>
        <v>115235</v>
      </c>
      <c r="AA561" s="331">
        <f>IF(AA402="kw",SUMPRODUCT(N404:N559,O404:O559,AA404:AA559),SUMPRODUCT(D404:D559,AA404:AA559))</f>
        <v>3641.9389398490921</v>
      </c>
      <c r="AB561" s="331">
        <f>IF(AB402="kw",SUMPRODUCT(N404:N559,O404:O559,AB404:AB559),SUMPRODUCT(D404:D559,AB404:AB559))</f>
        <v>2531.1398989989666</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hidden="1">
      <c r="B562" s="393" t="s">
        <v>295</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1345003</v>
      </c>
      <c r="Z562" s="394">
        <f>HLOOKUP(Z218,'2. LRAMVA Threshold'!$B$42:$Q$53,9,FALSE)</f>
        <v>543085</v>
      </c>
      <c r="AA562" s="394">
        <f>HLOOKUP(AA218,'2. LRAMVA Threshold'!$B$42:$Q$53,9,FALSE)</f>
        <v>10671</v>
      </c>
      <c r="AB562" s="394">
        <f>HLOOKUP(AB218,'2. LRAMVA Threshold'!$B$42:$Q$53,9,FALSE)</f>
        <v>196</v>
      </c>
      <c r="AC562" s="394">
        <f>HLOOKUP(AC218,'2. LRAMVA Threshold'!$B$42:$Q$53,9,FALSE)</f>
        <v>4684</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hidden="1">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hidden="1">
      <c r="B564" s="326" t="s">
        <v>296</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1.21E-2</v>
      </c>
      <c r="Z564" s="343">
        <f>HLOOKUP(Z$35,'3.  Distribution Rates'!$C$122:$P$133,9,FALSE)</f>
        <v>1.3899999999999999E-2</v>
      </c>
      <c r="AA564" s="343">
        <f>HLOOKUP(AA$35,'3.  Distribution Rates'!$C$122:$P$133,9,FALSE)</f>
        <v>3.2837999999999998</v>
      </c>
      <c r="AB564" s="343">
        <f>HLOOKUP(AB$35,'3.  Distribution Rates'!$C$122:$P$133,9,FALSE)</f>
        <v>15.401</v>
      </c>
      <c r="AC564" s="343">
        <f>HLOOKUP(AC$35,'3.  Distribution Rates'!$C$122:$P$133,9,FALSE)</f>
        <v>1.2E-2</v>
      </c>
      <c r="AD564" s="343">
        <f>HLOOKUP(AD$35,'3.  Distribution Rates'!$C$122:$P$133,9,FALSE)</f>
        <v>0</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hidden="1">
      <c r="B565" s="326" t="s">
        <v>297</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1827.672714865249</v>
      </c>
      <c r="Z565" s="380">
        <f>'4.  2011-2014 LRAM'!Z140*Z564</f>
        <v>2366.2644747275917</v>
      </c>
      <c r="AA565" s="380">
        <f>'4.  2011-2014 LRAM'!AA140*AA564</f>
        <v>1720.3302791999999</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29">
        <f t="shared" ref="AM565:AM571" si="1699">SUM(Y565:AL565)</f>
        <v>5914.2674687928411</v>
      </c>
    </row>
    <row r="566" spans="2:39" hidden="1">
      <c r="B566" s="326" t="s">
        <v>298</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1470.214964774083</v>
      </c>
      <c r="Z566" s="380">
        <f>'4.  2011-2014 LRAM'!Z269*Z564</f>
        <v>15343.317190154736</v>
      </c>
      <c r="AA566" s="380">
        <f>'4.  2011-2014 LRAM'!AA269*AA564</f>
        <v>1453.5291158129751</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29">
        <f t="shared" si="1699"/>
        <v>18267.061270741797</v>
      </c>
    </row>
    <row r="567" spans="2:39" hidden="1">
      <c r="B567" s="326" t="s">
        <v>299</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1849.4883605655368</v>
      </c>
      <c r="Z567" s="380">
        <f>'4.  2011-2014 LRAM'!Z398*Z564</f>
        <v>15180.12620224314</v>
      </c>
      <c r="AA567" s="380">
        <f>'4.  2011-2014 LRAM'!AA398*AA564</f>
        <v>896.16292094021662</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29">
        <f t="shared" si="1699"/>
        <v>17925.777483748894</v>
      </c>
    </row>
    <row r="568" spans="2:39" hidden="1">
      <c r="B568" s="326" t="s">
        <v>300</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6595.6515130856824</v>
      </c>
      <c r="Z568" s="380">
        <f>'4.  2011-2014 LRAM'!Z528*Z564</f>
        <v>14151.95150312371</v>
      </c>
      <c r="AA568" s="380">
        <f>'4.  2011-2014 LRAM'!AA528*AA564</f>
        <v>2327.3522092238509</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29">
        <f t="shared" si="1699"/>
        <v>23074.955225433245</v>
      </c>
    </row>
    <row r="569" spans="2:39" hidden="1">
      <c r="B569" s="326" t="s">
        <v>301</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6998.3678859048805</v>
      </c>
      <c r="Z569" s="380">
        <f t="shared" si="1700"/>
        <v>14154.738324128641</v>
      </c>
      <c r="AA569" s="380">
        <f t="shared" si="1700"/>
        <v>2419.7363256704493</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29">
        <f t="shared" si="1699"/>
        <v>23572.84253570397</v>
      </c>
    </row>
    <row r="570" spans="2:39" hidden="1">
      <c r="B570" s="326" t="s">
        <v>302</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18479.056970332109</v>
      </c>
      <c r="Z570" s="380">
        <f t="shared" si="1701"/>
        <v>7009.763519218186</v>
      </c>
      <c r="AA570" s="380">
        <f t="shared" si="1701"/>
        <v>3072.856616661295</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29">
        <f t="shared" si="1699"/>
        <v>28561.677106211588</v>
      </c>
    </row>
    <row r="571" spans="2:39" hidden="1">
      <c r="B571" s="326" t="s">
        <v>303</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52096.9735</v>
      </c>
      <c r="Z571" s="380">
        <f t="shared" ref="Z571:AL571" si="1702">Z561*Z564</f>
        <v>1601.7665</v>
      </c>
      <c r="AA571" s="380">
        <f t="shared" si="1702"/>
        <v>11959.399090676448</v>
      </c>
      <c r="AB571" s="380">
        <f t="shared" si="1702"/>
        <v>38982.085584483088</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29">
        <f t="shared" si="1699"/>
        <v>104640.22467515952</v>
      </c>
    </row>
    <row r="572" spans="2:39" ht="15.75" hidden="1">
      <c r="B572" s="351" t="s">
        <v>304</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89317.425909527548</v>
      </c>
      <c r="Z572" s="348">
        <f>SUM(Z565:Z571)</f>
        <v>69807.927713596015</v>
      </c>
      <c r="AA572" s="348">
        <f t="shared" ref="AA572:AE572" si="1703">SUM(AA565:AA571)</f>
        <v>23849.366558185236</v>
      </c>
      <c r="AB572" s="348">
        <f t="shared" si="1703"/>
        <v>38982.085584483088</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221956.80576579185</v>
      </c>
    </row>
    <row r="573" spans="2:39" ht="15.75" hidden="1">
      <c r="B573" s="351" t="s">
        <v>305</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16274.5363</v>
      </c>
      <c r="Z573" s="349">
        <f t="shared" ref="Z573:AE573" si="1705">Z562*Z564</f>
        <v>7548.8814999999995</v>
      </c>
      <c r="AA573" s="349">
        <f t="shared" si="1705"/>
        <v>35041.429799999998</v>
      </c>
      <c r="AB573" s="349">
        <f t="shared" si="1705"/>
        <v>3018.596</v>
      </c>
      <c r="AC573" s="349">
        <f t="shared" si="1705"/>
        <v>56.207999999999998</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61939.65159999999</v>
      </c>
    </row>
    <row r="574" spans="2:39" ht="15.75" hidden="1">
      <c r="B574" s="351" t="s">
        <v>306</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160017.15416579187</v>
      </c>
    </row>
    <row r="575" spans="2:39" hidden="1">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hidden="1">
      <c r="B576" s="441" t="s">
        <v>307</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3613012</v>
      </c>
      <c r="Z576" s="293">
        <f>SUMPRODUCT(E404:E559,Z404:Z559)</f>
        <v>115480.18339522612</v>
      </c>
      <c r="AA576" s="293">
        <f t="shared" ref="AA576:AL576" si="1707">IF(AA402="kw",SUMPRODUCT($N$404:$N$559,$P$404:$P$559,AA404:AA559),SUMPRODUCT($E$404:$E$559,AA404:AA559))</f>
        <v>3762.2901924065663</v>
      </c>
      <c r="AB576" s="293">
        <f t="shared" si="1707"/>
        <v>2614.8558179607576</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hidden="1">
      <c r="B577" s="441" t="s">
        <v>308</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3613012</v>
      </c>
      <c r="Z577" s="293">
        <f>SUMPRODUCT(F404:F559,Z404:Z559)</f>
        <v>110507.85528205858</v>
      </c>
      <c r="AA577" s="293">
        <f t="shared" ref="AA577:AL577" si="1708">IF(AA402="kw",SUMPRODUCT($N$404:$N$559,$Q$404:$Q$559,AA404:AA559),SUMPRODUCT($F$404:$F$559,AA404:AA559))</f>
        <v>3762.2284525354112</v>
      </c>
      <c r="AB577" s="293">
        <f t="shared" si="1708"/>
        <v>2614.8558179607576</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hidden="1">
      <c r="B578" s="442" t="s">
        <v>309</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3613012</v>
      </c>
      <c r="Z578" s="328">
        <f>SUMPRODUCT(G404:G559,Z404:Z559)</f>
        <v>110507.85528205858</v>
      </c>
      <c r="AA578" s="328">
        <f t="shared" ref="AA578:AL578" si="1709">IF(AA402="kw",SUMPRODUCT($N$404:$N$559,$R$404:$R$559,AA404:AA559),SUMPRODUCT($G$404:$G$559,AA404:AA559))</f>
        <v>3762.2284525354112</v>
      </c>
      <c r="AB578" s="328">
        <f t="shared" si="1709"/>
        <v>2614.8558179607576</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hidden="1" customHeight="1">
      <c r="B579" s="370" t="s">
        <v>594</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0" spans="1:39" hidden="1"/>
    <row r="581" spans="1:39" hidden="1"/>
    <row r="582" spans="1:39" ht="15.75" hidden="1">
      <c r="B582" s="282" t="s">
        <v>311</v>
      </c>
      <c r="C582" s="283"/>
      <c r="D582" s="590" t="s">
        <v>530</v>
      </c>
      <c r="E582" s="255"/>
      <c r="F582" s="590"/>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hidden="1" customHeight="1">
      <c r="B583" s="868" t="s">
        <v>212</v>
      </c>
      <c r="C583" s="870" t="s">
        <v>33</v>
      </c>
      <c r="D583" s="286" t="s">
        <v>425</v>
      </c>
      <c r="E583" s="872" t="s">
        <v>210</v>
      </c>
      <c r="F583" s="873"/>
      <c r="G583" s="873"/>
      <c r="H583" s="873"/>
      <c r="I583" s="873"/>
      <c r="J583" s="873"/>
      <c r="K583" s="873"/>
      <c r="L583" s="873"/>
      <c r="M583" s="874"/>
      <c r="N583" s="878" t="s">
        <v>214</v>
      </c>
      <c r="O583" s="286" t="s">
        <v>426</v>
      </c>
      <c r="P583" s="872" t="s">
        <v>213</v>
      </c>
      <c r="Q583" s="873"/>
      <c r="R583" s="873"/>
      <c r="S583" s="873"/>
      <c r="T583" s="873"/>
      <c r="U583" s="873"/>
      <c r="V583" s="873"/>
      <c r="W583" s="873"/>
      <c r="X583" s="874"/>
      <c r="Y583" s="875" t="s">
        <v>245</v>
      </c>
      <c r="Z583" s="876"/>
      <c r="AA583" s="876"/>
      <c r="AB583" s="876"/>
      <c r="AC583" s="876"/>
      <c r="AD583" s="876"/>
      <c r="AE583" s="876"/>
      <c r="AF583" s="876"/>
      <c r="AG583" s="876"/>
      <c r="AH583" s="876"/>
      <c r="AI583" s="876"/>
      <c r="AJ583" s="876"/>
      <c r="AK583" s="876"/>
      <c r="AL583" s="876"/>
      <c r="AM583" s="877"/>
    </row>
    <row r="584" spans="1:39" ht="68.25" hidden="1" customHeight="1">
      <c r="B584" s="869"/>
      <c r="C584" s="871"/>
      <c r="D584" s="287">
        <v>2018</v>
      </c>
      <c r="E584" s="287">
        <v>2019</v>
      </c>
      <c r="F584" s="287">
        <v>2020</v>
      </c>
      <c r="G584" s="287">
        <v>2021</v>
      </c>
      <c r="H584" s="287">
        <v>2022</v>
      </c>
      <c r="I584" s="287">
        <v>2023</v>
      </c>
      <c r="J584" s="287">
        <v>2024</v>
      </c>
      <c r="K584" s="287">
        <v>2025</v>
      </c>
      <c r="L584" s="287">
        <v>2026</v>
      </c>
      <c r="M584" s="287">
        <v>2027</v>
      </c>
      <c r="N584" s="879"/>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GS&gt;50 kW</v>
      </c>
      <c r="AB584" s="287" t="str">
        <f>'1.  LRAMVA Summary'!G50</f>
        <v>Streetlights</v>
      </c>
      <c r="AC584" s="287" t="str">
        <f>'1.  LRAMVA Summary'!H50</f>
        <v>Unmetered Scattered Load</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hidden="1" customHeight="1">
      <c r="A585" s="532"/>
      <c r="B585" s="518" t="s">
        <v>507</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v>
      </c>
      <c r="AC585" s="293" t="str">
        <f>'1.  LRAMVA Summary'!H51</f>
        <v>KWh</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2"/>
      <c r="B586" s="504" t="s">
        <v>500</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2">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2"/>
      <c r="B588" s="296" t="s">
        <v>312</v>
      </c>
      <c r="C588" s="293" t="s">
        <v>164</v>
      </c>
      <c r="D588" s="297"/>
      <c r="E588" s="297"/>
      <c r="F588" s="297"/>
      <c r="G588" s="297"/>
      <c r="H588" s="297"/>
      <c r="I588" s="297"/>
      <c r="J588" s="297"/>
      <c r="K588" s="297"/>
      <c r="L588" s="297"/>
      <c r="M588" s="297"/>
      <c r="N588" s="469"/>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hidden="1" outlineLevel="1">
      <c r="A589" s="532"/>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2">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2"/>
      <c r="B591" s="296" t="s">
        <v>312</v>
      </c>
      <c r="C591" s="293" t="s">
        <v>164</v>
      </c>
      <c r="D591" s="297"/>
      <c r="E591" s="297"/>
      <c r="F591" s="297"/>
      <c r="G591" s="297"/>
      <c r="H591" s="297"/>
      <c r="I591" s="297"/>
      <c r="J591" s="297"/>
      <c r="K591" s="297"/>
      <c r="L591" s="297"/>
      <c r="M591" s="297"/>
      <c r="N591" s="469"/>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hidden="1" outlineLevel="1">
      <c r="A592" s="532"/>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2">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2"/>
      <c r="B594" s="296" t="s">
        <v>312</v>
      </c>
      <c r="C594" s="293" t="s">
        <v>164</v>
      </c>
      <c r="D594" s="297"/>
      <c r="E594" s="297"/>
      <c r="F594" s="297"/>
      <c r="G594" s="297"/>
      <c r="H594" s="297"/>
      <c r="I594" s="297"/>
      <c r="J594" s="297"/>
      <c r="K594" s="297"/>
      <c r="L594" s="297"/>
      <c r="M594" s="297"/>
      <c r="N594" s="469"/>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hidden="1" outlineLevel="1">
      <c r="A595" s="532"/>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2">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2"/>
      <c r="B597" s="296" t="s">
        <v>312</v>
      </c>
      <c r="C597" s="293" t="s">
        <v>164</v>
      </c>
      <c r="D597" s="297"/>
      <c r="E597" s="297"/>
      <c r="F597" s="297"/>
      <c r="G597" s="297"/>
      <c r="H597" s="297"/>
      <c r="I597" s="297"/>
      <c r="J597" s="297"/>
      <c r="K597" s="297"/>
      <c r="L597" s="297"/>
      <c r="M597" s="297"/>
      <c r="N597" s="469"/>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hidden="1" outlineLevel="1">
      <c r="A598" s="532"/>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2">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2"/>
      <c r="B600" s="296" t="s">
        <v>312</v>
      </c>
      <c r="C600" s="293" t="s">
        <v>164</v>
      </c>
      <c r="D600" s="297"/>
      <c r="E600" s="297"/>
      <c r="F600" s="297"/>
      <c r="G600" s="297"/>
      <c r="H600" s="297"/>
      <c r="I600" s="297"/>
      <c r="J600" s="297"/>
      <c r="K600" s="297"/>
      <c r="L600" s="297"/>
      <c r="M600" s="297"/>
      <c r="N600" s="469"/>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hidden="1" outlineLevel="1">
      <c r="A601" s="532"/>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2"/>
      <c r="B602" s="321" t="s">
        <v>501</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2">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2"/>
      <c r="B604" s="296" t="s">
        <v>312</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hidden="1" outlineLevel="1">
      <c r="A605" s="532"/>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2">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2"/>
      <c r="B607" s="296" t="s">
        <v>312</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hidden="1" outlineLevel="1">
      <c r="A608" s="532"/>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2">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2"/>
      <c r="B610" s="296" t="s">
        <v>312</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hidden="1" outlineLevel="1">
      <c r="A611" s="532"/>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2">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2"/>
      <c r="B613" s="296" t="s">
        <v>312</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hidden="1" outlineLevel="1">
      <c r="A614" s="532"/>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2">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2"/>
      <c r="B616" s="296" t="s">
        <v>312</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hidden="1" outlineLevel="1">
      <c r="A617" s="532"/>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2"/>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2">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2"/>
      <c r="B620" s="296" t="s">
        <v>312</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hidden="1" outlineLevel="1">
      <c r="A621" s="532"/>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2">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2"/>
      <c r="B623" s="296" t="s">
        <v>312</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hidden="1" outlineLevel="1">
      <c r="A624" s="532"/>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2">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2"/>
      <c r="B626" s="296" t="s">
        <v>312</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hidden="1" outlineLevel="1">
      <c r="A627" s="532"/>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2"/>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2">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2"/>
      <c r="B630" s="296" t="s">
        <v>312</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6"/>
      <c r="AN630" s="630"/>
    </row>
    <row r="631" spans="1:40" hidden="1" outlineLevel="1">
      <c r="A631" s="532"/>
      <c r="B631" s="317"/>
      <c r="C631" s="307"/>
      <c r="D631" s="293"/>
      <c r="E631" s="293"/>
      <c r="F631" s="293"/>
      <c r="G631" s="293"/>
      <c r="H631" s="293"/>
      <c r="I631" s="293"/>
      <c r="J631" s="293"/>
      <c r="K631" s="293"/>
      <c r="L631" s="293"/>
      <c r="M631" s="293"/>
      <c r="N631" s="469"/>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0"/>
    </row>
    <row r="632" spans="1:40" s="311" customFormat="1" ht="15.75" hidden="1" outlineLevel="1">
      <c r="A632" s="532"/>
      <c r="B632" s="290" t="s">
        <v>493</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7"/>
      <c r="AN632" s="631"/>
    </row>
    <row r="633" spans="1:40" hidden="1" outlineLevel="1">
      <c r="A633" s="532">
        <v>15</v>
      </c>
      <c r="B633" s="296" t="s">
        <v>498</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2"/>
      <c r="B634" s="296" t="s">
        <v>312</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hidden="1" outlineLevel="1">
      <c r="A635" s="532"/>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2">
        <v>16</v>
      </c>
      <c r="B636" s="326" t="s">
        <v>494</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2"/>
      <c r="B637" s="296" t="s">
        <v>312</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hidden="1" outlineLevel="1">
      <c r="A638" s="532"/>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2"/>
      <c r="B639" s="519" t="s">
        <v>499</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2">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2"/>
      <c r="B641" s="296" t="s">
        <v>312</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hidden="1" outlineLevel="1">
      <c r="A642" s="532"/>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2">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2"/>
      <c r="B644" s="296" t="s">
        <v>312</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2"/>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2">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2"/>
      <c r="B647" s="296" t="s">
        <v>312</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hidden="1" outlineLevel="1">
      <c r="A648" s="532"/>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2">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2"/>
      <c r="B650" s="296" t="s">
        <v>312</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hidden="1" outlineLevel="1">
      <c r="A651" s="532"/>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2"/>
      <c r="B652" s="518" t="s">
        <v>506</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2"/>
      <c r="B653" s="504" t="s">
        <v>502</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2">
        <v>21</v>
      </c>
      <c r="B654" s="430" t="s">
        <v>114</v>
      </c>
      <c r="C654" s="293" t="s">
        <v>25</v>
      </c>
      <c r="D654" s="297">
        <v>271890.06815899105</v>
      </c>
      <c r="E654" s="297">
        <f>E471/$D471*$D654</f>
        <v>209892.38498815559</v>
      </c>
      <c r="F654" s="297">
        <f t="shared" ref="F654:M654" si="1898">F471/$D471*$D654</f>
        <v>209892.38498815559</v>
      </c>
      <c r="G654" s="297">
        <f t="shared" si="1898"/>
        <v>209892.38498815559</v>
      </c>
      <c r="H654" s="297">
        <f t="shared" si="1898"/>
        <v>209892.38498815559</v>
      </c>
      <c r="I654" s="297">
        <f t="shared" si="1898"/>
        <v>209892.49769519121</v>
      </c>
      <c r="J654" s="297">
        <f t="shared" si="1898"/>
        <v>209892.49769519118</v>
      </c>
      <c r="K654" s="297">
        <f t="shared" si="1898"/>
        <v>209886.31934586566</v>
      </c>
      <c r="L654" s="297">
        <f t="shared" si="1898"/>
        <v>209886.31934586566</v>
      </c>
      <c r="M654" s="297">
        <f t="shared" si="1898"/>
        <v>209669.8364955259</v>
      </c>
      <c r="N654" s="293"/>
      <c r="O654" s="297">
        <v>21.752625453295522</v>
      </c>
      <c r="P654" s="297">
        <f>P471/$O471*$O654</f>
        <v>16.941863334063779</v>
      </c>
      <c r="Q654" s="297">
        <f t="shared" ref="Q654:X654" si="1899">Q471/$O471*$O654</f>
        <v>16.941863334063779</v>
      </c>
      <c r="R654" s="297">
        <f t="shared" si="1899"/>
        <v>16.941863334063779</v>
      </c>
      <c r="S654" s="297">
        <f t="shared" si="1899"/>
        <v>16.941863334063779</v>
      </c>
      <c r="T654" s="297">
        <f t="shared" si="1899"/>
        <v>16.941863334063779</v>
      </c>
      <c r="U654" s="297">
        <f t="shared" si="1899"/>
        <v>16.941863334063779</v>
      </c>
      <c r="V654" s="297">
        <f t="shared" si="1899"/>
        <v>16.941148261145489</v>
      </c>
      <c r="W654" s="297">
        <f t="shared" si="1899"/>
        <v>16.941148261145489</v>
      </c>
      <c r="X654" s="297">
        <f t="shared" si="1899"/>
        <v>0.41445665796699499</v>
      </c>
      <c r="Y654" s="412">
        <v>1</v>
      </c>
      <c r="Z654" s="412"/>
      <c r="AA654" s="412"/>
      <c r="AB654" s="412"/>
      <c r="AC654" s="412"/>
      <c r="AD654" s="412"/>
      <c r="AE654" s="412"/>
      <c r="AF654" s="412"/>
      <c r="AG654" s="412"/>
      <c r="AH654" s="412"/>
      <c r="AI654" s="412"/>
      <c r="AJ654" s="412"/>
      <c r="AK654" s="412"/>
      <c r="AL654" s="412"/>
      <c r="AM654" s="298">
        <f>SUM(Y654:AL654)</f>
        <v>1</v>
      </c>
    </row>
    <row r="655" spans="1:39" hidden="1" outlineLevel="1">
      <c r="A655" s="532"/>
      <c r="B655" s="296" t="s">
        <v>312</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1</v>
      </c>
      <c r="Z655" s="413">
        <f t="shared" ref="Z655" si="1900">Z654</f>
        <v>0</v>
      </c>
      <c r="AA655" s="413">
        <f t="shared" ref="AA655" si="1901">AA654</f>
        <v>0</v>
      </c>
      <c r="AB655" s="413">
        <f t="shared" ref="AB655" si="1902">AB654</f>
        <v>0</v>
      </c>
      <c r="AC655" s="413">
        <f t="shared" ref="AC655" si="1903">AC654</f>
        <v>0</v>
      </c>
      <c r="AD655" s="413">
        <f t="shared" ref="AD655" si="1904">AD654</f>
        <v>0</v>
      </c>
      <c r="AE655" s="413">
        <f t="shared" ref="AE655" si="1905">AE654</f>
        <v>0</v>
      </c>
      <c r="AF655" s="413">
        <f t="shared" ref="AF655" si="1906">AF654</f>
        <v>0</v>
      </c>
      <c r="AG655" s="413">
        <f t="shared" ref="AG655" si="1907">AG654</f>
        <v>0</v>
      </c>
      <c r="AH655" s="413">
        <f t="shared" ref="AH655" si="1908">AH654</f>
        <v>0</v>
      </c>
      <c r="AI655" s="413">
        <f t="shared" ref="AI655" si="1909">AI654</f>
        <v>0</v>
      </c>
      <c r="AJ655" s="413">
        <f t="shared" ref="AJ655" si="1910">AJ654</f>
        <v>0</v>
      </c>
      <c r="AK655" s="413">
        <f t="shared" ref="AK655" si="1911">AK654</f>
        <v>0</v>
      </c>
      <c r="AL655" s="413">
        <f t="shared" ref="AL655" si="1912">AL654</f>
        <v>0</v>
      </c>
      <c r="AM655" s="308"/>
    </row>
    <row r="656" spans="1:39" hidden="1" outlineLevel="1">
      <c r="A656" s="532"/>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2">
        <v>22</v>
      </c>
      <c r="B657" s="430" t="s">
        <v>115</v>
      </c>
      <c r="C657" s="293" t="s">
        <v>25</v>
      </c>
      <c r="D657" s="297">
        <v>49013.947039999999</v>
      </c>
      <c r="E657" s="297">
        <f>E474/$D474*$D657</f>
        <v>49013.947039999999</v>
      </c>
      <c r="F657" s="297">
        <f t="shared" ref="F657:M657" si="1913">F474/$D474*$D657</f>
        <v>49013.947039999999</v>
      </c>
      <c r="G657" s="297">
        <f t="shared" si="1913"/>
        <v>49013.947039999999</v>
      </c>
      <c r="H657" s="297">
        <f t="shared" si="1913"/>
        <v>49013.947039999999</v>
      </c>
      <c r="I657" s="297">
        <f t="shared" si="1913"/>
        <v>49024.248216026434</v>
      </c>
      <c r="J657" s="297">
        <f t="shared" si="1913"/>
        <v>49024.248216026434</v>
      </c>
      <c r="K657" s="297">
        <f t="shared" si="1913"/>
        <v>49024.248216026434</v>
      </c>
      <c r="L657" s="297">
        <f t="shared" si="1913"/>
        <v>49024.248216026434</v>
      </c>
      <c r="M657" s="297">
        <f t="shared" si="1913"/>
        <v>49024.248216026434</v>
      </c>
      <c r="N657" s="293"/>
      <c r="O657" s="297">
        <v>17.675409913999992</v>
      </c>
      <c r="P657" s="297">
        <f>P474/$O474*$O657</f>
        <v>17.675409913999992</v>
      </c>
      <c r="Q657" s="297">
        <f t="shared" ref="Q657:X657" si="1914">Q474/$O474*$O657</f>
        <v>17.675409913999992</v>
      </c>
      <c r="R657" s="297">
        <f t="shared" si="1914"/>
        <v>17.675409913999992</v>
      </c>
      <c r="S657" s="297">
        <f t="shared" si="1914"/>
        <v>17.675409913999992</v>
      </c>
      <c r="T657" s="297">
        <f t="shared" si="1914"/>
        <v>17.675409913999992</v>
      </c>
      <c r="U657" s="297">
        <f t="shared" si="1914"/>
        <v>17.675409913999992</v>
      </c>
      <c r="V657" s="297">
        <f t="shared" si="1914"/>
        <v>17.675409913999992</v>
      </c>
      <c r="W657" s="297">
        <f t="shared" si="1914"/>
        <v>17.675409913999992</v>
      </c>
      <c r="X657" s="297">
        <f t="shared" si="1914"/>
        <v>71.502467289644002</v>
      </c>
      <c r="Y657" s="412">
        <v>1</v>
      </c>
      <c r="Z657" s="412"/>
      <c r="AA657" s="412"/>
      <c r="AB657" s="412"/>
      <c r="AC657" s="412"/>
      <c r="AD657" s="412"/>
      <c r="AE657" s="412"/>
      <c r="AF657" s="412"/>
      <c r="AG657" s="412"/>
      <c r="AH657" s="412"/>
      <c r="AI657" s="412"/>
      <c r="AJ657" s="412"/>
      <c r="AK657" s="412"/>
      <c r="AL657" s="412"/>
      <c r="AM657" s="298">
        <f>SUM(Y657:AL657)</f>
        <v>1</v>
      </c>
    </row>
    <row r="658" spans="1:39" hidden="1" outlineLevel="1">
      <c r="A658" s="532"/>
      <c r="B658" s="296" t="s">
        <v>312</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1</v>
      </c>
      <c r="Z658" s="413">
        <f t="shared" ref="Z658" si="1915">Z657</f>
        <v>0</v>
      </c>
      <c r="AA658" s="413">
        <f t="shared" ref="AA658" si="1916">AA657</f>
        <v>0</v>
      </c>
      <c r="AB658" s="413">
        <f t="shared" ref="AB658" si="1917">AB657</f>
        <v>0</v>
      </c>
      <c r="AC658" s="413">
        <f t="shared" ref="AC658" si="1918">AC657</f>
        <v>0</v>
      </c>
      <c r="AD658" s="413">
        <f t="shared" ref="AD658" si="1919">AD657</f>
        <v>0</v>
      </c>
      <c r="AE658" s="413">
        <f t="shared" ref="AE658" si="1920">AE657</f>
        <v>0</v>
      </c>
      <c r="AF658" s="413">
        <f t="shared" ref="AF658" si="1921">AF657</f>
        <v>0</v>
      </c>
      <c r="AG658" s="413">
        <f t="shared" ref="AG658" si="1922">AG657</f>
        <v>0</v>
      </c>
      <c r="AH658" s="413">
        <f t="shared" ref="AH658" si="1923">AH657</f>
        <v>0</v>
      </c>
      <c r="AI658" s="413">
        <f t="shared" ref="AI658" si="1924">AI657</f>
        <v>0</v>
      </c>
      <c r="AJ658" s="413">
        <f t="shared" ref="AJ658" si="1925">AJ657</f>
        <v>0</v>
      </c>
      <c r="AK658" s="413">
        <f t="shared" ref="AK658" si="1926">AK657</f>
        <v>0</v>
      </c>
      <c r="AL658" s="413">
        <f t="shared" ref="AL658" si="1927">AL657</f>
        <v>0</v>
      </c>
      <c r="AM658" s="308"/>
    </row>
    <row r="659" spans="1:39" hidden="1" outlineLevel="1">
      <c r="A659" s="532"/>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2">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2"/>
      <c r="B661" s="296" t="s">
        <v>312</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8">Z660</f>
        <v>0</v>
      </c>
      <c r="AA661" s="413">
        <f t="shared" ref="AA661" si="1929">AA660</f>
        <v>0</v>
      </c>
      <c r="AB661" s="413">
        <f t="shared" ref="AB661" si="1930">AB660</f>
        <v>0</v>
      </c>
      <c r="AC661" s="413">
        <f t="shared" ref="AC661" si="1931">AC660</f>
        <v>0</v>
      </c>
      <c r="AD661" s="413">
        <f t="shared" ref="AD661" si="1932">AD660</f>
        <v>0</v>
      </c>
      <c r="AE661" s="413">
        <f t="shared" ref="AE661" si="1933">AE660</f>
        <v>0</v>
      </c>
      <c r="AF661" s="413">
        <f t="shared" ref="AF661" si="1934">AF660</f>
        <v>0</v>
      </c>
      <c r="AG661" s="413">
        <f t="shared" ref="AG661" si="1935">AG660</f>
        <v>0</v>
      </c>
      <c r="AH661" s="413">
        <f t="shared" ref="AH661" si="1936">AH660</f>
        <v>0</v>
      </c>
      <c r="AI661" s="413">
        <f t="shared" ref="AI661" si="1937">AI660</f>
        <v>0</v>
      </c>
      <c r="AJ661" s="413">
        <f t="shared" ref="AJ661" si="1938">AJ660</f>
        <v>0</v>
      </c>
      <c r="AK661" s="413">
        <f t="shared" ref="AK661" si="1939">AK660</f>
        <v>0</v>
      </c>
      <c r="AL661" s="413">
        <f t="shared" ref="AL661" si="1940">AL660</f>
        <v>0</v>
      </c>
      <c r="AM661" s="308"/>
    </row>
    <row r="662" spans="1:39" hidden="1" outlineLevel="1">
      <c r="A662" s="532"/>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2">
        <v>24</v>
      </c>
      <c r="B663" s="430" t="s">
        <v>117</v>
      </c>
      <c r="C663" s="293" t="s">
        <v>25</v>
      </c>
      <c r="D663" s="297">
        <v>10958.78608228311</v>
      </c>
      <c r="E663" s="297">
        <f>E480/$D480*$D663</f>
        <v>10958.78608228311</v>
      </c>
      <c r="F663" s="297">
        <f t="shared" ref="F663:M663" si="1941">F480/$D480*$D663</f>
        <v>10958.78608228311</v>
      </c>
      <c r="G663" s="297">
        <f t="shared" si="1941"/>
        <v>10958.78608228311</v>
      </c>
      <c r="H663" s="297">
        <f t="shared" si="1941"/>
        <v>10958.78608228311</v>
      </c>
      <c r="I663" s="297">
        <f t="shared" si="1941"/>
        <v>10960.496787433918</v>
      </c>
      <c r="J663" s="297">
        <f t="shared" si="1941"/>
        <v>10960.496787433918</v>
      </c>
      <c r="K663" s="297">
        <f t="shared" si="1941"/>
        <v>10960.496787433918</v>
      </c>
      <c r="L663" s="297">
        <f t="shared" si="1941"/>
        <v>10960.496787433918</v>
      </c>
      <c r="M663" s="297">
        <f t="shared" si="1941"/>
        <v>10960.496787433918</v>
      </c>
      <c r="N663" s="293"/>
      <c r="O663" s="297">
        <v>1.6455255255255252</v>
      </c>
      <c r="P663" s="297">
        <f>P480/$O480*$O663</f>
        <v>1.6455255255255252</v>
      </c>
      <c r="Q663" s="297">
        <f t="shared" ref="Q663:X663" si="1942">Q480/$O480*$O663</f>
        <v>1.6455255255255252</v>
      </c>
      <c r="R663" s="297">
        <f t="shared" si="1942"/>
        <v>1.6455255255255252</v>
      </c>
      <c r="S663" s="297">
        <f t="shared" si="1942"/>
        <v>1.6455255255255252</v>
      </c>
      <c r="T663" s="297">
        <f t="shared" si="1942"/>
        <v>1.6455255255255252</v>
      </c>
      <c r="U663" s="297">
        <f t="shared" si="1942"/>
        <v>1.6455255255255252</v>
      </c>
      <c r="V663" s="297">
        <f t="shared" si="1942"/>
        <v>1.6455255255255252</v>
      </c>
      <c r="W663" s="297">
        <f t="shared" si="1942"/>
        <v>1.6455255255255252</v>
      </c>
      <c r="X663" s="297">
        <f t="shared" si="1942"/>
        <v>4.8319294273974238</v>
      </c>
      <c r="Y663" s="412">
        <v>1</v>
      </c>
      <c r="Z663" s="412"/>
      <c r="AA663" s="412"/>
      <c r="AB663" s="412"/>
      <c r="AC663" s="412"/>
      <c r="AD663" s="412"/>
      <c r="AE663" s="412"/>
      <c r="AF663" s="412"/>
      <c r="AG663" s="412"/>
      <c r="AH663" s="412"/>
      <c r="AI663" s="412"/>
      <c r="AJ663" s="412"/>
      <c r="AK663" s="412"/>
      <c r="AL663" s="412"/>
      <c r="AM663" s="298">
        <f>SUM(Y663:AL663)</f>
        <v>1</v>
      </c>
    </row>
    <row r="664" spans="1:39" hidden="1" outlineLevel="1">
      <c r="A664" s="532"/>
      <c r="B664" s="296" t="s">
        <v>312</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1</v>
      </c>
      <c r="Z664" s="413">
        <f t="shared" ref="Z664" si="1943">Z663</f>
        <v>0</v>
      </c>
      <c r="AA664" s="413">
        <f t="shared" ref="AA664" si="1944">AA663</f>
        <v>0</v>
      </c>
      <c r="AB664" s="413">
        <f t="shared" ref="AB664" si="1945">AB663</f>
        <v>0</v>
      </c>
      <c r="AC664" s="413">
        <f t="shared" ref="AC664" si="1946">AC663</f>
        <v>0</v>
      </c>
      <c r="AD664" s="413">
        <f t="shared" ref="AD664" si="1947">AD663</f>
        <v>0</v>
      </c>
      <c r="AE664" s="413">
        <f t="shared" ref="AE664" si="1948">AE663</f>
        <v>0</v>
      </c>
      <c r="AF664" s="413">
        <f t="shared" ref="AF664" si="1949">AF663</f>
        <v>0</v>
      </c>
      <c r="AG664" s="413">
        <f t="shared" ref="AG664" si="1950">AG663</f>
        <v>0</v>
      </c>
      <c r="AH664" s="413">
        <f t="shared" ref="AH664" si="1951">AH663</f>
        <v>0</v>
      </c>
      <c r="AI664" s="413">
        <f t="shared" ref="AI664" si="1952">AI663</f>
        <v>0</v>
      </c>
      <c r="AJ664" s="413">
        <f t="shared" ref="AJ664" si="1953">AJ663</f>
        <v>0</v>
      </c>
      <c r="AK664" s="413">
        <f t="shared" ref="AK664" si="1954">AK663</f>
        <v>0</v>
      </c>
      <c r="AL664" s="413">
        <f t="shared" ref="AL664" si="1955">AL663</f>
        <v>0</v>
      </c>
      <c r="AM664" s="308"/>
    </row>
    <row r="665" spans="1:39" hidden="1" outlineLevel="1">
      <c r="A665" s="532"/>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2"/>
      <c r="B666" s="290" t="s">
        <v>503</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2">
        <v>25</v>
      </c>
      <c r="B667" s="430" t="s">
        <v>118</v>
      </c>
      <c r="C667" s="293" t="s">
        <v>25</v>
      </c>
      <c r="D667" s="297">
        <v>65333.669668554627</v>
      </c>
      <c r="E667" s="297">
        <f>D667</f>
        <v>65333.669668554627</v>
      </c>
      <c r="F667" s="297">
        <f>E667</f>
        <v>65333.669668554627</v>
      </c>
      <c r="G667" s="297">
        <f>F667</f>
        <v>65333.669668554627</v>
      </c>
      <c r="H667" s="297">
        <f>G667</f>
        <v>65333.669668554627</v>
      </c>
      <c r="I667" s="297">
        <f>H667</f>
        <v>65333.669668554627</v>
      </c>
      <c r="J667" s="297"/>
      <c r="K667" s="297"/>
      <c r="L667" s="297"/>
      <c r="M667" s="297"/>
      <c r="N667" s="297">
        <v>12</v>
      </c>
      <c r="O667" s="297">
        <v>2.9020556650926572</v>
      </c>
      <c r="P667" s="297">
        <f>O667</f>
        <v>2.9020556650926572</v>
      </c>
      <c r="Q667" s="297">
        <f>P667</f>
        <v>2.9020556650926572</v>
      </c>
      <c r="R667" s="297">
        <f>Q667</f>
        <v>2.9020556650926572</v>
      </c>
      <c r="S667" s="297">
        <f>R667</f>
        <v>2.9020556650926572</v>
      </c>
      <c r="T667" s="297">
        <f>S667</f>
        <v>2.9020556650926572</v>
      </c>
      <c r="U667" s="297"/>
      <c r="V667" s="297"/>
      <c r="W667" s="297"/>
      <c r="X667" s="297"/>
      <c r="Y667" s="428"/>
      <c r="Z667" s="412"/>
      <c r="AA667" s="412">
        <v>1</v>
      </c>
      <c r="AB667" s="412"/>
      <c r="AC667" s="412"/>
      <c r="AD667" s="412"/>
      <c r="AE667" s="412"/>
      <c r="AF667" s="417"/>
      <c r="AG667" s="417"/>
      <c r="AH667" s="417"/>
      <c r="AI667" s="417"/>
      <c r="AJ667" s="417"/>
      <c r="AK667" s="417"/>
      <c r="AL667" s="417"/>
      <c r="AM667" s="298">
        <f>SUM(Y667:AL667)</f>
        <v>1</v>
      </c>
    </row>
    <row r="668" spans="1:39" hidden="1" outlineLevel="1">
      <c r="A668" s="532"/>
      <c r="B668" s="296" t="s">
        <v>312</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6">Z667</f>
        <v>0</v>
      </c>
      <c r="AA668" s="413">
        <f t="shared" ref="AA668" si="1957">AA667</f>
        <v>1</v>
      </c>
      <c r="AB668" s="413">
        <f t="shared" ref="AB668" si="1958">AB667</f>
        <v>0</v>
      </c>
      <c r="AC668" s="413">
        <f t="shared" ref="AC668" si="1959">AC667</f>
        <v>0</v>
      </c>
      <c r="AD668" s="413">
        <f t="shared" ref="AD668" si="1960">AD667</f>
        <v>0</v>
      </c>
      <c r="AE668" s="413">
        <f t="shared" ref="AE668" si="1961">AE667</f>
        <v>0</v>
      </c>
      <c r="AF668" s="413">
        <f t="shared" ref="AF668" si="1962">AF667</f>
        <v>0</v>
      </c>
      <c r="AG668" s="413">
        <f t="shared" ref="AG668" si="1963">AG667</f>
        <v>0</v>
      </c>
      <c r="AH668" s="413">
        <f t="shared" ref="AH668" si="1964">AH667</f>
        <v>0</v>
      </c>
      <c r="AI668" s="413">
        <f t="shared" ref="AI668" si="1965">AI667</f>
        <v>0</v>
      </c>
      <c r="AJ668" s="413">
        <f t="shared" ref="AJ668" si="1966">AJ667</f>
        <v>0</v>
      </c>
      <c r="AK668" s="413">
        <f t="shared" ref="AK668" si="1967">AK667</f>
        <v>0</v>
      </c>
      <c r="AL668" s="413">
        <f t="shared" ref="AL668" si="1968">AL667</f>
        <v>0</v>
      </c>
      <c r="AM668" s="308"/>
    </row>
    <row r="669" spans="1:39" hidden="1" outlineLevel="1">
      <c r="A669" s="532"/>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2">
        <v>26</v>
      </c>
      <c r="B670" s="430" t="s">
        <v>119</v>
      </c>
      <c r="C670" s="293" t="s">
        <v>25</v>
      </c>
      <c r="D670" s="297">
        <v>179589.48075877121</v>
      </c>
      <c r="E670" s="297">
        <f>E487/$D487*$D670</f>
        <v>182127.22259724347</v>
      </c>
      <c r="F670" s="297">
        <f t="shared" ref="F670:M670" si="1969">F487/$D487*$D670</f>
        <v>182127.22259724347</v>
      </c>
      <c r="G670" s="297">
        <f t="shared" si="1969"/>
        <v>182127.22259724347</v>
      </c>
      <c r="H670" s="297">
        <f t="shared" si="1969"/>
        <v>182127.22259724347</v>
      </c>
      <c r="I670" s="297">
        <f t="shared" si="1969"/>
        <v>180263.76424856743</v>
      </c>
      <c r="J670" s="297">
        <f t="shared" si="1969"/>
        <v>180263.76424856743</v>
      </c>
      <c r="K670" s="297">
        <f t="shared" si="1969"/>
        <v>180263.76424856743</v>
      </c>
      <c r="L670" s="297">
        <f t="shared" si="1969"/>
        <v>179748.13841675699</v>
      </c>
      <c r="M670" s="297">
        <f t="shared" si="1969"/>
        <v>179748.13841675699</v>
      </c>
      <c r="N670" s="297">
        <v>12</v>
      </c>
      <c r="O670" s="297">
        <v>40.767988437388688</v>
      </c>
      <c r="P670" s="297">
        <f>P487/$O487*$O670</f>
        <v>42.116364960396929</v>
      </c>
      <c r="Q670" s="297">
        <f t="shared" ref="Q670:X670" si="1970">Q487/$O487*$O670</f>
        <v>42.116364960396929</v>
      </c>
      <c r="R670" s="297">
        <f t="shared" si="1970"/>
        <v>42.116364960396929</v>
      </c>
      <c r="S670" s="297">
        <f t="shared" si="1970"/>
        <v>42.116364960396929</v>
      </c>
      <c r="T670" s="297">
        <f t="shared" si="1970"/>
        <v>41.540106914720731</v>
      </c>
      <c r="U670" s="297">
        <f t="shared" si="1970"/>
        <v>41.540106914720731</v>
      </c>
      <c r="V670" s="297">
        <f t="shared" si="1970"/>
        <v>41.540106914720731</v>
      </c>
      <c r="W670" s="297">
        <f t="shared" si="1970"/>
        <v>41.540106914720731</v>
      </c>
      <c r="X670" s="297">
        <f t="shared" si="1970"/>
        <v>1.2621477048889553</v>
      </c>
      <c r="Y670" s="428"/>
      <c r="Z670" s="412"/>
      <c r="AA670" s="412">
        <v>1</v>
      </c>
      <c r="AB670" s="412"/>
      <c r="AC670" s="412"/>
      <c r="AD670" s="412"/>
      <c r="AE670" s="412"/>
      <c r="AF670" s="417"/>
      <c r="AG670" s="417"/>
      <c r="AH670" s="417"/>
      <c r="AI670" s="417"/>
      <c r="AJ670" s="417"/>
      <c r="AK670" s="417"/>
      <c r="AL670" s="417"/>
      <c r="AM670" s="298">
        <f>SUM(Y670:AL670)</f>
        <v>1</v>
      </c>
    </row>
    <row r="671" spans="1:39" hidden="1" outlineLevel="1">
      <c r="A671" s="532"/>
      <c r="B671" s="296" t="s">
        <v>312</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71">Z670</f>
        <v>0</v>
      </c>
      <c r="AA671" s="413">
        <f t="shared" ref="AA671" si="1972">AA670</f>
        <v>1</v>
      </c>
      <c r="AB671" s="413">
        <f t="shared" ref="AB671" si="1973">AB670</f>
        <v>0</v>
      </c>
      <c r="AC671" s="413">
        <f t="shared" ref="AC671" si="1974">AC670</f>
        <v>0</v>
      </c>
      <c r="AD671" s="413">
        <f t="shared" ref="AD671" si="1975">AD670</f>
        <v>0</v>
      </c>
      <c r="AE671" s="413">
        <f t="shared" ref="AE671" si="1976">AE670</f>
        <v>0</v>
      </c>
      <c r="AF671" s="413">
        <f t="shared" ref="AF671" si="1977">AF670</f>
        <v>0</v>
      </c>
      <c r="AG671" s="413">
        <f t="shared" ref="AG671" si="1978">AG670</f>
        <v>0</v>
      </c>
      <c r="AH671" s="413">
        <f t="shared" ref="AH671" si="1979">AH670</f>
        <v>0</v>
      </c>
      <c r="AI671" s="413">
        <f t="shared" ref="AI671" si="1980">AI670</f>
        <v>0</v>
      </c>
      <c r="AJ671" s="413">
        <f t="shared" ref="AJ671" si="1981">AJ670</f>
        <v>0</v>
      </c>
      <c r="AK671" s="413">
        <f t="shared" ref="AK671" si="1982">AK670</f>
        <v>0</v>
      </c>
      <c r="AL671" s="413">
        <f t="shared" ref="AL671" si="1983">AL670</f>
        <v>0</v>
      </c>
      <c r="AM671" s="308"/>
    </row>
    <row r="672" spans="1:39" hidden="1" outlineLevel="1">
      <c r="A672" s="532"/>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2">
        <v>27</v>
      </c>
      <c r="B673" s="430" t="s">
        <v>120</v>
      </c>
      <c r="C673" s="293" t="s">
        <v>25</v>
      </c>
      <c r="D673" s="297">
        <v>24544.112735547347</v>
      </c>
      <c r="E673" s="297">
        <f>E490/$D490*$D673</f>
        <v>24544.112735547347</v>
      </c>
      <c r="F673" s="297">
        <f t="shared" ref="F673:M673" si="1984">F490/$D490*$D673</f>
        <v>23297.316714055421</v>
      </c>
      <c r="G673" s="297">
        <f t="shared" si="1984"/>
        <v>23297.316714055421</v>
      </c>
      <c r="H673" s="297">
        <f t="shared" si="1984"/>
        <v>23297.316714055421</v>
      </c>
      <c r="I673" s="297">
        <f t="shared" si="1984"/>
        <v>17625.405423592234</v>
      </c>
      <c r="J673" s="297">
        <f t="shared" si="1984"/>
        <v>13508.566546637543</v>
      </c>
      <c r="K673" s="297">
        <f t="shared" si="1984"/>
        <v>11692.445656587786</v>
      </c>
      <c r="L673" s="297">
        <f t="shared" si="1984"/>
        <v>9909.9228209453413</v>
      </c>
      <c r="M673" s="297">
        <f t="shared" si="1984"/>
        <v>8583.4830623927919</v>
      </c>
      <c r="N673" s="297">
        <v>12</v>
      </c>
      <c r="O673" s="297">
        <v>4.9298763361692437</v>
      </c>
      <c r="P673" s="297">
        <f>P490/$O490*$O673</f>
        <v>4.9298763361692437</v>
      </c>
      <c r="Q673" s="297">
        <f t="shared" ref="Q673:X673" si="1985">Q490/$O490*$O673</f>
        <v>4.8327732860761969</v>
      </c>
      <c r="R673" s="297">
        <f t="shared" si="1985"/>
        <v>4.8327732860761969</v>
      </c>
      <c r="S673" s="297">
        <f t="shared" si="1985"/>
        <v>4.8327732860761969</v>
      </c>
      <c r="T673" s="297">
        <f t="shared" si="1985"/>
        <v>4.106902699378046</v>
      </c>
      <c r="U673" s="297">
        <f t="shared" si="1985"/>
        <v>3.4261698586215834</v>
      </c>
      <c r="V673" s="297">
        <f t="shared" si="1985"/>
        <v>3.0717690130345918</v>
      </c>
      <c r="W673" s="297">
        <f t="shared" si="1985"/>
        <v>2.7676898001781121</v>
      </c>
      <c r="X673" s="297">
        <f t="shared" si="1985"/>
        <v>5.0623477212690124</v>
      </c>
      <c r="Y673" s="428"/>
      <c r="Z673" s="412">
        <v>1</v>
      </c>
      <c r="AA673" s="412"/>
      <c r="AB673" s="412"/>
      <c r="AC673" s="412"/>
      <c r="AD673" s="412"/>
      <c r="AE673" s="412"/>
      <c r="AF673" s="417"/>
      <c r="AG673" s="417"/>
      <c r="AH673" s="417"/>
      <c r="AI673" s="417"/>
      <c r="AJ673" s="417"/>
      <c r="AK673" s="417"/>
      <c r="AL673" s="417"/>
      <c r="AM673" s="298">
        <f>SUM(Y673:AL673)</f>
        <v>1</v>
      </c>
    </row>
    <row r="674" spans="1:39" hidden="1" outlineLevel="1">
      <c r="A674" s="532"/>
      <c r="B674" s="296" t="s">
        <v>312</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86">Z673</f>
        <v>1</v>
      </c>
      <c r="AA674" s="413">
        <f t="shared" ref="AA674" si="1987">AA673</f>
        <v>0</v>
      </c>
      <c r="AB674" s="413">
        <f t="shared" ref="AB674" si="1988">AB673</f>
        <v>0</v>
      </c>
      <c r="AC674" s="413">
        <f t="shared" ref="AC674" si="1989">AC673</f>
        <v>0</v>
      </c>
      <c r="AD674" s="413">
        <f t="shared" ref="AD674" si="1990">AD673</f>
        <v>0</v>
      </c>
      <c r="AE674" s="413">
        <f t="shared" ref="AE674" si="1991">AE673</f>
        <v>0</v>
      </c>
      <c r="AF674" s="413">
        <f t="shared" ref="AF674" si="1992">AF673</f>
        <v>0</v>
      </c>
      <c r="AG674" s="413">
        <f t="shared" ref="AG674" si="1993">AG673</f>
        <v>0</v>
      </c>
      <c r="AH674" s="413">
        <f t="shared" ref="AH674" si="1994">AH673</f>
        <v>0</v>
      </c>
      <c r="AI674" s="413">
        <f t="shared" ref="AI674" si="1995">AI673</f>
        <v>0</v>
      </c>
      <c r="AJ674" s="413">
        <f t="shared" ref="AJ674" si="1996">AJ673</f>
        <v>0</v>
      </c>
      <c r="AK674" s="413">
        <f t="shared" ref="AK674" si="1997">AK673</f>
        <v>0</v>
      </c>
      <c r="AL674" s="413">
        <f t="shared" ref="AL674" si="1998">AL673</f>
        <v>0</v>
      </c>
      <c r="AM674" s="308"/>
    </row>
    <row r="675" spans="1:39" hidden="1" outlineLevel="1">
      <c r="A675" s="532"/>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2">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2"/>
      <c r="B677" s="296" t="s">
        <v>312</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99">Z676</f>
        <v>0</v>
      </c>
      <c r="AA677" s="413">
        <f t="shared" ref="AA677" si="2000">AA676</f>
        <v>0</v>
      </c>
      <c r="AB677" s="413">
        <f t="shared" ref="AB677" si="2001">AB676</f>
        <v>0</v>
      </c>
      <c r="AC677" s="413">
        <f t="shared" ref="AC677" si="2002">AC676</f>
        <v>0</v>
      </c>
      <c r="AD677" s="413">
        <f t="shared" ref="AD677" si="2003">AD676</f>
        <v>0</v>
      </c>
      <c r="AE677" s="413">
        <f t="shared" ref="AE677" si="2004">AE676</f>
        <v>0</v>
      </c>
      <c r="AF677" s="413">
        <f t="shared" ref="AF677" si="2005">AF676</f>
        <v>0</v>
      </c>
      <c r="AG677" s="413">
        <f t="shared" ref="AG677" si="2006">AG676</f>
        <v>0</v>
      </c>
      <c r="AH677" s="413">
        <f t="shared" ref="AH677" si="2007">AH676</f>
        <v>0</v>
      </c>
      <c r="AI677" s="413">
        <f t="shared" ref="AI677" si="2008">AI676</f>
        <v>0</v>
      </c>
      <c r="AJ677" s="413">
        <f t="shared" ref="AJ677" si="2009">AJ676</f>
        <v>0</v>
      </c>
      <c r="AK677" s="413">
        <f t="shared" ref="AK677" si="2010">AK676</f>
        <v>0</v>
      </c>
      <c r="AL677" s="413">
        <f t="shared" ref="AL677" si="2011">AL676</f>
        <v>0</v>
      </c>
      <c r="AM677" s="308"/>
    </row>
    <row r="678" spans="1:39" hidden="1" outlineLevel="1">
      <c r="A678" s="532"/>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2">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2"/>
      <c r="B680" s="296" t="s">
        <v>312</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12">Z679</f>
        <v>0</v>
      </c>
      <c r="AA680" s="413">
        <f t="shared" ref="AA680" si="2013">AA679</f>
        <v>0</v>
      </c>
      <c r="AB680" s="413">
        <f t="shared" ref="AB680" si="2014">AB679</f>
        <v>0</v>
      </c>
      <c r="AC680" s="413">
        <f t="shared" ref="AC680" si="2015">AC679</f>
        <v>0</v>
      </c>
      <c r="AD680" s="413">
        <f t="shared" ref="AD680" si="2016">AD679</f>
        <v>0</v>
      </c>
      <c r="AE680" s="413">
        <f t="shared" ref="AE680" si="2017">AE679</f>
        <v>0</v>
      </c>
      <c r="AF680" s="413">
        <f t="shared" ref="AF680" si="2018">AF679</f>
        <v>0</v>
      </c>
      <c r="AG680" s="413">
        <f t="shared" ref="AG680" si="2019">AG679</f>
        <v>0</v>
      </c>
      <c r="AH680" s="413">
        <f t="shared" ref="AH680" si="2020">AH679</f>
        <v>0</v>
      </c>
      <c r="AI680" s="413">
        <f t="shared" ref="AI680" si="2021">AI679</f>
        <v>0</v>
      </c>
      <c r="AJ680" s="413">
        <f t="shared" ref="AJ680" si="2022">AJ679</f>
        <v>0</v>
      </c>
      <c r="AK680" s="413">
        <f t="shared" ref="AK680" si="2023">AK679</f>
        <v>0</v>
      </c>
      <c r="AL680" s="413">
        <f t="shared" ref="AL680" si="2024">AL679</f>
        <v>0</v>
      </c>
      <c r="AM680" s="308"/>
    </row>
    <row r="681" spans="1:39" hidden="1" outlineLevel="1">
      <c r="A681" s="532"/>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2">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2"/>
      <c r="B683" s="296" t="s">
        <v>312</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25">Z682</f>
        <v>0</v>
      </c>
      <c r="AA683" s="413">
        <f t="shared" ref="AA683" si="2026">AA682</f>
        <v>0</v>
      </c>
      <c r="AB683" s="413">
        <f t="shared" ref="AB683" si="2027">AB682</f>
        <v>0</v>
      </c>
      <c r="AC683" s="413">
        <f t="shared" ref="AC683" si="2028">AC682</f>
        <v>0</v>
      </c>
      <c r="AD683" s="413">
        <f t="shared" ref="AD683" si="2029">AD682</f>
        <v>0</v>
      </c>
      <c r="AE683" s="413">
        <f t="shared" ref="AE683" si="2030">AE682</f>
        <v>0</v>
      </c>
      <c r="AF683" s="413">
        <f t="shared" ref="AF683" si="2031">AF682</f>
        <v>0</v>
      </c>
      <c r="AG683" s="413">
        <f t="shared" ref="AG683" si="2032">AG682</f>
        <v>0</v>
      </c>
      <c r="AH683" s="413">
        <f t="shared" ref="AH683" si="2033">AH682</f>
        <v>0</v>
      </c>
      <c r="AI683" s="413">
        <f t="shared" ref="AI683" si="2034">AI682</f>
        <v>0</v>
      </c>
      <c r="AJ683" s="413">
        <f t="shared" ref="AJ683" si="2035">AJ682</f>
        <v>0</v>
      </c>
      <c r="AK683" s="413">
        <f t="shared" ref="AK683" si="2036">AK682</f>
        <v>0</v>
      </c>
      <c r="AL683" s="413">
        <f t="shared" ref="AL683" si="2037">AL682</f>
        <v>0</v>
      </c>
      <c r="AM683" s="308"/>
    </row>
    <row r="684" spans="1:39" hidden="1" outlineLevel="1">
      <c r="A684" s="532"/>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2">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2"/>
      <c r="B686" s="296" t="s">
        <v>312</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38">Z685</f>
        <v>0</v>
      </c>
      <c r="AA686" s="413">
        <f t="shared" ref="AA686" si="2039">AA685</f>
        <v>0</v>
      </c>
      <c r="AB686" s="413">
        <f t="shared" ref="AB686" si="2040">AB685</f>
        <v>0</v>
      </c>
      <c r="AC686" s="413">
        <f t="shared" ref="AC686" si="2041">AC685</f>
        <v>0</v>
      </c>
      <c r="AD686" s="413">
        <f t="shared" ref="AD686" si="2042">AD685</f>
        <v>0</v>
      </c>
      <c r="AE686" s="413">
        <f t="shared" ref="AE686" si="2043">AE685</f>
        <v>0</v>
      </c>
      <c r="AF686" s="413">
        <f t="shared" ref="AF686" si="2044">AF685</f>
        <v>0</v>
      </c>
      <c r="AG686" s="413">
        <f t="shared" ref="AG686" si="2045">AG685</f>
        <v>0</v>
      </c>
      <c r="AH686" s="413">
        <f t="shared" ref="AH686" si="2046">AH685</f>
        <v>0</v>
      </c>
      <c r="AI686" s="413">
        <f t="shared" ref="AI686" si="2047">AI685</f>
        <v>0</v>
      </c>
      <c r="AJ686" s="413">
        <f t="shared" ref="AJ686" si="2048">AJ685</f>
        <v>0</v>
      </c>
      <c r="AK686" s="413">
        <f t="shared" ref="AK686" si="2049">AK685</f>
        <v>0</v>
      </c>
      <c r="AL686" s="413">
        <f t="shared" ref="AL686" si="2050">AL685</f>
        <v>0</v>
      </c>
      <c r="AM686" s="308"/>
    </row>
    <row r="687" spans="1:39" hidden="1" outlineLevel="1">
      <c r="A687" s="532"/>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2">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2"/>
      <c r="B689" s="296" t="s">
        <v>312</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51">Z688</f>
        <v>0</v>
      </c>
      <c r="AA689" s="413">
        <f t="shared" ref="AA689" si="2052">AA688</f>
        <v>0</v>
      </c>
      <c r="AB689" s="413">
        <f t="shared" ref="AB689" si="2053">AB688</f>
        <v>0</v>
      </c>
      <c r="AC689" s="413">
        <f t="shared" ref="AC689" si="2054">AC688</f>
        <v>0</v>
      </c>
      <c r="AD689" s="413">
        <f t="shared" ref="AD689" si="2055">AD688</f>
        <v>0</v>
      </c>
      <c r="AE689" s="413">
        <f t="shared" ref="AE689" si="2056">AE688</f>
        <v>0</v>
      </c>
      <c r="AF689" s="413">
        <f t="shared" ref="AF689" si="2057">AF688</f>
        <v>0</v>
      </c>
      <c r="AG689" s="413">
        <f t="shared" ref="AG689" si="2058">AG688</f>
        <v>0</v>
      </c>
      <c r="AH689" s="413">
        <f t="shared" ref="AH689" si="2059">AH688</f>
        <v>0</v>
      </c>
      <c r="AI689" s="413">
        <f t="shared" ref="AI689" si="2060">AI688</f>
        <v>0</v>
      </c>
      <c r="AJ689" s="413">
        <f t="shared" ref="AJ689" si="2061">AJ688</f>
        <v>0</v>
      </c>
      <c r="AK689" s="413">
        <f t="shared" ref="AK689" si="2062">AK688</f>
        <v>0</v>
      </c>
      <c r="AL689" s="413">
        <f t="shared" ref="AL689" si="2063">AL688</f>
        <v>0</v>
      </c>
      <c r="AM689" s="308"/>
    </row>
    <row r="690" spans="1:39" hidden="1" outlineLevel="1">
      <c r="A690" s="532"/>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2"/>
      <c r="B691" s="290" t="s">
        <v>504</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2">
        <v>33</v>
      </c>
      <c r="B692" s="430" t="s">
        <v>126</v>
      </c>
      <c r="C692" s="293" t="s">
        <v>25</v>
      </c>
      <c r="D692" s="297">
        <v>4010.9310357084169</v>
      </c>
      <c r="E692" s="297">
        <f>D692</f>
        <v>4010.9310357084169</v>
      </c>
      <c r="F692" s="297">
        <f>E692</f>
        <v>4010.9310357084169</v>
      </c>
      <c r="G692" s="297">
        <f>F692</f>
        <v>4010.9310357084169</v>
      </c>
      <c r="H692" s="297"/>
      <c r="I692" s="297"/>
      <c r="J692" s="297"/>
      <c r="K692" s="297"/>
      <c r="L692" s="297"/>
      <c r="M692" s="297"/>
      <c r="N692" s="297">
        <v>12</v>
      </c>
      <c r="O692" s="297">
        <v>1.1373116409974244</v>
      </c>
      <c r="P692" s="297">
        <f>O692</f>
        <v>1.1373116409974244</v>
      </c>
      <c r="Q692" s="297">
        <f>P692</f>
        <v>1.1373116409974244</v>
      </c>
      <c r="R692" s="297">
        <f>Q692</f>
        <v>1.1373116409974244</v>
      </c>
      <c r="S692" s="297"/>
      <c r="T692" s="297"/>
      <c r="U692" s="297"/>
      <c r="V692" s="297"/>
      <c r="W692" s="297"/>
      <c r="X692" s="297"/>
      <c r="Y692" s="428">
        <v>1</v>
      </c>
      <c r="Z692" s="412"/>
      <c r="AA692" s="412"/>
      <c r="AB692" s="412"/>
      <c r="AC692" s="412"/>
      <c r="AD692" s="412"/>
      <c r="AE692" s="412"/>
      <c r="AF692" s="417"/>
      <c r="AG692" s="417"/>
      <c r="AH692" s="417"/>
      <c r="AI692" s="417"/>
      <c r="AJ692" s="417"/>
      <c r="AK692" s="417"/>
      <c r="AL692" s="417"/>
      <c r="AM692" s="298">
        <f>SUM(Y692:AL692)</f>
        <v>1</v>
      </c>
    </row>
    <row r="693" spans="1:39" hidden="1" outlineLevel="1">
      <c r="A693" s="532"/>
      <c r="B693" s="296" t="s">
        <v>312</v>
      </c>
      <c r="C693" s="293" t="s">
        <v>164</v>
      </c>
      <c r="D693" s="297"/>
      <c r="E693" s="297"/>
      <c r="F693" s="297"/>
      <c r="G693" s="297"/>
      <c r="H693" s="297"/>
      <c r="I693" s="297"/>
      <c r="J693" s="297"/>
      <c r="K693" s="297"/>
      <c r="L693" s="297"/>
      <c r="M693" s="297"/>
      <c r="N693" s="297">
        <f>N692</f>
        <v>12</v>
      </c>
      <c r="O693" s="297"/>
      <c r="P693" s="297"/>
      <c r="Q693" s="297"/>
      <c r="R693" s="297"/>
      <c r="S693" s="297"/>
      <c r="T693" s="297"/>
      <c r="U693" s="297"/>
      <c r="V693" s="297"/>
      <c r="W693" s="297"/>
      <c r="X693" s="297"/>
      <c r="Y693" s="413">
        <f>Y692</f>
        <v>1</v>
      </c>
      <c r="Z693" s="413">
        <f t="shared" ref="Z693" si="2064">Z692</f>
        <v>0</v>
      </c>
      <c r="AA693" s="413">
        <f t="shared" ref="AA693" si="2065">AA692</f>
        <v>0</v>
      </c>
      <c r="AB693" s="413">
        <f t="shared" ref="AB693" si="2066">AB692</f>
        <v>0</v>
      </c>
      <c r="AC693" s="413">
        <f t="shared" ref="AC693" si="2067">AC692</f>
        <v>0</v>
      </c>
      <c r="AD693" s="413">
        <f t="shared" ref="AD693" si="2068">AD692</f>
        <v>0</v>
      </c>
      <c r="AE693" s="413">
        <f t="shared" ref="AE693" si="2069">AE692</f>
        <v>0</v>
      </c>
      <c r="AF693" s="413">
        <f t="shared" ref="AF693" si="2070">AF692</f>
        <v>0</v>
      </c>
      <c r="AG693" s="413">
        <f t="shared" ref="AG693" si="2071">AG692</f>
        <v>0</v>
      </c>
      <c r="AH693" s="413">
        <f t="shared" ref="AH693" si="2072">AH692</f>
        <v>0</v>
      </c>
      <c r="AI693" s="413">
        <f t="shared" ref="AI693" si="2073">AI692</f>
        <v>0</v>
      </c>
      <c r="AJ693" s="413">
        <f t="shared" ref="AJ693" si="2074">AJ692</f>
        <v>0</v>
      </c>
      <c r="AK693" s="413">
        <f t="shared" ref="AK693" si="2075">AK692</f>
        <v>0</v>
      </c>
      <c r="AL693" s="413">
        <f t="shared" ref="AL693" si="2076">AL692</f>
        <v>0</v>
      </c>
      <c r="AM693" s="308"/>
    </row>
    <row r="694" spans="1:39" hidden="1" outlineLevel="1">
      <c r="A694" s="532"/>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2">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2"/>
      <c r="B696" s="296" t="s">
        <v>312</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77">Z695</f>
        <v>0</v>
      </c>
      <c r="AA696" s="413">
        <f t="shared" ref="AA696" si="2078">AA695</f>
        <v>0</v>
      </c>
      <c r="AB696" s="413">
        <f t="shared" ref="AB696" si="2079">AB695</f>
        <v>0</v>
      </c>
      <c r="AC696" s="413">
        <f t="shared" ref="AC696" si="2080">AC695</f>
        <v>0</v>
      </c>
      <c r="AD696" s="413">
        <f t="shared" ref="AD696" si="2081">AD695</f>
        <v>0</v>
      </c>
      <c r="AE696" s="413">
        <f t="shared" ref="AE696" si="2082">AE695</f>
        <v>0</v>
      </c>
      <c r="AF696" s="413">
        <f t="shared" ref="AF696" si="2083">AF695</f>
        <v>0</v>
      </c>
      <c r="AG696" s="413">
        <f t="shared" ref="AG696" si="2084">AG695</f>
        <v>0</v>
      </c>
      <c r="AH696" s="413">
        <f t="shared" ref="AH696" si="2085">AH695</f>
        <v>0</v>
      </c>
      <c r="AI696" s="413">
        <f t="shared" ref="AI696" si="2086">AI695</f>
        <v>0</v>
      </c>
      <c r="AJ696" s="413">
        <f t="shared" ref="AJ696" si="2087">AJ695</f>
        <v>0</v>
      </c>
      <c r="AK696" s="413">
        <f t="shared" ref="AK696" si="2088">AK695</f>
        <v>0</v>
      </c>
      <c r="AL696" s="413">
        <f t="shared" ref="AL696" si="2089">AL695</f>
        <v>0</v>
      </c>
      <c r="AM696" s="308"/>
    </row>
    <row r="697" spans="1:39" hidden="1" outlineLevel="1">
      <c r="A697" s="532"/>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2">
        <v>35</v>
      </c>
      <c r="B698" s="430" t="s">
        <v>128</v>
      </c>
      <c r="C698" s="293" t="s">
        <v>25</v>
      </c>
      <c r="D698" s="297">
        <v>48240.44814704312</v>
      </c>
      <c r="E698" s="297">
        <f>E515/$D515*$D698</f>
        <v>48240.44814704312</v>
      </c>
      <c r="F698" s="297">
        <f t="shared" ref="F698:M698" si="2090">F515/$D515*$D698</f>
        <v>48240.44814704312</v>
      </c>
      <c r="G698" s="297">
        <f t="shared" si="2090"/>
        <v>48240.44814704312</v>
      </c>
      <c r="H698" s="297">
        <f t="shared" si="2090"/>
        <v>0</v>
      </c>
      <c r="I698" s="297">
        <f t="shared" si="2090"/>
        <v>0</v>
      </c>
      <c r="J698" s="297">
        <f t="shared" si="2090"/>
        <v>0</v>
      </c>
      <c r="K698" s="297">
        <f t="shared" si="2090"/>
        <v>0</v>
      </c>
      <c r="L698" s="297">
        <f t="shared" si="2090"/>
        <v>0</v>
      </c>
      <c r="M698" s="297">
        <f t="shared" si="2090"/>
        <v>0</v>
      </c>
      <c r="N698" s="297">
        <v>0</v>
      </c>
      <c r="O698" s="297">
        <v>0</v>
      </c>
      <c r="P698" s="297">
        <f>P515/$O515*$O698</f>
        <v>0</v>
      </c>
      <c r="Q698" s="297">
        <f t="shared" ref="Q698:X698" si="2091">Q515/$O515*$O698</f>
        <v>0</v>
      </c>
      <c r="R698" s="297">
        <f t="shared" si="2091"/>
        <v>0</v>
      </c>
      <c r="S698" s="297">
        <f t="shared" si="2091"/>
        <v>0</v>
      </c>
      <c r="T698" s="297">
        <f t="shared" si="2091"/>
        <v>0</v>
      </c>
      <c r="U698" s="297">
        <f t="shared" si="2091"/>
        <v>0</v>
      </c>
      <c r="V698" s="297">
        <f t="shared" si="2091"/>
        <v>0</v>
      </c>
      <c r="W698" s="297">
        <f t="shared" si="2091"/>
        <v>0</v>
      </c>
      <c r="X698" s="297">
        <f t="shared" si="2091"/>
        <v>0</v>
      </c>
      <c r="Y698" s="428">
        <v>1</v>
      </c>
      <c r="Z698" s="412"/>
      <c r="AA698" s="412"/>
      <c r="AB698" s="412"/>
      <c r="AC698" s="412"/>
      <c r="AD698" s="412"/>
      <c r="AE698" s="412"/>
      <c r="AF698" s="417"/>
      <c r="AG698" s="417"/>
      <c r="AH698" s="417"/>
      <c r="AI698" s="417"/>
      <c r="AJ698" s="417"/>
      <c r="AK698" s="417"/>
      <c r="AL698" s="417"/>
      <c r="AM698" s="298">
        <f>SUM(Y698:AL698)</f>
        <v>1</v>
      </c>
    </row>
    <row r="699" spans="1:39" hidden="1" outlineLevel="1">
      <c r="A699" s="532"/>
      <c r="B699" s="296" t="s">
        <v>312</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1</v>
      </c>
      <c r="Z699" s="413">
        <f t="shared" ref="Z699" si="2092">Z698</f>
        <v>0</v>
      </c>
      <c r="AA699" s="413">
        <f t="shared" ref="AA699" si="2093">AA698</f>
        <v>0</v>
      </c>
      <c r="AB699" s="413">
        <f t="shared" ref="AB699" si="2094">AB698</f>
        <v>0</v>
      </c>
      <c r="AC699" s="413">
        <f t="shared" ref="AC699" si="2095">AC698</f>
        <v>0</v>
      </c>
      <c r="AD699" s="413">
        <f t="shared" ref="AD699" si="2096">AD698</f>
        <v>0</v>
      </c>
      <c r="AE699" s="413">
        <f t="shared" ref="AE699" si="2097">AE698</f>
        <v>0</v>
      </c>
      <c r="AF699" s="413">
        <f t="shared" ref="AF699" si="2098">AF698</f>
        <v>0</v>
      </c>
      <c r="AG699" s="413">
        <f t="shared" ref="AG699" si="2099">AG698</f>
        <v>0</v>
      </c>
      <c r="AH699" s="413">
        <f t="shared" ref="AH699" si="2100">AH698</f>
        <v>0</v>
      </c>
      <c r="AI699" s="413">
        <f t="shared" ref="AI699" si="2101">AI698</f>
        <v>0</v>
      </c>
      <c r="AJ699" s="413">
        <f t="shared" ref="AJ699" si="2102">AJ698</f>
        <v>0</v>
      </c>
      <c r="AK699" s="413">
        <f t="shared" ref="AK699" si="2103">AK698</f>
        <v>0</v>
      </c>
      <c r="AL699" s="413">
        <f t="shared" ref="AL699" si="2104">AL698</f>
        <v>0</v>
      </c>
      <c r="AM699" s="308"/>
    </row>
    <row r="700" spans="1:39" hidden="1" outlineLevel="1">
      <c r="A700" s="532"/>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2"/>
      <c r="B701" s="290" t="s">
        <v>505</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2">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2"/>
      <c r="B703" s="296" t="s">
        <v>312</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105">Z702</f>
        <v>0</v>
      </c>
      <c r="AA703" s="413">
        <f t="shared" ref="AA703" si="2106">AA702</f>
        <v>0</v>
      </c>
      <c r="AB703" s="413">
        <f t="shared" ref="AB703" si="2107">AB702</f>
        <v>0</v>
      </c>
      <c r="AC703" s="413">
        <f t="shared" ref="AC703" si="2108">AC702</f>
        <v>0</v>
      </c>
      <c r="AD703" s="413">
        <f t="shared" ref="AD703" si="2109">AD702</f>
        <v>0</v>
      </c>
      <c r="AE703" s="413">
        <f t="shared" ref="AE703" si="2110">AE702</f>
        <v>0</v>
      </c>
      <c r="AF703" s="413">
        <f t="shared" ref="AF703" si="2111">AF702</f>
        <v>0</v>
      </c>
      <c r="AG703" s="413">
        <f t="shared" ref="AG703" si="2112">AG702</f>
        <v>0</v>
      </c>
      <c r="AH703" s="413">
        <f t="shared" ref="AH703" si="2113">AH702</f>
        <v>0</v>
      </c>
      <c r="AI703" s="413">
        <f t="shared" ref="AI703" si="2114">AI702</f>
        <v>0</v>
      </c>
      <c r="AJ703" s="413">
        <f t="shared" ref="AJ703" si="2115">AJ702</f>
        <v>0</v>
      </c>
      <c r="AK703" s="413">
        <f t="shared" ref="AK703" si="2116">AK702</f>
        <v>0</v>
      </c>
      <c r="AL703" s="413">
        <f t="shared" ref="AL703" si="2117">AL702</f>
        <v>0</v>
      </c>
      <c r="AM703" s="308"/>
    </row>
    <row r="704" spans="1:39" hidden="1" outlineLevel="1">
      <c r="A704" s="532"/>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2">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2"/>
      <c r="B706" s="296" t="s">
        <v>312</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18">Z705</f>
        <v>0</v>
      </c>
      <c r="AA706" s="413">
        <f t="shared" ref="AA706" si="2119">AA705</f>
        <v>0</v>
      </c>
      <c r="AB706" s="413">
        <f t="shared" ref="AB706" si="2120">AB705</f>
        <v>0</v>
      </c>
      <c r="AC706" s="413">
        <f t="shared" ref="AC706" si="2121">AC705</f>
        <v>0</v>
      </c>
      <c r="AD706" s="413">
        <f t="shared" ref="AD706" si="2122">AD705</f>
        <v>0</v>
      </c>
      <c r="AE706" s="413">
        <f t="shared" ref="AE706" si="2123">AE705</f>
        <v>0</v>
      </c>
      <c r="AF706" s="413">
        <f t="shared" ref="AF706" si="2124">AF705</f>
        <v>0</v>
      </c>
      <c r="AG706" s="413">
        <f t="shared" ref="AG706" si="2125">AG705</f>
        <v>0</v>
      </c>
      <c r="AH706" s="413">
        <f t="shared" ref="AH706" si="2126">AH705</f>
        <v>0</v>
      </c>
      <c r="AI706" s="413">
        <f t="shared" ref="AI706" si="2127">AI705</f>
        <v>0</v>
      </c>
      <c r="AJ706" s="413">
        <f t="shared" ref="AJ706" si="2128">AJ705</f>
        <v>0</v>
      </c>
      <c r="AK706" s="413">
        <f t="shared" ref="AK706" si="2129">AK705</f>
        <v>0</v>
      </c>
      <c r="AL706" s="413">
        <f t="shared" ref="AL706" si="2130">AL705</f>
        <v>0</v>
      </c>
      <c r="AM706" s="308"/>
    </row>
    <row r="707" spans="1:39" hidden="1" outlineLevel="1">
      <c r="A707" s="532"/>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2">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2"/>
      <c r="B709" s="296" t="s">
        <v>312</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31">Z708</f>
        <v>0</v>
      </c>
      <c r="AA709" s="413">
        <f t="shared" ref="AA709" si="2132">AA708</f>
        <v>0</v>
      </c>
      <c r="AB709" s="413">
        <f t="shared" ref="AB709" si="2133">AB708</f>
        <v>0</v>
      </c>
      <c r="AC709" s="413">
        <f t="shared" ref="AC709" si="2134">AC708</f>
        <v>0</v>
      </c>
      <c r="AD709" s="413">
        <f t="shared" ref="AD709" si="2135">AD708</f>
        <v>0</v>
      </c>
      <c r="AE709" s="413">
        <f t="shared" ref="AE709" si="2136">AE708</f>
        <v>0</v>
      </c>
      <c r="AF709" s="413">
        <f t="shared" ref="AF709" si="2137">AF708</f>
        <v>0</v>
      </c>
      <c r="AG709" s="413">
        <f t="shared" ref="AG709" si="2138">AG708</f>
        <v>0</v>
      </c>
      <c r="AH709" s="413">
        <f t="shared" ref="AH709" si="2139">AH708</f>
        <v>0</v>
      </c>
      <c r="AI709" s="413">
        <f t="shared" ref="AI709" si="2140">AI708</f>
        <v>0</v>
      </c>
      <c r="AJ709" s="413">
        <f t="shared" ref="AJ709" si="2141">AJ708</f>
        <v>0</v>
      </c>
      <c r="AK709" s="413">
        <f t="shared" ref="AK709" si="2142">AK708</f>
        <v>0</v>
      </c>
      <c r="AL709" s="413">
        <f t="shared" ref="AL709" si="2143">AL708</f>
        <v>0</v>
      </c>
      <c r="AM709" s="308"/>
    </row>
    <row r="710" spans="1:39" hidden="1" outlineLevel="1">
      <c r="A710" s="532"/>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2">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2"/>
      <c r="B712" s="296" t="s">
        <v>312</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44">Z711</f>
        <v>0</v>
      </c>
      <c r="AA712" s="413">
        <f t="shared" ref="AA712" si="2145">AA711</f>
        <v>0</v>
      </c>
      <c r="AB712" s="413">
        <f t="shared" ref="AB712" si="2146">AB711</f>
        <v>0</v>
      </c>
      <c r="AC712" s="413">
        <f t="shared" ref="AC712" si="2147">AC711</f>
        <v>0</v>
      </c>
      <c r="AD712" s="413">
        <f t="shared" ref="AD712" si="2148">AD711</f>
        <v>0</v>
      </c>
      <c r="AE712" s="413">
        <f t="shared" ref="AE712" si="2149">AE711</f>
        <v>0</v>
      </c>
      <c r="AF712" s="413">
        <f t="shared" ref="AF712" si="2150">AF711</f>
        <v>0</v>
      </c>
      <c r="AG712" s="413">
        <f t="shared" ref="AG712" si="2151">AG711</f>
        <v>0</v>
      </c>
      <c r="AH712" s="413">
        <f t="shared" ref="AH712" si="2152">AH711</f>
        <v>0</v>
      </c>
      <c r="AI712" s="413">
        <f t="shared" ref="AI712" si="2153">AI711</f>
        <v>0</v>
      </c>
      <c r="AJ712" s="413">
        <f t="shared" ref="AJ712" si="2154">AJ711</f>
        <v>0</v>
      </c>
      <c r="AK712" s="413">
        <f t="shared" ref="AK712" si="2155">AK711</f>
        <v>0</v>
      </c>
      <c r="AL712" s="413">
        <f t="shared" ref="AL712" si="2156">AL711</f>
        <v>0</v>
      </c>
      <c r="AM712" s="308"/>
    </row>
    <row r="713" spans="1:39" hidden="1" outlineLevel="1">
      <c r="A713" s="532"/>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2">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2"/>
      <c r="B715" s="296" t="s">
        <v>312</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57">Z714</f>
        <v>0</v>
      </c>
      <c r="AA715" s="413">
        <f t="shared" ref="AA715" si="2158">AA714</f>
        <v>0</v>
      </c>
      <c r="AB715" s="413">
        <f t="shared" ref="AB715" si="2159">AB714</f>
        <v>0</v>
      </c>
      <c r="AC715" s="413">
        <f t="shared" ref="AC715" si="2160">AC714</f>
        <v>0</v>
      </c>
      <c r="AD715" s="413">
        <f t="shared" ref="AD715" si="2161">AD714</f>
        <v>0</v>
      </c>
      <c r="AE715" s="413">
        <f t="shared" ref="AE715" si="2162">AE714</f>
        <v>0</v>
      </c>
      <c r="AF715" s="413">
        <f t="shared" ref="AF715" si="2163">AF714</f>
        <v>0</v>
      </c>
      <c r="AG715" s="413">
        <f t="shared" ref="AG715" si="2164">AG714</f>
        <v>0</v>
      </c>
      <c r="AH715" s="413">
        <f t="shared" ref="AH715" si="2165">AH714</f>
        <v>0</v>
      </c>
      <c r="AI715" s="413">
        <f t="shared" ref="AI715" si="2166">AI714</f>
        <v>0</v>
      </c>
      <c r="AJ715" s="413">
        <f t="shared" ref="AJ715" si="2167">AJ714</f>
        <v>0</v>
      </c>
      <c r="AK715" s="413">
        <f t="shared" ref="AK715" si="2168">AK714</f>
        <v>0</v>
      </c>
      <c r="AL715" s="413">
        <f t="shared" ref="AL715" si="2169">AL714</f>
        <v>0</v>
      </c>
      <c r="AM715" s="308"/>
    </row>
    <row r="716" spans="1:39" hidden="1" outlineLevel="1">
      <c r="A716" s="532"/>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2">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2"/>
      <c r="B718" s="296" t="s">
        <v>312</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70">Z717</f>
        <v>0</v>
      </c>
      <c r="AA718" s="413">
        <f t="shared" ref="AA718" si="2171">AA717</f>
        <v>0</v>
      </c>
      <c r="AB718" s="413">
        <f t="shared" ref="AB718" si="2172">AB717</f>
        <v>0</v>
      </c>
      <c r="AC718" s="413">
        <f t="shared" ref="AC718" si="2173">AC717</f>
        <v>0</v>
      </c>
      <c r="AD718" s="413">
        <f t="shared" ref="AD718" si="2174">AD717</f>
        <v>0</v>
      </c>
      <c r="AE718" s="413">
        <f t="shared" ref="AE718" si="2175">AE717</f>
        <v>0</v>
      </c>
      <c r="AF718" s="413">
        <f t="shared" ref="AF718" si="2176">AF717</f>
        <v>0</v>
      </c>
      <c r="AG718" s="413">
        <f t="shared" ref="AG718" si="2177">AG717</f>
        <v>0</v>
      </c>
      <c r="AH718" s="413">
        <f t="shared" ref="AH718" si="2178">AH717</f>
        <v>0</v>
      </c>
      <c r="AI718" s="413">
        <f t="shared" ref="AI718" si="2179">AI717</f>
        <v>0</v>
      </c>
      <c r="AJ718" s="413">
        <f t="shared" ref="AJ718" si="2180">AJ717</f>
        <v>0</v>
      </c>
      <c r="AK718" s="413">
        <f t="shared" ref="AK718" si="2181">AK717</f>
        <v>0</v>
      </c>
      <c r="AL718" s="413">
        <f t="shared" ref="AL718" si="2182">AL717</f>
        <v>0</v>
      </c>
      <c r="AM718" s="308"/>
    </row>
    <row r="719" spans="1:39" hidden="1" outlineLevel="1">
      <c r="A719" s="532"/>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2">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2"/>
      <c r="B721" s="296" t="s">
        <v>312</v>
      </c>
      <c r="C721" s="293" t="s">
        <v>164</v>
      </c>
      <c r="D721" s="297"/>
      <c r="E721" s="297"/>
      <c r="F721" s="297"/>
      <c r="G721" s="297"/>
      <c r="H721" s="297"/>
      <c r="I721" s="297"/>
      <c r="J721" s="297"/>
      <c r="K721" s="297"/>
      <c r="L721" s="297"/>
      <c r="M721" s="297"/>
      <c r="N721" s="469"/>
      <c r="O721" s="297"/>
      <c r="P721" s="297"/>
      <c r="Q721" s="297"/>
      <c r="R721" s="297"/>
      <c r="S721" s="297"/>
      <c r="T721" s="297"/>
      <c r="U721" s="297"/>
      <c r="V721" s="297"/>
      <c r="W721" s="297"/>
      <c r="X721" s="297"/>
      <c r="Y721" s="413">
        <f>Y720</f>
        <v>0</v>
      </c>
      <c r="Z721" s="413">
        <f t="shared" ref="Z721" si="2183">Z720</f>
        <v>0</v>
      </c>
      <c r="AA721" s="413">
        <f t="shared" ref="AA721" si="2184">AA720</f>
        <v>0</v>
      </c>
      <c r="AB721" s="413">
        <f t="shared" ref="AB721" si="2185">AB720</f>
        <v>0</v>
      </c>
      <c r="AC721" s="413">
        <f t="shared" ref="AC721" si="2186">AC720</f>
        <v>0</v>
      </c>
      <c r="AD721" s="413">
        <f t="shared" ref="AD721" si="2187">AD720</f>
        <v>0</v>
      </c>
      <c r="AE721" s="413">
        <f t="shared" ref="AE721" si="2188">AE720</f>
        <v>0</v>
      </c>
      <c r="AF721" s="413">
        <f t="shared" ref="AF721" si="2189">AF720</f>
        <v>0</v>
      </c>
      <c r="AG721" s="413">
        <f t="shared" ref="AG721" si="2190">AG720</f>
        <v>0</v>
      </c>
      <c r="AH721" s="413">
        <f t="shared" ref="AH721" si="2191">AH720</f>
        <v>0</v>
      </c>
      <c r="AI721" s="413">
        <f t="shared" ref="AI721" si="2192">AI720</f>
        <v>0</v>
      </c>
      <c r="AJ721" s="413">
        <f t="shared" ref="AJ721" si="2193">AJ720</f>
        <v>0</v>
      </c>
      <c r="AK721" s="413">
        <f t="shared" ref="AK721" si="2194">AK720</f>
        <v>0</v>
      </c>
      <c r="AL721" s="413">
        <f t="shared" ref="AL721" si="2195">AL720</f>
        <v>0</v>
      </c>
      <c r="AM721" s="308"/>
    </row>
    <row r="722" spans="1:39" hidden="1" outlineLevel="1">
      <c r="A722" s="532"/>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2">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2"/>
      <c r="B724" s="296" t="s">
        <v>312</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96">Z723</f>
        <v>0</v>
      </c>
      <c r="AA724" s="413">
        <f t="shared" ref="AA724" si="2197">AA723</f>
        <v>0</v>
      </c>
      <c r="AB724" s="413">
        <f t="shared" ref="AB724" si="2198">AB723</f>
        <v>0</v>
      </c>
      <c r="AC724" s="413">
        <f t="shared" ref="AC724" si="2199">AC723</f>
        <v>0</v>
      </c>
      <c r="AD724" s="413">
        <f t="shared" ref="AD724" si="2200">AD723</f>
        <v>0</v>
      </c>
      <c r="AE724" s="413">
        <f t="shared" ref="AE724" si="2201">AE723</f>
        <v>0</v>
      </c>
      <c r="AF724" s="413">
        <f t="shared" ref="AF724" si="2202">AF723</f>
        <v>0</v>
      </c>
      <c r="AG724" s="413">
        <f t="shared" ref="AG724" si="2203">AG723</f>
        <v>0</v>
      </c>
      <c r="AH724" s="413">
        <f t="shared" ref="AH724" si="2204">AH723</f>
        <v>0</v>
      </c>
      <c r="AI724" s="413">
        <f t="shared" ref="AI724" si="2205">AI723</f>
        <v>0</v>
      </c>
      <c r="AJ724" s="413">
        <f t="shared" ref="AJ724" si="2206">AJ723</f>
        <v>0</v>
      </c>
      <c r="AK724" s="413">
        <f t="shared" ref="AK724" si="2207">AK723</f>
        <v>0</v>
      </c>
      <c r="AL724" s="413">
        <f t="shared" ref="AL724" si="2208">AL723</f>
        <v>0</v>
      </c>
      <c r="AM724" s="308"/>
    </row>
    <row r="725" spans="1:39" hidden="1" outlineLevel="1">
      <c r="A725" s="532"/>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2">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2"/>
      <c r="B727" s="296" t="s">
        <v>312</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209">Z726</f>
        <v>0</v>
      </c>
      <c r="AA727" s="413">
        <f t="shared" ref="AA727" si="2210">AA726</f>
        <v>0</v>
      </c>
      <c r="AB727" s="413">
        <f t="shared" ref="AB727" si="2211">AB726</f>
        <v>0</v>
      </c>
      <c r="AC727" s="413">
        <f t="shared" ref="AC727" si="2212">AC726</f>
        <v>0</v>
      </c>
      <c r="AD727" s="413">
        <f t="shared" ref="AD727" si="2213">AD726</f>
        <v>0</v>
      </c>
      <c r="AE727" s="413">
        <f t="shared" ref="AE727" si="2214">AE726</f>
        <v>0</v>
      </c>
      <c r="AF727" s="413">
        <f t="shared" ref="AF727" si="2215">AF726</f>
        <v>0</v>
      </c>
      <c r="AG727" s="413">
        <f t="shared" ref="AG727" si="2216">AG726</f>
        <v>0</v>
      </c>
      <c r="AH727" s="413">
        <f t="shared" ref="AH727" si="2217">AH726</f>
        <v>0</v>
      </c>
      <c r="AI727" s="413">
        <f t="shared" ref="AI727" si="2218">AI726</f>
        <v>0</v>
      </c>
      <c r="AJ727" s="413">
        <f t="shared" ref="AJ727" si="2219">AJ726</f>
        <v>0</v>
      </c>
      <c r="AK727" s="413">
        <f t="shared" ref="AK727" si="2220">AK726</f>
        <v>0</v>
      </c>
      <c r="AL727" s="413">
        <f t="shared" ref="AL727" si="2221">AL726</f>
        <v>0</v>
      </c>
      <c r="AM727" s="308"/>
    </row>
    <row r="728" spans="1:39" hidden="1" outlineLevel="1">
      <c r="A728" s="532"/>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2">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2"/>
      <c r="B730" s="296" t="s">
        <v>312</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22">Z729</f>
        <v>0</v>
      </c>
      <c r="AA730" s="413">
        <f t="shared" ref="AA730" si="2223">AA729</f>
        <v>0</v>
      </c>
      <c r="AB730" s="413">
        <f t="shared" ref="AB730" si="2224">AB729</f>
        <v>0</v>
      </c>
      <c r="AC730" s="413">
        <f t="shared" ref="AC730" si="2225">AC729</f>
        <v>0</v>
      </c>
      <c r="AD730" s="413">
        <f t="shared" ref="AD730" si="2226">AD729</f>
        <v>0</v>
      </c>
      <c r="AE730" s="413">
        <f t="shared" ref="AE730" si="2227">AE729</f>
        <v>0</v>
      </c>
      <c r="AF730" s="413">
        <f t="shared" ref="AF730" si="2228">AF729</f>
        <v>0</v>
      </c>
      <c r="AG730" s="413">
        <f t="shared" ref="AG730" si="2229">AG729</f>
        <v>0</v>
      </c>
      <c r="AH730" s="413">
        <f t="shared" ref="AH730" si="2230">AH729</f>
        <v>0</v>
      </c>
      <c r="AI730" s="413">
        <f t="shared" ref="AI730" si="2231">AI729</f>
        <v>0</v>
      </c>
      <c r="AJ730" s="413">
        <f t="shared" ref="AJ730" si="2232">AJ729</f>
        <v>0</v>
      </c>
      <c r="AK730" s="413">
        <f t="shared" ref="AK730" si="2233">AK729</f>
        <v>0</v>
      </c>
      <c r="AL730" s="413">
        <f t="shared" ref="AL730" si="2234">AL729</f>
        <v>0</v>
      </c>
      <c r="AM730" s="308"/>
    </row>
    <row r="731" spans="1:39" hidden="1" outlineLevel="1">
      <c r="A731" s="532"/>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2">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2"/>
      <c r="B733" s="296" t="s">
        <v>312</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35">Z732</f>
        <v>0</v>
      </c>
      <c r="AA733" s="413">
        <f t="shared" ref="AA733" si="2236">AA732</f>
        <v>0</v>
      </c>
      <c r="AB733" s="413">
        <f t="shared" ref="AB733" si="2237">AB732</f>
        <v>0</v>
      </c>
      <c r="AC733" s="413">
        <f t="shared" ref="AC733" si="2238">AC732</f>
        <v>0</v>
      </c>
      <c r="AD733" s="413">
        <f t="shared" ref="AD733" si="2239">AD732</f>
        <v>0</v>
      </c>
      <c r="AE733" s="413">
        <f t="shared" ref="AE733" si="2240">AE732</f>
        <v>0</v>
      </c>
      <c r="AF733" s="413">
        <f t="shared" ref="AF733" si="2241">AF732</f>
        <v>0</v>
      </c>
      <c r="AG733" s="413">
        <f t="shared" ref="AG733" si="2242">AG732</f>
        <v>0</v>
      </c>
      <c r="AH733" s="413">
        <f t="shared" ref="AH733" si="2243">AH732</f>
        <v>0</v>
      </c>
      <c r="AI733" s="413">
        <f t="shared" ref="AI733" si="2244">AI732</f>
        <v>0</v>
      </c>
      <c r="AJ733" s="413">
        <f t="shared" ref="AJ733" si="2245">AJ732</f>
        <v>0</v>
      </c>
      <c r="AK733" s="413">
        <f t="shared" ref="AK733" si="2246">AK732</f>
        <v>0</v>
      </c>
      <c r="AL733" s="413">
        <f t="shared" ref="AL733" si="2247">AL732</f>
        <v>0</v>
      </c>
      <c r="AM733" s="308"/>
    </row>
    <row r="734" spans="1:39" hidden="1" outlineLevel="1">
      <c r="A734" s="532"/>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2">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2"/>
      <c r="B736" s="296" t="s">
        <v>312</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48">Z735</f>
        <v>0</v>
      </c>
      <c r="AA736" s="413">
        <f t="shared" ref="AA736" si="2249">AA735</f>
        <v>0</v>
      </c>
      <c r="AB736" s="413">
        <f t="shared" ref="AB736" si="2250">AB735</f>
        <v>0</v>
      </c>
      <c r="AC736" s="413">
        <f t="shared" ref="AC736" si="2251">AC735</f>
        <v>0</v>
      </c>
      <c r="AD736" s="413">
        <f t="shared" ref="AD736" si="2252">AD735</f>
        <v>0</v>
      </c>
      <c r="AE736" s="413">
        <f t="shared" ref="AE736" si="2253">AE735</f>
        <v>0</v>
      </c>
      <c r="AF736" s="413">
        <f t="shared" ref="AF736" si="2254">AF735</f>
        <v>0</v>
      </c>
      <c r="AG736" s="413">
        <f t="shared" ref="AG736" si="2255">AG735</f>
        <v>0</v>
      </c>
      <c r="AH736" s="413">
        <f t="shared" ref="AH736" si="2256">AH735</f>
        <v>0</v>
      </c>
      <c r="AI736" s="413">
        <f t="shared" ref="AI736" si="2257">AI735</f>
        <v>0</v>
      </c>
      <c r="AJ736" s="413">
        <f t="shared" ref="AJ736" si="2258">AJ735</f>
        <v>0</v>
      </c>
      <c r="AK736" s="413">
        <f t="shared" ref="AK736" si="2259">AK735</f>
        <v>0</v>
      </c>
      <c r="AL736" s="413">
        <f t="shared" ref="AL736" si="2260">AL735</f>
        <v>0</v>
      </c>
      <c r="AM736" s="308"/>
    </row>
    <row r="737" spans="1:40" hidden="1" outlineLevel="1">
      <c r="A737" s="532"/>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2">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2"/>
      <c r="B739" s="296" t="s">
        <v>312</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61">Z738</f>
        <v>0</v>
      </c>
      <c r="AA739" s="413">
        <f t="shared" ref="AA739" si="2262">AA738</f>
        <v>0</v>
      </c>
      <c r="AB739" s="413">
        <f t="shared" ref="AB739" si="2263">AB738</f>
        <v>0</v>
      </c>
      <c r="AC739" s="413">
        <f t="shared" ref="AC739" si="2264">AC738</f>
        <v>0</v>
      </c>
      <c r="AD739" s="413">
        <f t="shared" ref="AD739" si="2265">AD738</f>
        <v>0</v>
      </c>
      <c r="AE739" s="413">
        <f t="shared" ref="AE739" si="2266">AE738</f>
        <v>0</v>
      </c>
      <c r="AF739" s="413">
        <f t="shared" ref="AF739" si="2267">AF738</f>
        <v>0</v>
      </c>
      <c r="AG739" s="413">
        <f t="shared" ref="AG739" si="2268">AG738</f>
        <v>0</v>
      </c>
      <c r="AH739" s="413">
        <f t="shared" ref="AH739" si="2269">AH738</f>
        <v>0</v>
      </c>
      <c r="AI739" s="413">
        <f t="shared" ref="AI739" si="2270">AI738</f>
        <v>0</v>
      </c>
      <c r="AJ739" s="413">
        <f t="shared" ref="AJ739" si="2271">AJ738</f>
        <v>0</v>
      </c>
      <c r="AK739" s="413">
        <f t="shared" ref="AK739" si="2272">AK738</f>
        <v>0</v>
      </c>
      <c r="AL739" s="413">
        <f t="shared" ref="AL739" si="2273">AL738</f>
        <v>0</v>
      </c>
      <c r="AM739" s="308"/>
    </row>
    <row r="740" spans="1:40" hidden="1" outlineLevel="1">
      <c r="A740" s="532"/>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2">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2"/>
      <c r="B742" s="296" t="s">
        <v>312</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74">Z741</f>
        <v>0</v>
      </c>
      <c r="AA742" s="413">
        <f t="shared" ref="AA742" si="2275">AA741</f>
        <v>0</v>
      </c>
      <c r="AB742" s="413">
        <f t="shared" ref="AB742" si="2276">AB741</f>
        <v>0</v>
      </c>
      <c r="AC742" s="413">
        <f t="shared" ref="AC742" si="2277">AC741</f>
        <v>0</v>
      </c>
      <c r="AD742" s="413">
        <f t="shared" ref="AD742" si="2278">AD741</f>
        <v>0</v>
      </c>
      <c r="AE742" s="413">
        <f t="shared" ref="AE742" si="2279">AE741</f>
        <v>0</v>
      </c>
      <c r="AF742" s="413">
        <f t="shared" ref="AF742" si="2280">AF741</f>
        <v>0</v>
      </c>
      <c r="AG742" s="413">
        <f t="shared" ref="AG742" si="2281">AG741</f>
        <v>0</v>
      </c>
      <c r="AH742" s="413">
        <f t="shared" ref="AH742" si="2282">AH741</f>
        <v>0</v>
      </c>
      <c r="AI742" s="413">
        <f t="shared" ref="AI742" si="2283">AI741</f>
        <v>0</v>
      </c>
      <c r="AJ742" s="413">
        <f t="shared" ref="AJ742" si="2284">AJ741</f>
        <v>0</v>
      </c>
      <c r="AK742" s="413">
        <f t="shared" ref="AK742" si="2285">AK741</f>
        <v>0</v>
      </c>
      <c r="AL742" s="413">
        <f t="shared" ref="AL742" si="2286">AL741</f>
        <v>0</v>
      </c>
      <c r="AM742" s="308"/>
    </row>
    <row r="743" spans="1:40" hidden="1" outlineLevel="1">
      <c r="A743" s="532"/>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hidden="1" collapsed="1">
      <c r="B744" s="329" t="s">
        <v>313</v>
      </c>
      <c r="C744" s="331"/>
      <c r="D744" s="331">
        <f>SUM(D587:D742)</f>
        <v>653581.44362689892</v>
      </c>
      <c r="E744" s="331"/>
      <c r="F744" s="331"/>
      <c r="G744" s="331"/>
      <c r="H744" s="331"/>
      <c r="I744" s="331"/>
      <c r="J744" s="331"/>
      <c r="K744" s="331"/>
      <c r="L744" s="331"/>
      <c r="M744" s="331"/>
      <c r="N744" s="331"/>
      <c r="O744" s="331">
        <f>SUM(O587:O742)</f>
        <v>90.810792972469045</v>
      </c>
      <c r="P744" s="331"/>
      <c r="Q744" s="331"/>
      <c r="R744" s="331"/>
      <c r="S744" s="331"/>
      <c r="T744" s="331"/>
      <c r="U744" s="331"/>
      <c r="V744" s="331"/>
      <c r="W744" s="331"/>
      <c r="X744" s="331"/>
      <c r="Y744" s="331">
        <f>IF(Y585="kWh",SUMPRODUCT(D587:D742,Y587:Y742))</f>
        <v>384114.1804640257</v>
      </c>
      <c r="Z744" s="331">
        <f>IF(Z585="kWh",SUMPRODUCT(D587:D742,Z587:Z742))</f>
        <v>24544.112735547347</v>
      </c>
      <c r="AA744" s="331">
        <f>IF(AA585="kw",SUMPRODUCT(N587:N742,O587:O742,AA587:AA742),SUMPRODUCT(D587:D742,AA587:AA742))</f>
        <v>524.04052922977621</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hidden="1">
      <c r="B745" s="393" t="s">
        <v>314</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1345003</v>
      </c>
      <c r="Z745" s="394">
        <f>HLOOKUP(Z401,'2. LRAMVA Threshold'!$B$42:$Q$53,10,FALSE)</f>
        <v>543085</v>
      </c>
      <c r="AA745" s="394">
        <f>HLOOKUP(AA401,'2. LRAMVA Threshold'!$B$42:$Q$53,10,FALSE)</f>
        <v>10671</v>
      </c>
      <c r="AB745" s="394">
        <f>HLOOKUP(AB401,'2. LRAMVA Threshold'!$B$42:$Q$53,10,FALSE)</f>
        <v>196</v>
      </c>
      <c r="AC745" s="394">
        <f>HLOOKUP(AC401,'2. LRAMVA Threshold'!$B$42:$Q$53,10,FALSE)</f>
        <v>4684</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hidden="1">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hidden="1">
      <c r="B747" s="326" t="s">
        <v>315</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7.1000000000000004E-3</v>
      </c>
      <c r="Z747" s="343">
        <f>HLOOKUP(Z$35,'3.  Distribution Rates'!$C$122:$P$133,10,FALSE)</f>
        <v>1.41E-2</v>
      </c>
      <c r="AA747" s="343">
        <f>HLOOKUP(AA$35,'3.  Distribution Rates'!$C$122:$P$133,10,FALSE)</f>
        <v>3.3248000000000002</v>
      </c>
      <c r="AB747" s="343">
        <f>HLOOKUP(AB$35,'3.  Distribution Rates'!$C$122:$P$133,10,FALSE)</f>
        <v>15.6023</v>
      </c>
      <c r="AC747" s="343">
        <f>HLOOKUP(AC$35,'3.  Distribution Rates'!$C$122:$P$133,10,FALSE)</f>
        <v>1.2200000000000001E-2</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hidden="1">
      <c r="B748" s="326" t="s">
        <v>316</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1069.4906140768419</v>
      </c>
      <c r="Z748" s="380">
        <f>'4.  2011-2014 LRAM'!Z141*Z747</f>
        <v>2400.3114455869818</v>
      </c>
      <c r="AA748" s="380">
        <f>'4.  2011-2014 LRAM'!AA141*AA747</f>
        <v>1741.8095232000001</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29">
        <f t="shared" ref="AM748:AM755" si="2287">SUM(Y748:AL748)</f>
        <v>5211.6115828638231</v>
      </c>
      <c r="AN748" s="445"/>
    </row>
    <row r="749" spans="1:40" hidden="1">
      <c r="B749" s="326" t="s">
        <v>317</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718.27966078777411</v>
      </c>
      <c r="Z749" s="380">
        <f>'4.  2011-2014 LRAM'!Z270*Z747</f>
        <v>15398.480413790794</v>
      </c>
      <c r="AA749" s="380">
        <f>'4.  2011-2014 LRAM'!AA270*AA747</f>
        <v>1433.3709161822674</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29">
        <f t="shared" si="2287"/>
        <v>17550.130990760834</v>
      </c>
      <c r="AN749" s="445"/>
    </row>
    <row r="750" spans="1:40" hidden="1">
      <c r="B750" s="326" t="s">
        <v>318</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999.75778777509925</v>
      </c>
      <c r="Z750" s="380">
        <f>'4.  2011-2014 LRAM'!Z399*Z747</f>
        <v>15270.815036850703</v>
      </c>
      <c r="AA750" s="380">
        <f>'4.  2011-2014 LRAM'!AA399*AA747</f>
        <v>869.56555908875862</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29">
        <f t="shared" si="2287"/>
        <v>17140.138383714562</v>
      </c>
      <c r="AN750" s="445"/>
    </row>
    <row r="751" spans="1:40" hidden="1">
      <c r="B751" s="326" t="s">
        <v>319</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3743.2717277376842</v>
      </c>
      <c r="Z751" s="380">
        <f>'4.  2011-2014 LRAM'!Z529*Z747</f>
        <v>14355.576704607505</v>
      </c>
      <c r="AA751" s="380">
        <f>'4.  2011-2014 LRAM'!AA529*AA747</f>
        <v>756.48510596389201</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29">
        <f t="shared" si="2287"/>
        <v>18855.333538309082</v>
      </c>
      <c r="AN751" s="445"/>
    </row>
    <row r="752" spans="1:40" hidden="1">
      <c r="B752" s="326" t="s">
        <v>320</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88">Y210*Y747</f>
        <v>4101.3916487224833</v>
      </c>
      <c r="Z752" s="380">
        <f t="shared" si="2288"/>
        <v>14358.403623756391</v>
      </c>
      <c r="AA752" s="380">
        <f t="shared" si="2288"/>
        <v>2449.9480283784369</v>
      </c>
      <c r="AB752" s="380">
        <f t="shared" si="2288"/>
        <v>0</v>
      </c>
      <c r="AC752" s="380">
        <f t="shared" si="2288"/>
        <v>0</v>
      </c>
      <c r="AD752" s="380">
        <f t="shared" si="2288"/>
        <v>0</v>
      </c>
      <c r="AE752" s="380">
        <f t="shared" si="2288"/>
        <v>0</v>
      </c>
      <c r="AF752" s="380">
        <f t="shared" si="2288"/>
        <v>0</v>
      </c>
      <c r="AG752" s="380">
        <f t="shared" si="2288"/>
        <v>0</v>
      </c>
      <c r="AH752" s="380">
        <f t="shared" si="2288"/>
        <v>0</v>
      </c>
      <c r="AI752" s="380">
        <f t="shared" si="2288"/>
        <v>0</v>
      </c>
      <c r="AJ752" s="380">
        <f t="shared" si="2288"/>
        <v>0</v>
      </c>
      <c r="AK752" s="380">
        <f t="shared" si="2288"/>
        <v>0</v>
      </c>
      <c r="AL752" s="380">
        <f t="shared" si="2288"/>
        <v>0</v>
      </c>
      <c r="AM752" s="629">
        <f t="shared" si="2287"/>
        <v>20909.74330085731</v>
      </c>
      <c r="AN752" s="445"/>
    </row>
    <row r="753" spans="1:40" hidden="1">
      <c r="B753" s="326" t="s">
        <v>321</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89">Y393*Y747</f>
        <v>10843.083015649421</v>
      </c>
      <c r="Z753" s="380">
        <f t="shared" si="2289"/>
        <v>7110.6234259695275</v>
      </c>
      <c r="AA753" s="380">
        <f t="shared" si="2289"/>
        <v>3111.2228756548739</v>
      </c>
      <c r="AB753" s="380">
        <f t="shared" si="2289"/>
        <v>0</v>
      </c>
      <c r="AC753" s="380">
        <f t="shared" si="2289"/>
        <v>0</v>
      </c>
      <c r="AD753" s="380">
        <f t="shared" si="2289"/>
        <v>0</v>
      </c>
      <c r="AE753" s="380">
        <f t="shared" si="2289"/>
        <v>0</v>
      </c>
      <c r="AF753" s="380">
        <f t="shared" si="2289"/>
        <v>0</v>
      </c>
      <c r="AG753" s="380">
        <f t="shared" si="2289"/>
        <v>0</v>
      </c>
      <c r="AH753" s="380">
        <f t="shared" si="2289"/>
        <v>0</v>
      </c>
      <c r="AI753" s="380">
        <f t="shared" si="2289"/>
        <v>0</v>
      </c>
      <c r="AJ753" s="380">
        <f t="shared" si="2289"/>
        <v>0</v>
      </c>
      <c r="AK753" s="380">
        <f t="shared" si="2289"/>
        <v>0</v>
      </c>
      <c r="AL753" s="380">
        <f t="shared" si="2289"/>
        <v>0</v>
      </c>
      <c r="AM753" s="629">
        <f t="shared" si="2287"/>
        <v>21064.929317273825</v>
      </c>
      <c r="AN753" s="445"/>
    </row>
    <row r="754" spans="1:40" hidden="1">
      <c r="B754" s="326" t="s">
        <v>322</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90">Y576*Y747</f>
        <v>25652.385200000001</v>
      </c>
      <c r="Z754" s="380">
        <f t="shared" si="2290"/>
        <v>1628.2705858726883</v>
      </c>
      <c r="AA754" s="380">
        <f t="shared" si="2290"/>
        <v>12508.862431713353</v>
      </c>
      <c r="AB754" s="380">
        <f t="shared" si="2290"/>
        <v>40797.76492856913</v>
      </c>
      <c r="AC754" s="380">
        <f t="shared" si="2290"/>
        <v>0</v>
      </c>
      <c r="AD754" s="380">
        <f t="shared" si="2290"/>
        <v>0</v>
      </c>
      <c r="AE754" s="380">
        <f t="shared" si="2290"/>
        <v>0</v>
      </c>
      <c r="AF754" s="380">
        <f t="shared" si="2290"/>
        <v>0</v>
      </c>
      <c r="AG754" s="380">
        <f t="shared" si="2290"/>
        <v>0</v>
      </c>
      <c r="AH754" s="380">
        <f t="shared" si="2290"/>
        <v>0</v>
      </c>
      <c r="AI754" s="380">
        <f t="shared" si="2290"/>
        <v>0</v>
      </c>
      <c r="AJ754" s="380">
        <f t="shared" si="2290"/>
        <v>0</v>
      </c>
      <c r="AK754" s="380">
        <f t="shared" si="2290"/>
        <v>0</v>
      </c>
      <c r="AL754" s="380">
        <f t="shared" si="2290"/>
        <v>0</v>
      </c>
      <c r="AM754" s="629">
        <f t="shared" si="2287"/>
        <v>80587.283146155169</v>
      </c>
      <c r="AN754" s="445"/>
    </row>
    <row r="755" spans="1:40" hidden="1">
      <c r="B755" s="326" t="s">
        <v>323</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2727.2106812945826</v>
      </c>
      <c r="Z755" s="380">
        <f t="shared" ref="Z755:AL755" si="2291">Z744*Z747</f>
        <v>346.07198957121761</v>
      </c>
      <c r="AA755" s="380">
        <f t="shared" si="2291"/>
        <v>1742.32995158316</v>
      </c>
      <c r="AB755" s="380">
        <f t="shared" si="2291"/>
        <v>0</v>
      </c>
      <c r="AC755" s="380">
        <f t="shared" si="2291"/>
        <v>0</v>
      </c>
      <c r="AD755" s="380">
        <f t="shared" si="2291"/>
        <v>0</v>
      </c>
      <c r="AE755" s="380">
        <f t="shared" si="2291"/>
        <v>0</v>
      </c>
      <c r="AF755" s="380">
        <f t="shared" si="2291"/>
        <v>0</v>
      </c>
      <c r="AG755" s="380">
        <f t="shared" si="2291"/>
        <v>0</v>
      </c>
      <c r="AH755" s="380">
        <f t="shared" si="2291"/>
        <v>0</v>
      </c>
      <c r="AI755" s="380">
        <f t="shared" si="2291"/>
        <v>0</v>
      </c>
      <c r="AJ755" s="380">
        <f t="shared" si="2291"/>
        <v>0</v>
      </c>
      <c r="AK755" s="380">
        <f t="shared" si="2291"/>
        <v>0</v>
      </c>
      <c r="AL755" s="380">
        <f t="shared" si="2291"/>
        <v>0</v>
      </c>
      <c r="AM755" s="629">
        <f t="shared" si="2287"/>
        <v>4815.6126224489599</v>
      </c>
      <c r="AN755" s="445"/>
    </row>
    <row r="756" spans="1:40" ht="15.75" hidden="1">
      <c r="B756" s="351" t="s">
        <v>324</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49854.870336043896</v>
      </c>
      <c r="Z756" s="348">
        <f t="shared" ref="Z756:AE756" si="2292">SUM(Z748:Z755)</f>
        <v>70868.55322600581</v>
      </c>
      <c r="AA756" s="348">
        <f t="shared" si="2292"/>
        <v>24613.594391764742</v>
      </c>
      <c r="AB756" s="348">
        <f t="shared" si="2292"/>
        <v>40797.76492856913</v>
      </c>
      <c r="AC756" s="348">
        <f t="shared" si="2292"/>
        <v>0</v>
      </c>
      <c r="AD756" s="348">
        <f t="shared" si="2292"/>
        <v>0</v>
      </c>
      <c r="AE756" s="348">
        <f t="shared" si="2292"/>
        <v>0</v>
      </c>
      <c r="AF756" s="348">
        <f t="shared" ref="AF756:AL756" si="2293">SUM(AF748:AF755)</f>
        <v>0</v>
      </c>
      <c r="AG756" s="348">
        <f t="shared" si="2293"/>
        <v>0</v>
      </c>
      <c r="AH756" s="348">
        <f t="shared" si="2293"/>
        <v>0</v>
      </c>
      <c r="AI756" s="348">
        <f t="shared" si="2293"/>
        <v>0</v>
      </c>
      <c r="AJ756" s="348">
        <f t="shared" si="2293"/>
        <v>0</v>
      </c>
      <c r="AK756" s="348">
        <f t="shared" si="2293"/>
        <v>0</v>
      </c>
      <c r="AL756" s="348">
        <f t="shared" si="2293"/>
        <v>0</v>
      </c>
      <c r="AM756" s="409">
        <f>SUM(AM748:AM755)</f>
        <v>186134.78288238359</v>
      </c>
      <c r="AN756" s="445"/>
    </row>
    <row r="757" spans="1:40" ht="15.75" hidden="1">
      <c r="B757" s="351" t="s">
        <v>325</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9549.5213000000003</v>
      </c>
      <c r="Z757" s="349">
        <f t="shared" ref="Z757:AE757" si="2294">Z745*Z747</f>
        <v>7657.4984999999997</v>
      </c>
      <c r="AA757" s="349">
        <f t="shared" si="2294"/>
        <v>35478.940800000004</v>
      </c>
      <c r="AB757" s="349">
        <f t="shared" si="2294"/>
        <v>3058.0508</v>
      </c>
      <c r="AC757" s="349">
        <f t="shared" si="2294"/>
        <v>57.144800000000004</v>
      </c>
      <c r="AD757" s="349">
        <f t="shared" si="2294"/>
        <v>0</v>
      </c>
      <c r="AE757" s="349">
        <f t="shared" si="2294"/>
        <v>0</v>
      </c>
      <c r="AF757" s="349">
        <f t="shared" ref="AF757:AL757" si="2295">AF745*AF747</f>
        <v>0</v>
      </c>
      <c r="AG757" s="349">
        <f t="shared" si="2295"/>
        <v>0</v>
      </c>
      <c r="AH757" s="349">
        <f t="shared" si="2295"/>
        <v>0</v>
      </c>
      <c r="AI757" s="349">
        <f t="shared" si="2295"/>
        <v>0</v>
      </c>
      <c r="AJ757" s="349">
        <f t="shared" si="2295"/>
        <v>0</v>
      </c>
      <c r="AK757" s="349">
        <f t="shared" si="2295"/>
        <v>0</v>
      </c>
      <c r="AL757" s="349">
        <f t="shared" si="2295"/>
        <v>0</v>
      </c>
      <c r="AM757" s="409">
        <f>SUM(Y757:AL757)</f>
        <v>55801.156200000005</v>
      </c>
      <c r="AN757" s="445"/>
    </row>
    <row r="758" spans="1:40" ht="15.75" hidden="1">
      <c r="B758" s="351" t="s">
        <v>326</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130333.62668238359</v>
      </c>
      <c r="AN758" s="445"/>
    </row>
    <row r="759" spans="1:40" hidden="1">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hidden="1">
      <c r="B760" s="441" t="s">
        <v>327</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322116.49729319022</v>
      </c>
      <c r="Z760" s="293">
        <f>SUMPRODUCT(E587:E742,Z587:Z742)</f>
        <v>24544.112735547347</v>
      </c>
      <c r="AA760" s="293">
        <f t="shared" ref="AA760:AL760" si="2296">IF(AA585="kw",SUMPRODUCT($N$587:$N$742,$P$587:$P$742,AA587:AA742),SUMPRODUCT($E$587:$E$742,AA587:AA742))</f>
        <v>540.22104750587505</v>
      </c>
      <c r="AB760" s="293">
        <f t="shared" si="2296"/>
        <v>0</v>
      </c>
      <c r="AC760" s="293">
        <f t="shared" si="2296"/>
        <v>0</v>
      </c>
      <c r="AD760" s="293">
        <f t="shared" si="2296"/>
        <v>0</v>
      </c>
      <c r="AE760" s="293">
        <f t="shared" si="2296"/>
        <v>0</v>
      </c>
      <c r="AF760" s="293">
        <f t="shared" si="2296"/>
        <v>0</v>
      </c>
      <c r="AG760" s="293">
        <f t="shared" si="2296"/>
        <v>0</v>
      </c>
      <c r="AH760" s="293">
        <f t="shared" si="2296"/>
        <v>0</v>
      </c>
      <c r="AI760" s="293">
        <f t="shared" si="2296"/>
        <v>0</v>
      </c>
      <c r="AJ760" s="293">
        <f t="shared" si="2296"/>
        <v>0</v>
      </c>
      <c r="AK760" s="293">
        <f t="shared" si="2296"/>
        <v>0</v>
      </c>
      <c r="AL760" s="293">
        <f t="shared" si="2296"/>
        <v>0</v>
      </c>
      <c r="AM760" s="339"/>
    </row>
    <row r="761" spans="1:40" hidden="1">
      <c r="B761" s="442" t="s">
        <v>328</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322116.49729319022</v>
      </c>
      <c r="Z761" s="328">
        <f>SUMPRODUCT(F587:F742,Z587:Z742)</f>
        <v>23297.316714055421</v>
      </c>
      <c r="AA761" s="328">
        <f t="shared" ref="AA761:AL761" si="2297">IF(AA585="kw",SUMPRODUCT($N$587:$N$742,$Q$587:$Q$742,AA587:AA742),SUMPRODUCT($F$587:$F$742,AA587:AA742))</f>
        <v>540.22104750587505</v>
      </c>
      <c r="AB761" s="328">
        <f t="shared" si="2297"/>
        <v>0</v>
      </c>
      <c r="AC761" s="328">
        <f t="shared" si="2297"/>
        <v>0</v>
      </c>
      <c r="AD761" s="328">
        <f t="shared" si="2297"/>
        <v>0</v>
      </c>
      <c r="AE761" s="328">
        <f t="shared" si="2297"/>
        <v>0</v>
      </c>
      <c r="AF761" s="328">
        <f t="shared" si="2297"/>
        <v>0</v>
      </c>
      <c r="AG761" s="328">
        <f t="shared" si="2297"/>
        <v>0</v>
      </c>
      <c r="AH761" s="328">
        <f t="shared" si="2297"/>
        <v>0</v>
      </c>
      <c r="AI761" s="328">
        <f t="shared" si="2297"/>
        <v>0</v>
      </c>
      <c r="AJ761" s="328">
        <f t="shared" si="2297"/>
        <v>0</v>
      </c>
      <c r="AK761" s="328">
        <f t="shared" si="2297"/>
        <v>0</v>
      </c>
      <c r="AL761" s="328">
        <f t="shared" si="2297"/>
        <v>0</v>
      </c>
      <c r="AM761" s="388"/>
    </row>
    <row r="762" spans="1:40" ht="20.25" hidden="1" customHeight="1">
      <c r="B762" s="370" t="s">
        <v>594</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3" spans="1:40" hidden="1"/>
    <row r="764" spans="1:40" hidden="1"/>
    <row r="765" spans="1:40" ht="15.75" hidden="1">
      <c r="B765" s="282" t="s">
        <v>329</v>
      </c>
      <c r="C765" s="283"/>
      <c r="D765" s="590" t="s">
        <v>530</v>
      </c>
      <c r="E765" s="255"/>
      <c r="F765" s="590"/>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hidden="1" customHeight="1">
      <c r="B766" s="868" t="s">
        <v>212</v>
      </c>
      <c r="C766" s="870" t="s">
        <v>33</v>
      </c>
      <c r="D766" s="286" t="s">
        <v>425</v>
      </c>
      <c r="E766" s="872" t="s">
        <v>210</v>
      </c>
      <c r="F766" s="873"/>
      <c r="G766" s="873"/>
      <c r="H766" s="873"/>
      <c r="I766" s="873"/>
      <c r="J766" s="873"/>
      <c r="K766" s="873"/>
      <c r="L766" s="873"/>
      <c r="M766" s="874"/>
      <c r="N766" s="878" t="s">
        <v>214</v>
      </c>
      <c r="O766" s="286" t="s">
        <v>426</v>
      </c>
      <c r="P766" s="872" t="s">
        <v>213</v>
      </c>
      <c r="Q766" s="873"/>
      <c r="R766" s="873"/>
      <c r="S766" s="873"/>
      <c r="T766" s="873"/>
      <c r="U766" s="873"/>
      <c r="V766" s="873"/>
      <c r="W766" s="873"/>
      <c r="X766" s="874"/>
      <c r="Y766" s="875" t="s">
        <v>245</v>
      </c>
      <c r="Z766" s="876"/>
      <c r="AA766" s="876"/>
      <c r="AB766" s="876"/>
      <c r="AC766" s="876"/>
      <c r="AD766" s="876"/>
      <c r="AE766" s="876"/>
      <c r="AF766" s="876"/>
      <c r="AG766" s="876"/>
      <c r="AH766" s="876"/>
      <c r="AI766" s="876"/>
      <c r="AJ766" s="876"/>
      <c r="AK766" s="876"/>
      <c r="AL766" s="876"/>
      <c r="AM766" s="877"/>
    </row>
    <row r="767" spans="1:40" ht="65.25" hidden="1" customHeight="1">
      <c r="B767" s="869"/>
      <c r="C767" s="871"/>
      <c r="D767" s="287">
        <v>2019</v>
      </c>
      <c r="E767" s="287">
        <v>2020</v>
      </c>
      <c r="F767" s="287">
        <v>2021</v>
      </c>
      <c r="G767" s="287">
        <v>2022</v>
      </c>
      <c r="H767" s="287">
        <v>2023</v>
      </c>
      <c r="I767" s="287">
        <v>2024</v>
      </c>
      <c r="J767" s="287">
        <v>2025</v>
      </c>
      <c r="K767" s="287">
        <v>2026</v>
      </c>
      <c r="L767" s="287">
        <v>2027</v>
      </c>
      <c r="M767" s="287">
        <v>2028</v>
      </c>
      <c r="N767" s="879"/>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GS&gt;50 kW</v>
      </c>
      <c r="AB767" s="287" t="str">
        <f>'1.  LRAMVA Summary'!G50</f>
        <v>Streetlights</v>
      </c>
      <c r="AC767" s="287" t="str">
        <f>'1.  LRAMVA Summary'!H50</f>
        <v>Unmetered Scattered Load</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hidden="1" customHeight="1">
      <c r="A768" s="532"/>
      <c r="B768" s="518" t="s">
        <v>507</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v>
      </c>
      <c r="AC768" s="293" t="str">
        <f>'1.  LRAMVA Summary'!H51</f>
        <v>KWh</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2"/>
      <c r="B769" s="504" t="s">
        <v>500</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2">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2"/>
      <c r="B771" s="296" t="s">
        <v>344</v>
      </c>
      <c r="C771" s="293" t="s">
        <v>164</v>
      </c>
      <c r="D771" s="297"/>
      <c r="E771" s="297"/>
      <c r="F771" s="297"/>
      <c r="G771" s="297"/>
      <c r="H771" s="297"/>
      <c r="I771" s="297"/>
      <c r="J771" s="297"/>
      <c r="K771" s="297"/>
      <c r="L771" s="297"/>
      <c r="M771" s="297"/>
      <c r="N771" s="469"/>
      <c r="O771" s="297"/>
      <c r="P771" s="297"/>
      <c r="Q771" s="297"/>
      <c r="R771" s="297"/>
      <c r="S771" s="297"/>
      <c r="T771" s="297"/>
      <c r="U771" s="297"/>
      <c r="V771" s="297"/>
      <c r="W771" s="297"/>
      <c r="X771" s="297"/>
      <c r="Y771" s="413">
        <f>Y770</f>
        <v>0</v>
      </c>
      <c r="Z771" s="413">
        <f t="shared" ref="Z771" si="2298">Z770</f>
        <v>0</v>
      </c>
      <c r="AA771" s="413">
        <f t="shared" ref="AA771" si="2299">AA770</f>
        <v>0</v>
      </c>
      <c r="AB771" s="413">
        <f t="shared" ref="AB771" si="2300">AB770</f>
        <v>0</v>
      </c>
      <c r="AC771" s="413">
        <f t="shared" ref="AC771" si="2301">AC770</f>
        <v>0</v>
      </c>
      <c r="AD771" s="413">
        <f t="shared" ref="AD771" si="2302">AD770</f>
        <v>0</v>
      </c>
      <c r="AE771" s="413">
        <f t="shared" ref="AE771" si="2303">AE770</f>
        <v>0</v>
      </c>
      <c r="AF771" s="413">
        <f t="shared" ref="AF771" si="2304">AF770</f>
        <v>0</v>
      </c>
      <c r="AG771" s="413">
        <f t="shared" ref="AG771" si="2305">AG770</f>
        <v>0</v>
      </c>
      <c r="AH771" s="413">
        <f t="shared" ref="AH771" si="2306">AH770</f>
        <v>0</v>
      </c>
      <c r="AI771" s="413">
        <f t="shared" ref="AI771" si="2307">AI770</f>
        <v>0</v>
      </c>
      <c r="AJ771" s="413">
        <f t="shared" ref="AJ771" si="2308">AJ770</f>
        <v>0</v>
      </c>
      <c r="AK771" s="413">
        <f t="shared" ref="AK771" si="2309">AK770</f>
        <v>0</v>
      </c>
      <c r="AL771" s="413">
        <f t="shared" ref="AL771" si="2310">AL770</f>
        <v>0</v>
      </c>
      <c r="AM771" s="299"/>
    </row>
    <row r="772" spans="1:39" ht="15.75" hidden="1" outlineLevel="1">
      <c r="A772" s="532"/>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2">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2"/>
      <c r="B774" s="296" t="s">
        <v>344</v>
      </c>
      <c r="C774" s="293" t="s">
        <v>164</v>
      </c>
      <c r="D774" s="297"/>
      <c r="E774" s="297"/>
      <c r="F774" s="297"/>
      <c r="G774" s="297"/>
      <c r="H774" s="297"/>
      <c r="I774" s="297"/>
      <c r="J774" s="297"/>
      <c r="K774" s="297"/>
      <c r="L774" s="297"/>
      <c r="M774" s="297"/>
      <c r="N774" s="469"/>
      <c r="O774" s="297"/>
      <c r="P774" s="297"/>
      <c r="Q774" s="297"/>
      <c r="R774" s="297"/>
      <c r="S774" s="297"/>
      <c r="T774" s="297"/>
      <c r="U774" s="297"/>
      <c r="V774" s="297"/>
      <c r="W774" s="297"/>
      <c r="X774" s="297"/>
      <c r="Y774" s="413">
        <f>Y773</f>
        <v>0</v>
      </c>
      <c r="Z774" s="413">
        <f t="shared" ref="Z774" si="2311">Z773</f>
        <v>0</v>
      </c>
      <c r="AA774" s="413">
        <f t="shared" ref="AA774" si="2312">AA773</f>
        <v>0</v>
      </c>
      <c r="AB774" s="413">
        <f t="shared" ref="AB774" si="2313">AB773</f>
        <v>0</v>
      </c>
      <c r="AC774" s="413">
        <f t="shared" ref="AC774" si="2314">AC773</f>
        <v>0</v>
      </c>
      <c r="AD774" s="413">
        <f t="shared" ref="AD774" si="2315">AD773</f>
        <v>0</v>
      </c>
      <c r="AE774" s="413">
        <f t="shared" ref="AE774" si="2316">AE773</f>
        <v>0</v>
      </c>
      <c r="AF774" s="413">
        <f t="shared" ref="AF774" si="2317">AF773</f>
        <v>0</v>
      </c>
      <c r="AG774" s="413">
        <f t="shared" ref="AG774" si="2318">AG773</f>
        <v>0</v>
      </c>
      <c r="AH774" s="413">
        <f t="shared" ref="AH774" si="2319">AH773</f>
        <v>0</v>
      </c>
      <c r="AI774" s="413">
        <f t="shared" ref="AI774" si="2320">AI773</f>
        <v>0</v>
      </c>
      <c r="AJ774" s="413">
        <f t="shared" ref="AJ774" si="2321">AJ773</f>
        <v>0</v>
      </c>
      <c r="AK774" s="413">
        <f t="shared" ref="AK774" si="2322">AK773</f>
        <v>0</v>
      </c>
      <c r="AL774" s="413">
        <f t="shared" ref="AL774" si="2323">AL773</f>
        <v>0</v>
      </c>
      <c r="AM774" s="299"/>
    </row>
    <row r="775" spans="1:39" ht="15.75" hidden="1" outlineLevel="1">
      <c r="A775" s="532"/>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2">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2"/>
      <c r="B777" s="296" t="s">
        <v>344</v>
      </c>
      <c r="C777" s="293" t="s">
        <v>164</v>
      </c>
      <c r="D777" s="297"/>
      <c r="E777" s="297"/>
      <c r="F777" s="297"/>
      <c r="G777" s="297"/>
      <c r="H777" s="297"/>
      <c r="I777" s="297"/>
      <c r="J777" s="297"/>
      <c r="K777" s="297"/>
      <c r="L777" s="297"/>
      <c r="M777" s="297"/>
      <c r="N777" s="469"/>
      <c r="O777" s="297"/>
      <c r="P777" s="297"/>
      <c r="Q777" s="297"/>
      <c r="R777" s="297"/>
      <c r="S777" s="297"/>
      <c r="T777" s="297"/>
      <c r="U777" s="297"/>
      <c r="V777" s="297"/>
      <c r="W777" s="297"/>
      <c r="X777" s="297"/>
      <c r="Y777" s="413">
        <f>Y776</f>
        <v>0</v>
      </c>
      <c r="Z777" s="413">
        <f t="shared" ref="Z777" si="2324">Z776</f>
        <v>0</v>
      </c>
      <c r="AA777" s="413">
        <f t="shared" ref="AA777" si="2325">AA776</f>
        <v>0</v>
      </c>
      <c r="AB777" s="413">
        <f t="shared" ref="AB777" si="2326">AB776</f>
        <v>0</v>
      </c>
      <c r="AC777" s="413">
        <f t="shared" ref="AC777" si="2327">AC776</f>
        <v>0</v>
      </c>
      <c r="AD777" s="413">
        <f t="shared" ref="AD777" si="2328">AD776</f>
        <v>0</v>
      </c>
      <c r="AE777" s="413">
        <f t="shared" ref="AE777" si="2329">AE776</f>
        <v>0</v>
      </c>
      <c r="AF777" s="413">
        <f t="shared" ref="AF777" si="2330">AF776</f>
        <v>0</v>
      </c>
      <c r="AG777" s="413">
        <f t="shared" ref="AG777" si="2331">AG776</f>
        <v>0</v>
      </c>
      <c r="AH777" s="413">
        <f t="shared" ref="AH777" si="2332">AH776</f>
        <v>0</v>
      </c>
      <c r="AI777" s="413">
        <f t="shared" ref="AI777" si="2333">AI776</f>
        <v>0</v>
      </c>
      <c r="AJ777" s="413">
        <f t="shared" ref="AJ777" si="2334">AJ776</f>
        <v>0</v>
      </c>
      <c r="AK777" s="413">
        <f t="shared" ref="AK777" si="2335">AK776</f>
        <v>0</v>
      </c>
      <c r="AL777" s="413">
        <f t="shared" ref="AL777" si="2336">AL776</f>
        <v>0</v>
      </c>
      <c r="AM777" s="299"/>
    </row>
    <row r="778" spans="1:39" hidden="1" outlineLevel="1">
      <c r="A778" s="532"/>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2">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2"/>
      <c r="B780" s="296" t="s">
        <v>344</v>
      </c>
      <c r="C780" s="293" t="s">
        <v>164</v>
      </c>
      <c r="D780" s="297"/>
      <c r="E780" s="297"/>
      <c r="F780" s="297"/>
      <c r="G780" s="297"/>
      <c r="H780" s="297"/>
      <c r="I780" s="297"/>
      <c r="J780" s="297"/>
      <c r="K780" s="297"/>
      <c r="L780" s="297"/>
      <c r="M780" s="297"/>
      <c r="N780" s="469"/>
      <c r="O780" s="297"/>
      <c r="P780" s="297"/>
      <c r="Q780" s="297"/>
      <c r="R780" s="297"/>
      <c r="S780" s="297"/>
      <c r="T780" s="297"/>
      <c r="U780" s="297"/>
      <c r="V780" s="297"/>
      <c r="W780" s="297"/>
      <c r="X780" s="297"/>
      <c r="Y780" s="413">
        <f>Y779</f>
        <v>0</v>
      </c>
      <c r="Z780" s="413">
        <f t="shared" ref="Z780" si="2337">Z779</f>
        <v>0</v>
      </c>
      <c r="AA780" s="413">
        <f t="shared" ref="AA780" si="2338">AA779</f>
        <v>0</v>
      </c>
      <c r="AB780" s="413">
        <f t="shared" ref="AB780" si="2339">AB779</f>
        <v>0</v>
      </c>
      <c r="AC780" s="413">
        <f t="shared" ref="AC780" si="2340">AC779</f>
        <v>0</v>
      </c>
      <c r="AD780" s="413">
        <f t="shared" ref="AD780" si="2341">AD779</f>
        <v>0</v>
      </c>
      <c r="AE780" s="413">
        <f t="shared" ref="AE780" si="2342">AE779</f>
        <v>0</v>
      </c>
      <c r="AF780" s="413">
        <f t="shared" ref="AF780" si="2343">AF779</f>
        <v>0</v>
      </c>
      <c r="AG780" s="413">
        <f t="shared" ref="AG780" si="2344">AG779</f>
        <v>0</v>
      </c>
      <c r="AH780" s="413">
        <f t="shared" ref="AH780" si="2345">AH779</f>
        <v>0</v>
      </c>
      <c r="AI780" s="413">
        <f t="shared" ref="AI780" si="2346">AI779</f>
        <v>0</v>
      </c>
      <c r="AJ780" s="413">
        <f t="shared" ref="AJ780" si="2347">AJ779</f>
        <v>0</v>
      </c>
      <c r="AK780" s="413">
        <f t="shared" ref="AK780" si="2348">AK779</f>
        <v>0</v>
      </c>
      <c r="AL780" s="413">
        <f t="shared" ref="AL780" si="2349">AL779</f>
        <v>0</v>
      </c>
      <c r="AM780" s="299"/>
    </row>
    <row r="781" spans="1:39" hidden="1" outlineLevel="1">
      <c r="A781" s="532"/>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2">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2"/>
      <c r="B783" s="296" t="s">
        <v>344</v>
      </c>
      <c r="C783" s="293" t="s">
        <v>164</v>
      </c>
      <c r="D783" s="297"/>
      <c r="E783" s="297"/>
      <c r="F783" s="297"/>
      <c r="G783" s="297"/>
      <c r="H783" s="297"/>
      <c r="I783" s="297"/>
      <c r="J783" s="297"/>
      <c r="K783" s="297"/>
      <c r="L783" s="297"/>
      <c r="M783" s="297"/>
      <c r="N783" s="469"/>
      <c r="O783" s="297"/>
      <c r="P783" s="297"/>
      <c r="Q783" s="297"/>
      <c r="R783" s="297"/>
      <c r="S783" s="297"/>
      <c r="T783" s="297"/>
      <c r="U783" s="297"/>
      <c r="V783" s="297"/>
      <c r="W783" s="297"/>
      <c r="X783" s="297"/>
      <c r="Y783" s="413">
        <f>Y782</f>
        <v>0</v>
      </c>
      <c r="Z783" s="413">
        <f t="shared" ref="Z783" si="2350">Z782</f>
        <v>0</v>
      </c>
      <c r="AA783" s="413">
        <f t="shared" ref="AA783" si="2351">AA782</f>
        <v>0</v>
      </c>
      <c r="AB783" s="413">
        <f t="shared" ref="AB783" si="2352">AB782</f>
        <v>0</v>
      </c>
      <c r="AC783" s="413">
        <f t="shared" ref="AC783" si="2353">AC782</f>
        <v>0</v>
      </c>
      <c r="AD783" s="413">
        <f t="shared" ref="AD783" si="2354">AD782</f>
        <v>0</v>
      </c>
      <c r="AE783" s="413">
        <f t="shared" ref="AE783" si="2355">AE782</f>
        <v>0</v>
      </c>
      <c r="AF783" s="413">
        <f t="shared" ref="AF783" si="2356">AF782</f>
        <v>0</v>
      </c>
      <c r="AG783" s="413">
        <f t="shared" ref="AG783" si="2357">AG782</f>
        <v>0</v>
      </c>
      <c r="AH783" s="413">
        <f t="shared" ref="AH783" si="2358">AH782</f>
        <v>0</v>
      </c>
      <c r="AI783" s="413">
        <f t="shared" ref="AI783" si="2359">AI782</f>
        <v>0</v>
      </c>
      <c r="AJ783" s="413">
        <f t="shared" ref="AJ783" si="2360">AJ782</f>
        <v>0</v>
      </c>
      <c r="AK783" s="413">
        <f t="shared" ref="AK783" si="2361">AK782</f>
        <v>0</v>
      </c>
      <c r="AL783" s="413">
        <f t="shared" ref="AL783" si="2362">AL782</f>
        <v>0</v>
      </c>
      <c r="AM783" s="299"/>
    </row>
    <row r="784" spans="1:39" hidden="1" outlineLevel="1">
      <c r="A784" s="532"/>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2"/>
      <c r="B785" s="321" t="s">
        <v>501</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2">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2"/>
      <c r="B787" s="296" t="s">
        <v>344</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63">Z786</f>
        <v>0</v>
      </c>
      <c r="AA787" s="413">
        <f t="shared" ref="AA787" si="2364">AA786</f>
        <v>0</v>
      </c>
      <c r="AB787" s="413">
        <f t="shared" ref="AB787" si="2365">AB786</f>
        <v>0</v>
      </c>
      <c r="AC787" s="413">
        <f t="shared" ref="AC787" si="2366">AC786</f>
        <v>0</v>
      </c>
      <c r="AD787" s="413">
        <f t="shared" ref="AD787" si="2367">AD786</f>
        <v>0</v>
      </c>
      <c r="AE787" s="413">
        <f t="shared" ref="AE787" si="2368">AE786</f>
        <v>0</v>
      </c>
      <c r="AF787" s="413">
        <f t="shared" ref="AF787" si="2369">AF786</f>
        <v>0</v>
      </c>
      <c r="AG787" s="413">
        <f t="shared" ref="AG787" si="2370">AG786</f>
        <v>0</v>
      </c>
      <c r="AH787" s="413">
        <f t="shared" ref="AH787" si="2371">AH786</f>
        <v>0</v>
      </c>
      <c r="AI787" s="413">
        <f t="shared" ref="AI787" si="2372">AI786</f>
        <v>0</v>
      </c>
      <c r="AJ787" s="413">
        <f t="shared" ref="AJ787" si="2373">AJ786</f>
        <v>0</v>
      </c>
      <c r="AK787" s="413">
        <f t="shared" ref="AK787" si="2374">AK786</f>
        <v>0</v>
      </c>
      <c r="AL787" s="413">
        <f t="shared" ref="AL787" si="2375">AL786</f>
        <v>0</v>
      </c>
      <c r="AM787" s="313"/>
    </row>
    <row r="788" spans="1:39" hidden="1" outlineLevel="1">
      <c r="A788" s="532"/>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2">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2"/>
      <c r="B790" s="296" t="s">
        <v>344</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76">Z789</f>
        <v>0</v>
      </c>
      <c r="AA790" s="413">
        <f t="shared" ref="AA790" si="2377">AA789</f>
        <v>0</v>
      </c>
      <c r="AB790" s="413">
        <f t="shared" ref="AB790" si="2378">AB789</f>
        <v>0</v>
      </c>
      <c r="AC790" s="413">
        <f t="shared" ref="AC790" si="2379">AC789</f>
        <v>0</v>
      </c>
      <c r="AD790" s="413">
        <f t="shared" ref="AD790" si="2380">AD789</f>
        <v>0</v>
      </c>
      <c r="AE790" s="413">
        <f t="shared" ref="AE790" si="2381">AE789</f>
        <v>0</v>
      </c>
      <c r="AF790" s="413">
        <f t="shared" ref="AF790" si="2382">AF789</f>
        <v>0</v>
      </c>
      <c r="AG790" s="413">
        <f t="shared" ref="AG790" si="2383">AG789</f>
        <v>0</v>
      </c>
      <c r="AH790" s="413">
        <f t="shared" ref="AH790" si="2384">AH789</f>
        <v>0</v>
      </c>
      <c r="AI790" s="413">
        <f t="shared" ref="AI790" si="2385">AI789</f>
        <v>0</v>
      </c>
      <c r="AJ790" s="413">
        <f t="shared" ref="AJ790" si="2386">AJ789</f>
        <v>0</v>
      </c>
      <c r="AK790" s="413">
        <f t="shared" ref="AK790" si="2387">AK789</f>
        <v>0</v>
      </c>
      <c r="AL790" s="413">
        <f t="shared" ref="AL790" si="2388">AL789</f>
        <v>0</v>
      </c>
      <c r="AM790" s="313"/>
    </row>
    <row r="791" spans="1:39" hidden="1" outlineLevel="1">
      <c r="A791" s="532"/>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2">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2"/>
      <c r="B793" s="296" t="s">
        <v>344</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89">Z792</f>
        <v>0</v>
      </c>
      <c r="AA793" s="413">
        <f t="shared" ref="AA793" si="2390">AA792</f>
        <v>0</v>
      </c>
      <c r="AB793" s="413">
        <f t="shared" ref="AB793" si="2391">AB792</f>
        <v>0</v>
      </c>
      <c r="AC793" s="413">
        <f t="shared" ref="AC793" si="2392">AC792</f>
        <v>0</v>
      </c>
      <c r="AD793" s="413">
        <f t="shared" ref="AD793" si="2393">AD792</f>
        <v>0</v>
      </c>
      <c r="AE793" s="413">
        <f t="shared" ref="AE793" si="2394">AE792</f>
        <v>0</v>
      </c>
      <c r="AF793" s="413">
        <f t="shared" ref="AF793" si="2395">AF792</f>
        <v>0</v>
      </c>
      <c r="AG793" s="413">
        <f t="shared" ref="AG793" si="2396">AG792</f>
        <v>0</v>
      </c>
      <c r="AH793" s="413">
        <f t="shared" ref="AH793" si="2397">AH792</f>
        <v>0</v>
      </c>
      <c r="AI793" s="413">
        <f t="shared" ref="AI793" si="2398">AI792</f>
        <v>0</v>
      </c>
      <c r="AJ793" s="413">
        <f t="shared" ref="AJ793" si="2399">AJ792</f>
        <v>0</v>
      </c>
      <c r="AK793" s="413">
        <f t="shared" ref="AK793" si="2400">AK792</f>
        <v>0</v>
      </c>
      <c r="AL793" s="413">
        <f t="shared" ref="AL793" si="2401">AL792</f>
        <v>0</v>
      </c>
      <c r="AM793" s="313"/>
    </row>
    <row r="794" spans="1:39" hidden="1" outlineLevel="1">
      <c r="A794" s="532"/>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2">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2"/>
      <c r="B796" s="296" t="s">
        <v>344</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402">Z795</f>
        <v>0</v>
      </c>
      <c r="AA796" s="413">
        <f t="shared" ref="AA796" si="2403">AA795</f>
        <v>0</v>
      </c>
      <c r="AB796" s="413">
        <f t="shared" ref="AB796" si="2404">AB795</f>
        <v>0</v>
      </c>
      <c r="AC796" s="413">
        <f t="shared" ref="AC796" si="2405">AC795</f>
        <v>0</v>
      </c>
      <c r="AD796" s="413">
        <f t="shared" ref="AD796" si="2406">AD795</f>
        <v>0</v>
      </c>
      <c r="AE796" s="413">
        <f t="shared" ref="AE796" si="2407">AE795</f>
        <v>0</v>
      </c>
      <c r="AF796" s="413">
        <f t="shared" ref="AF796" si="2408">AF795</f>
        <v>0</v>
      </c>
      <c r="AG796" s="413">
        <f t="shared" ref="AG796" si="2409">AG795</f>
        <v>0</v>
      </c>
      <c r="AH796" s="413">
        <f t="shared" ref="AH796" si="2410">AH795</f>
        <v>0</v>
      </c>
      <c r="AI796" s="413">
        <f t="shared" ref="AI796" si="2411">AI795</f>
        <v>0</v>
      </c>
      <c r="AJ796" s="413">
        <f t="shared" ref="AJ796" si="2412">AJ795</f>
        <v>0</v>
      </c>
      <c r="AK796" s="413">
        <f t="shared" ref="AK796" si="2413">AK795</f>
        <v>0</v>
      </c>
      <c r="AL796" s="413">
        <f t="shared" ref="AL796" si="2414">AL795</f>
        <v>0</v>
      </c>
      <c r="AM796" s="313"/>
    </row>
    <row r="797" spans="1:39" hidden="1" outlineLevel="1">
      <c r="A797" s="532"/>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2">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2"/>
      <c r="B799" s="296" t="s">
        <v>344</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15">Z798</f>
        <v>0</v>
      </c>
      <c r="AA799" s="413">
        <f t="shared" ref="AA799" si="2416">AA798</f>
        <v>0</v>
      </c>
      <c r="AB799" s="413">
        <f t="shared" ref="AB799" si="2417">AB798</f>
        <v>0</v>
      </c>
      <c r="AC799" s="413">
        <f t="shared" ref="AC799" si="2418">AC798</f>
        <v>0</v>
      </c>
      <c r="AD799" s="413">
        <f t="shared" ref="AD799" si="2419">AD798</f>
        <v>0</v>
      </c>
      <c r="AE799" s="413">
        <f t="shared" ref="AE799" si="2420">AE798</f>
        <v>0</v>
      </c>
      <c r="AF799" s="413">
        <f t="shared" ref="AF799" si="2421">AF798</f>
        <v>0</v>
      </c>
      <c r="AG799" s="413">
        <f t="shared" ref="AG799" si="2422">AG798</f>
        <v>0</v>
      </c>
      <c r="AH799" s="413">
        <f t="shared" ref="AH799" si="2423">AH798</f>
        <v>0</v>
      </c>
      <c r="AI799" s="413">
        <f t="shared" ref="AI799" si="2424">AI798</f>
        <v>0</v>
      </c>
      <c r="AJ799" s="413">
        <f t="shared" ref="AJ799" si="2425">AJ798</f>
        <v>0</v>
      </c>
      <c r="AK799" s="413">
        <f t="shared" ref="AK799" si="2426">AK798</f>
        <v>0</v>
      </c>
      <c r="AL799" s="413">
        <f t="shared" ref="AL799" si="2427">AL798</f>
        <v>0</v>
      </c>
      <c r="AM799" s="313"/>
    </row>
    <row r="800" spans="1:39" hidden="1" outlineLevel="1">
      <c r="A800" s="532"/>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2"/>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2">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2"/>
      <c r="B803" s="296" t="s">
        <v>344</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28">Z802</f>
        <v>0</v>
      </c>
      <c r="AA803" s="413">
        <f t="shared" ref="AA803" si="2429">AA802</f>
        <v>0</v>
      </c>
      <c r="AB803" s="413">
        <f t="shared" ref="AB803" si="2430">AB802</f>
        <v>0</v>
      </c>
      <c r="AC803" s="413">
        <f t="shared" ref="AC803" si="2431">AC802</f>
        <v>0</v>
      </c>
      <c r="AD803" s="413">
        <f t="shared" ref="AD803" si="2432">AD802</f>
        <v>0</v>
      </c>
      <c r="AE803" s="413">
        <f t="shared" ref="AE803" si="2433">AE802</f>
        <v>0</v>
      </c>
      <c r="AF803" s="413">
        <f t="shared" ref="AF803" si="2434">AF802</f>
        <v>0</v>
      </c>
      <c r="AG803" s="413">
        <f t="shared" ref="AG803" si="2435">AG802</f>
        <v>0</v>
      </c>
      <c r="AH803" s="413">
        <f t="shared" ref="AH803" si="2436">AH802</f>
        <v>0</v>
      </c>
      <c r="AI803" s="413">
        <f t="shared" ref="AI803" si="2437">AI802</f>
        <v>0</v>
      </c>
      <c r="AJ803" s="413">
        <f t="shared" ref="AJ803" si="2438">AJ802</f>
        <v>0</v>
      </c>
      <c r="AK803" s="413">
        <f t="shared" ref="AK803" si="2439">AK802</f>
        <v>0</v>
      </c>
      <c r="AL803" s="413">
        <f t="shared" ref="AL803" si="2440">AL802</f>
        <v>0</v>
      </c>
      <c r="AM803" s="299"/>
    </row>
    <row r="804" spans="1:39" hidden="1" outlineLevel="1">
      <c r="A804" s="532"/>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2">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2"/>
      <c r="B806" s="296" t="s">
        <v>344</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41">Z805</f>
        <v>0</v>
      </c>
      <c r="AA806" s="413">
        <f t="shared" ref="AA806" si="2442">AA805</f>
        <v>0</v>
      </c>
      <c r="AB806" s="413">
        <f t="shared" ref="AB806" si="2443">AB805</f>
        <v>0</v>
      </c>
      <c r="AC806" s="413">
        <f t="shared" ref="AC806" si="2444">AC805</f>
        <v>0</v>
      </c>
      <c r="AD806" s="413">
        <f t="shared" ref="AD806" si="2445">AD805</f>
        <v>0</v>
      </c>
      <c r="AE806" s="413">
        <f t="shared" ref="AE806" si="2446">AE805</f>
        <v>0</v>
      </c>
      <c r="AF806" s="413">
        <f t="shared" ref="AF806" si="2447">AF805</f>
        <v>0</v>
      </c>
      <c r="AG806" s="413">
        <f t="shared" ref="AG806" si="2448">AG805</f>
        <v>0</v>
      </c>
      <c r="AH806" s="413">
        <f t="shared" ref="AH806" si="2449">AH805</f>
        <v>0</v>
      </c>
      <c r="AI806" s="413">
        <f t="shared" ref="AI806" si="2450">AI805</f>
        <v>0</v>
      </c>
      <c r="AJ806" s="413">
        <f t="shared" ref="AJ806" si="2451">AJ805</f>
        <v>0</v>
      </c>
      <c r="AK806" s="413">
        <f t="shared" ref="AK806" si="2452">AK805</f>
        <v>0</v>
      </c>
      <c r="AL806" s="413">
        <f t="shared" ref="AL806" si="2453">AL805</f>
        <v>0</v>
      </c>
      <c r="AM806" s="299"/>
    </row>
    <row r="807" spans="1:39" hidden="1" outlineLevel="1">
      <c r="A807" s="532"/>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2">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2"/>
      <c r="B809" s="296" t="s">
        <v>344</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54">Z808</f>
        <v>0</v>
      </c>
      <c r="AA809" s="413">
        <f t="shared" ref="AA809" si="2455">AA808</f>
        <v>0</v>
      </c>
      <c r="AB809" s="413">
        <f t="shared" ref="AB809" si="2456">AB808</f>
        <v>0</v>
      </c>
      <c r="AC809" s="413">
        <f t="shared" ref="AC809" si="2457">AC808</f>
        <v>0</v>
      </c>
      <c r="AD809" s="413">
        <f t="shared" ref="AD809" si="2458">AD808</f>
        <v>0</v>
      </c>
      <c r="AE809" s="413">
        <f t="shared" ref="AE809" si="2459">AE808</f>
        <v>0</v>
      </c>
      <c r="AF809" s="413">
        <f t="shared" ref="AF809" si="2460">AF808</f>
        <v>0</v>
      </c>
      <c r="AG809" s="413">
        <f t="shared" ref="AG809" si="2461">AG808</f>
        <v>0</v>
      </c>
      <c r="AH809" s="413">
        <f t="shared" ref="AH809" si="2462">AH808</f>
        <v>0</v>
      </c>
      <c r="AI809" s="413">
        <f t="shared" ref="AI809" si="2463">AI808</f>
        <v>0</v>
      </c>
      <c r="AJ809" s="413">
        <f t="shared" ref="AJ809" si="2464">AJ808</f>
        <v>0</v>
      </c>
      <c r="AK809" s="413">
        <f t="shared" ref="AK809" si="2465">AK808</f>
        <v>0</v>
      </c>
      <c r="AL809" s="413">
        <f t="shared" ref="AL809" si="2466">AL808</f>
        <v>0</v>
      </c>
      <c r="AM809" s="308"/>
    </row>
    <row r="810" spans="1:39" hidden="1" outlineLevel="1">
      <c r="A810" s="532"/>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2"/>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2">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2"/>
      <c r="B813" s="296" t="s">
        <v>344</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67">Z812</f>
        <v>0</v>
      </c>
      <c r="AA813" s="413">
        <f t="shared" ref="AA813" si="2468">AA812</f>
        <v>0</v>
      </c>
      <c r="AB813" s="413">
        <f t="shared" ref="AB813" si="2469">AB812</f>
        <v>0</v>
      </c>
      <c r="AC813" s="413">
        <f t="shared" ref="AC813" si="2470">AC812</f>
        <v>0</v>
      </c>
      <c r="AD813" s="413">
        <f t="shared" ref="AD813" si="2471">AD812</f>
        <v>0</v>
      </c>
      <c r="AE813" s="413">
        <f t="shared" ref="AE813" si="2472">AE812</f>
        <v>0</v>
      </c>
      <c r="AF813" s="413">
        <f t="shared" ref="AF813" si="2473">AF812</f>
        <v>0</v>
      </c>
      <c r="AG813" s="413">
        <f t="shared" ref="AG813" si="2474">AG812</f>
        <v>0</v>
      </c>
      <c r="AH813" s="413">
        <f t="shared" ref="AH813" si="2475">AH812</f>
        <v>0</v>
      </c>
      <c r="AI813" s="413">
        <f t="shared" ref="AI813" si="2476">AI812</f>
        <v>0</v>
      </c>
      <c r="AJ813" s="413">
        <f t="shared" ref="AJ813" si="2477">AJ812</f>
        <v>0</v>
      </c>
      <c r="AK813" s="413">
        <f t="shared" ref="AK813" si="2478">AK812</f>
        <v>0</v>
      </c>
      <c r="AL813" s="413">
        <f t="shared" ref="AL813" si="2479">AL812</f>
        <v>0</v>
      </c>
      <c r="AM813" s="299"/>
    </row>
    <row r="814" spans="1:39" hidden="1" outlineLevel="1">
      <c r="A814" s="532"/>
      <c r="B814" s="317"/>
      <c r="C814" s="307"/>
      <c r="D814" s="293"/>
      <c r="E814" s="293"/>
      <c r="F814" s="293"/>
      <c r="G814" s="293"/>
      <c r="H814" s="293"/>
      <c r="I814" s="293"/>
      <c r="J814" s="293"/>
      <c r="K814" s="293"/>
      <c r="L814" s="293"/>
      <c r="M814" s="293"/>
      <c r="N814" s="469"/>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2"/>
      <c r="B815" s="290" t="s">
        <v>493</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7"/>
    </row>
    <row r="816" spans="1:39" hidden="1" outlineLevel="1">
      <c r="A816" s="532">
        <v>15</v>
      </c>
      <c r="B816" s="296" t="s">
        <v>498</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2"/>
      <c r="B817" s="296" t="s">
        <v>344</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80">Z816</f>
        <v>0</v>
      </c>
      <c r="AA817" s="413">
        <f t="shared" si="2480"/>
        <v>0</v>
      </c>
      <c r="AB817" s="413">
        <f t="shared" si="2480"/>
        <v>0</v>
      </c>
      <c r="AC817" s="413">
        <f t="shared" si="2480"/>
        <v>0</v>
      </c>
      <c r="AD817" s="413">
        <f t="shared" si="2480"/>
        <v>0</v>
      </c>
      <c r="AE817" s="413">
        <f t="shared" si="2480"/>
        <v>0</v>
      </c>
      <c r="AF817" s="413">
        <f t="shared" si="2480"/>
        <v>0</v>
      </c>
      <c r="AG817" s="413">
        <f t="shared" si="2480"/>
        <v>0</v>
      </c>
      <c r="AH817" s="413">
        <f t="shared" si="2480"/>
        <v>0</v>
      </c>
      <c r="AI817" s="413">
        <f t="shared" si="2480"/>
        <v>0</v>
      </c>
      <c r="AJ817" s="413">
        <f t="shared" si="2480"/>
        <v>0</v>
      </c>
      <c r="AK817" s="413">
        <f t="shared" si="2480"/>
        <v>0</v>
      </c>
      <c r="AL817" s="413">
        <f t="shared" si="2480"/>
        <v>0</v>
      </c>
      <c r="AM817" s="299"/>
    </row>
    <row r="818" spans="1:39" hidden="1" outlineLevel="1">
      <c r="A818" s="532"/>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2">
        <v>16</v>
      </c>
      <c r="B819" s="326" t="s">
        <v>494</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2"/>
      <c r="B820" s="296" t="s">
        <v>344</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81">Z819</f>
        <v>0</v>
      </c>
      <c r="AA820" s="413">
        <f t="shared" si="2481"/>
        <v>0</v>
      </c>
      <c r="AB820" s="413">
        <f t="shared" si="2481"/>
        <v>0</v>
      </c>
      <c r="AC820" s="413">
        <f t="shared" si="2481"/>
        <v>0</v>
      </c>
      <c r="AD820" s="413">
        <f t="shared" si="2481"/>
        <v>0</v>
      </c>
      <c r="AE820" s="413">
        <f t="shared" si="2481"/>
        <v>0</v>
      </c>
      <c r="AF820" s="413">
        <f t="shared" si="2481"/>
        <v>0</v>
      </c>
      <c r="AG820" s="413">
        <f t="shared" si="2481"/>
        <v>0</v>
      </c>
      <c r="AH820" s="413">
        <f t="shared" si="2481"/>
        <v>0</v>
      </c>
      <c r="AI820" s="413">
        <f t="shared" si="2481"/>
        <v>0</v>
      </c>
      <c r="AJ820" s="413">
        <f t="shared" si="2481"/>
        <v>0</v>
      </c>
      <c r="AK820" s="413">
        <f t="shared" si="2481"/>
        <v>0</v>
      </c>
      <c r="AL820" s="413">
        <f t="shared" si="2481"/>
        <v>0</v>
      </c>
      <c r="AM820" s="299"/>
    </row>
    <row r="821" spans="1:39" s="285" customFormat="1" hidden="1" outlineLevel="1">
      <c r="A821" s="532"/>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2"/>
      <c r="B822" s="519" t="s">
        <v>499</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2">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2"/>
      <c r="B824" s="296" t="s">
        <v>344</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82">Z823</f>
        <v>0</v>
      </c>
      <c r="AA824" s="413">
        <f t="shared" si="2482"/>
        <v>0</v>
      </c>
      <c r="AB824" s="413">
        <f t="shared" si="2482"/>
        <v>0</v>
      </c>
      <c r="AC824" s="413">
        <f t="shared" si="2482"/>
        <v>0</v>
      </c>
      <c r="AD824" s="413">
        <f t="shared" si="2482"/>
        <v>0</v>
      </c>
      <c r="AE824" s="413">
        <f t="shared" si="2482"/>
        <v>0</v>
      </c>
      <c r="AF824" s="413">
        <f t="shared" si="2482"/>
        <v>0</v>
      </c>
      <c r="AG824" s="413">
        <f t="shared" si="2482"/>
        <v>0</v>
      </c>
      <c r="AH824" s="413">
        <f t="shared" si="2482"/>
        <v>0</v>
      </c>
      <c r="AI824" s="413">
        <f t="shared" si="2482"/>
        <v>0</v>
      </c>
      <c r="AJ824" s="413">
        <f t="shared" si="2482"/>
        <v>0</v>
      </c>
      <c r="AK824" s="413">
        <f t="shared" si="2482"/>
        <v>0</v>
      </c>
      <c r="AL824" s="413">
        <f t="shared" si="2482"/>
        <v>0</v>
      </c>
      <c r="AM824" s="308"/>
    </row>
    <row r="825" spans="1:39" hidden="1" outlineLevel="1">
      <c r="A825" s="532"/>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2">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2"/>
      <c r="B827" s="296" t="s">
        <v>344</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83">Z826</f>
        <v>0</v>
      </c>
      <c r="AA827" s="413">
        <f t="shared" si="2483"/>
        <v>0</v>
      </c>
      <c r="AB827" s="413">
        <f t="shared" si="2483"/>
        <v>0</v>
      </c>
      <c r="AC827" s="413">
        <f t="shared" si="2483"/>
        <v>0</v>
      </c>
      <c r="AD827" s="413">
        <f t="shared" si="2483"/>
        <v>0</v>
      </c>
      <c r="AE827" s="413">
        <f t="shared" si="2483"/>
        <v>0</v>
      </c>
      <c r="AF827" s="413">
        <f t="shared" si="2483"/>
        <v>0</v>
      </c>
      <c r="AG827" s="413">
        <f t="shared" si="2483"/>
        <v>0</v>
      </c>
      <c r="AH827" s="413">
        <f t="shared" si="2483"/>
        <v>0</v>
      </c>
      <c r="AI827" s="413">
        <f t="shared" si="2483"/>
        <v>0</v>
      </c>
      <c r="AJ827" s="413">
        <f t="shared" si="2483"/>
        <v>0</v>
      </c>
      <c r="AK827" s="413">
        <f t="shared" si="2483"/>
        <v>0</v>
      </c>
      <c r="AL827" s="413">
        <f t="shared" si="2483"/>
        <v>0</v>
      </c>
      <c r="AM827" s="308"/>
    </row>
    <row r="828" spans="1:39" hidden="1" outlineLevel="1">
      <c r="A828" s="532"/>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2">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2"/>
      <c r="B830" s="296" t="s">
        <v>344</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84">Z829</f>
        <v>0</v>
      </c>
      <c r="AA830" s="413">
        <f t="shared" si="2484"/>
        <v>0</v>
      </c>
      <c r="AB830" s="413">
        <f t="shared" si="2484"/>
        <v>0</v>
      </c>
      <c r="AC830" s="413">
        <f t="shared" si="2484"/>
        <v>0</v>
      </c>
      <c r="AD830" s="413">
        <f t="shared" si="2484"/>
        <v>0</v>
      </c>
      <c r="AE830" s="413">
        <f t="shared" si="2484"/>
        <v>0</v>
      </c>
      <c r="AF830" s="413">
        <f t="shared" si="2484"/>
        <v>0</v>
      </c>
      <c r="AG830" s="413">
        <f t="shared" si="2484"/>
        <v>0</v>
      </c>
      <c r="AH830" s="413">
        <f t="shared" si="2484"/>
        <v>0</v>
      </c>
      <c r="AI830" s="413">
        <f t="shared" si="2484"/>
        <v>0</v>
      </c>
      <c r="AJ830" s="413">
        <f t="shared" si="2484"/>
        <v>0</v>
      </c>
      <c r="AK830" s="413">
        <f t="shared" si="2484"/>
        <v>0</v>
      </c>
      <c r="AL830" s="413">
        <f t="shared" si="2484"/>
        <v>0</v>
      </c>
      <c r="AM830" s="299"/>
    </row>
    <row r="831" spans="1:39" hidden="1" outlineLevel="1">
      <c r="A831" s="532"/>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2">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2"/>
      <c r="B833" s="296" t="s">
        <v>344</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85">Z832</f>
        <v>0</v>
      </c>
      <c r="AA833" s="413">
        <f t="shared" si="2485"/>
        <v>0</v>
      </c>
      <c r="AB833" s="413">
        <f t="shared" si="2485"/>
        <v>0</v>
      </c>
      <c r="AC833" s="413">
        <f t="shared" si="2485"/>
        <v>0</v>
      </c>
      <c r="AD833" s="413">
        <f t="shared" si="2485"/>
        <v>0</v>
      </c>
      <c r="AE833" s="413">
        <f t="shared" si="2485"/>
        <v>0</v>
      </c>
      <c r="AF833" s="413">
        <f t="shared" si="2485"/>
        <v>0</v>
      </c>
      <c r="AG833" s="413">
        <f t="shared" si="2485"/>
        <v>0</v>
      </c>
      <c r="AH833" s="413">
        <f t="shared" si="2485"/>
        <v>0</v>
      </c>
      <c r="AI833" s="413">
        <f t="shared" si="2485"/>
        <v>0</v>
      </c>
      <c r="AJ833" s="413">
        <f t="shared" si="2485"/>
        <v>0</v>
      </c>
      <c r="AK833" s="413">
        <f t="shared" si="2485"/>
        <v>0</v>
      </c>
      <c r="AL833" s="413">
        <f t="shared" si="2485"/>
        <v>0</v>
      </c>
      <c r="AM833" s="308"/>
    </row>
    <row r="834" spans="1:39" ht="15.75" hidden="1" outlineLevel="1">
      <c r="A834" s="532"/>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2"/>
      <c r="B835" s="518" t="s">
        <v>506</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2"/>
      <c r="B836" s="504" t="s">
        <v>502</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2">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2"/>
      <c r="B838" s="296" t="s">
        <v>344</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86">Z837</f>
        <v>0</v>
      </c>
      <c r="AA838" s="413">
        <f t="shared" ref="AA838" si="2487">AA837</f>
        <v>0</v>
      </c>
      <c r="AB838" s="413">
        <f t="shared" ref="AB838" si="2488">AB837</f>
        <v>0</v>
      </c>
      <c r="AC838" s="413">
        <f t="shared" ref="AC838" si="2489">AC837</f>
        <v>0</v>
      </c>
      <c r="AD838" s="413">
        <f t="shared" ref="AD838" si="2490">AD837</f>
        <v>0</v>
      </c>
      <c r="AE838" s="413">
        <f t="shared" ref="AE838" si="2491">AE837</f>
        <v>0</v>
      </c>
      <c r="AF838" s="413">
        <f t="shared" ref="AF838" si="2492">AF837</f>
        <v>0</v>
      </c>
      <c r="AG838" s="413">
        <f t="shared" ref="AG838" si="2493">AG837</f>
        <v>0</v>
      </c>
      <c r="AH838" s="413">
        <f t="shared" ref="AH838" si="2494">AH837</f>
        <v>0</v>
      </c>
      <c r="AI838" s="413">
        <f t="shared" ref="AI838" si="2495">AI837</f>
        <v>0</v>
      </c>
      <c r="AJ838" s="413">
        <f t="shared" ref="AJ838" si="2496">AJ837</f>
        <v>0</v>
      </c>
      <c r="AK838" s="413">
        <f t="shared" ref="AK838" si="2497">AK837</f>
        <v>0</v>
      </c>
      <c r="AL838" s="413">
        <f t="shared" ref="AL838" si="2498">AL837</f>
        <v>0</v>
      </c>
      <c r="AM838" s="308"/>
    </row>
    <row r="839" spans="1:39" hidden="1" outlineLevel="1">
      <c r="A839" s="532"/>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2">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2"/>
      <c r="B841" s="296" t="s">
        <v>344</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99">Z840</f>
        <v>0</v>
      </c>
      <c r="AA841" s="413">
        <f t="shared" ref="AA841" si="2500">AA840</f>
        <v>0</v>
      </c>
      <c r="AB841" s="413">
        <f t="shared" ref="AB841" si="2501">AB840</f>
        <v>0</v>
      </c>
      <c r="AC841" s="413">
        <f t="shared" ref="AC841" si="2502">AC840</f>
        <v>0</v>
      </c>
      <c r="AD841" s="413">
        <f t="shared" ref="AD841" si="2503">AD840</f>
        <v>0</v>
      </c>
      <c r="AE841" s="413">
        <f t="shared" ref="AE841" si="2504">AE840</f>
        <v>0</v>
      </c>
      <c r="AF841" s="413">
        <f t="shared" ref="AF841" si="2505">AF840</f>
        <v>0</v>
      </c>
      <c r="AG841" s="413">
        <f t="shared" ref="AG841" si="2506">AG840</f>
        <v>0</v>
      </c>
      <c r="AH841" s="413">
        <f t="shared" ref="AH841" si="2507">AH840</f>
        <v>0</v>
      </c>
      <c r="AI841" s="413">
        <f t="shared" ref="AI841" si="2508">AI840</f>
        <v>0</v>
      </c>
      <c r="AJ841" s="413">
        <f t="shared" ref="AJ841" si="2509">AJ840</f>
        <v>0</v>
      </c>
      <c r="AK841" s="413">
        <f t="shared" ref="AK841" si="2510">AK840</f>
        <v>0</v>
      </c>
      <c r="AL841" s="413">
        <f t="shared" ref="AL841" si="2511">AL840</f>
        <v>0</v>
      </c>
      <c r="AM841" s="308"/>
    </row>
    <row r="842" spans="1:39" hidden="1" outlineLevel="1">
      <c r="A842" s="532"/>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2">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2"/>
      <c r="B844" s="296" t="s">
        <v>344</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12">Z843</f>
        <v>0</v>
      </c>
      <c r="AA844" s="413">
        <f t="shared" ref="AA844" si="2513">AA843</f>
        <v>0</v>
      </c>
      <c r="AB844" s="413">
        <f t="shared" ref="AB844" si="2514">AB843</f>
        <v>0</v>
      </c>
      <c r="AC844" s="413">
        <f t="shared" ref="AC844" si="2515">AC843</f>
        <v>0</v>
      </c>
      <c r="AD844" s="413">
        <f t="shared" ref="AD844" si="2516">AD843</f>
        <v>0</v>
      </c>
      <c r="AE844" s="413">
        <f t="shared" ref="AE844" si="2517">AE843</f>
        <v>0</v>
      </c>
      <c r="AF844" s="413">
        <f t="shared" ref="AF844" si="2518">AF843</f>
        <v>0</v>
      </c>
      <c r="AG844" s="413">
        <f t="shared" ref="AG844" si="2519">AG843</f>
        <v>0</v>
      </c>
      <c r="AH844" s="413">
        <f t="shared" ref="AH844" si="2520">AH843</f>
        <v>0</v>
      </c>
      <c r="AI844" s="413">
        <f t="shared" ref="AI844" si="2521">AI843</f>
        <v>0</v>
      </c>
      <c r="AJ844" s="413">
        <f t="shared" ref="AJ844" si="2522">AJ843</f>
        <v>0</v>
      </c>
      <c r="AK844" s="413">
        <f t="shared" ref="AK844" si="2523">AK843</f>
        <v>0</v>
      </c>
      <c r="AL844" s="413">
        <f t="shared" ref="AL844" si="2524">AL843</f>
        <v>0</v>
      </c>
      <c r="AM844" s="308"/>
    </row>
    <row r="845" spans="1:39" hidden="1" outlineLevel="1">
      <c r="A845" s="532"/>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2">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2"/>
      <c r="B847" s="296" t="s">
        <v>344</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25">Z846</f>
        <v>0</v>
      </c>
      <c r="AA847" s="413">
        <f t="shared" ref="AA847" si="2526">AA846</f>
        <v>0</v>
      </c>
      <c r="AB847" s="413">
        <f t="shared" ref="AB847" si="2527">AB846</f>
        <v>0</v>
      </c>
      <c r="AC847" s="413">
        <f t="shared" ref="AC847" si="2528">AC846</f>
        <v>0</v>
      </c>
      <c r="AD847" s="413">
        <f t="shared" ref="AD847" si="2529">AD846</f>
        <v>0</v>
      </c>
      <c r="AE847" s="413">
        <f t="shared" ref="AE847" si="2530">AE846</f>
        <v>0</v>
      </c>
      <c r="AF847" s="413">
        <f t="shared" ref="AF847" si="2531">AF846</f>
        <v>0</v>
      </c>
      <c r="AG847" s="413">
        <f t="shared" ref="AG847" si="2532">AG846</f>
        <v>0</v>
      </c>
      <c r="AH847" s="413">
        <f t="shared" ref="AH847" si="2533">AH846</f>
        <v>0</v>
      </c>
      <c r="AI847" s="413">
        <f t="shared" ref="AI847" si="2534">AI846</f>
        <v>0</v>
      </c>
      <c r="AJ847" s="413">
        <f t="shared" ref="AJ847" si="2535">AJ846</f>
        <v>0</v>
      </c>
      <c r="AK847" s="413">
        <f t="shared" ref="AK847" si="2536">AK846</f>
        <v>0</v>
      </c>
      <c r="AL847" s="413">
        <f t="shared" ref="AL847" si="2537">AL846</f>
        <v>0</v>
      </c>
      <c r="AM847" s="308"/>
    </row>
    <row r="848" spans="1:39" hidden="1" outlineLevel="1">
      <c r="A848" s="532"/>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2"/>
      <c r="B849" s="290" t="s">
        <v>503</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2">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2"/>
      <c r="B851" s="296" t="s">
        <v>344</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38">Z850</f>
        <v>0</v>
      </c>
      <c r="AA851" s="413">
        <f t="shared" ref="AA851" si="2539">AA850</f>
        <v>0</v>
      </c>
      <c r="AB851" s="413">
        <f t="shared" ref="AB851" si="2540">AB850</f>
        <v>0</v>
      </c>
      <c r="AC851" s="413">
        <f t="shared" ref="AC851" si="2541">AC850</f>
        <v>0</v>
      </c>
      <c r="AD851" s="413">
        <f t="shared" ref="AD851" si="2542">AD850</f>
        <v>0</v>
      </c>
      <c r="AE851" s="413">
        <f t="shared" ref="AE851" si="2543">AE850</f>
        <v>0</v>
      </c>
      <c r="AF851" s="413">
        <f t="shared" ref="AF851" si="2544">AF850</f>
        <v>0</v>
      </c>
      <c r="AG851" s="413">
        <f t="shared" ref="AG851" si="2545">AG850</f>
        <v>0</v>
      </c>
      <c r="AH851" s="413">
        <f t="shared" ref="AH851" si="2546">AH850</f>
        <v>0</v>
      </c>
      <c r="AI851" s="413">
        <f t="shared" ref="AI851" si="2547">AI850</f>
        <v>0</v>
      </c>
      <c r="AJ851" s="413">
        <f t="shared" ref="AJ851" si="2548">AJ850</f>
        <v>0</v>
      </c>
      <c r="AK851" s="413">
        <f t="shared" ref="AK851" si="2549">AK850</f>
        <v>0</v>
      </c>
      <c r="AL851" s="413">
        <f t="shared" ref="AL851" si="2550">AL850</f>
        <v>0</v>
      </c>
      <c r="AM851" s="308"/>
    </row>
    <row r="852" spans="1:39" hidden="1" outlineLevel="1">
      <c r="A852" s="532"/>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2">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2"/>
      <c r="B854" s="296" t="s">
        <v>344</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51">Z853</f>
        <v>0</v>
      </c>
      <c r="AA854" s="413">
        <f t="shared" ref="AA854" si="2552">AA853</f>
        <v>0</v>
      </c>
      <c r="AB854" s="413">
        <f t="shared" ref="AB854" si="2553">AB853</f>
        <v>0</v>
      </c>
      <c r="AC854" s="413">
        <f t="shared" ref="AC854" si="2554">AC853</f>
        <v>0</v>
      </c>
      <c r="AD854" s="413">
        <f t="shared" ref="AD854" si="2555">AD853</f>
        <v>0</v>
      </c>
      <c r="AE854" s="413">
        <f t="shared" ref="AE854" si="2556">AE853</f>
        <v>0</v>
      </c>
      <c r="AF854" s="413">
        <f t="shared" ref="AF854" si="2557">AF853</f>
        <v>0</v>
      </c>
      <c r="AG854" s="413">
        <f t="shared" ref="AG854" si="2558">AG853</f>
        <v>0</v>
      </c>
      <c r="AH854" s="413">
        <f t="shared" ref="AH854" si="2559">AH853</f>
        <v>0</v>
      </c>
      <c r="AI854" s="413">
        <f t="shared" ref="AI854" si="2560">AI853</f>
        <v>0</v>
      </c>
      <c r="AJ854" s="413">
        <f t="shared" ref="AJ854" si="2561">AJ853</f>
        <v>0</v>
      </c>
      <c r="AK854" s="413">
        <f t="shared" ref="AK854" si="2562">AK853</f>
        <v>0</v>
      </c>
      <c r="AL854" s="413">
        <f t="shared" ref="AL854" si="2563">AL853</f>
        <v>0</v>
      </c>
      <c r="AM854" s="308"/>
    </row>
    <row r="855" spans="1:39" hidden="1" outlineLevel="1">
      <c r="A855" s="532"/>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2">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2"/>
      <c r="B857" s="296" t="s">
        <v>344</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64">Z856</f>
        <v>0</v>
      </c>
      <c r="AA857" s="413">
        <f t="shared" ref="AA857" si="2565">AA856</f>
        <v>0</v>
      </c>
      <c r="AB857" s="413">
        <f t="shared" ref="AB857" si="2566">AB856</f>
        <v>0</v>
      </c>
      <c r="AC857" s="413">
        <f t="shared" ref="AC857" si="2567">AC856</f>
        <v>0</v>
      </c>
      <c r="AD857" s="413">
        <f t="shared" ref="AD857" si="2568">AD856</f>
        <v>0</v>
      </c>
      <c r="AE857" s="413">
        <f t="shared" ref="AE857" si="2569">AE856</f>
        <v>0</v>
      </c>
      <c r="AF857" s="413">
        <f t="shared" ref="AF857" si="2570">AF856</f>
        <v>0</v>
      </c>
      <c r="AG857" s="413">
        <f t="shared" ref="AG857" si="2571">AG856</f>
        <v>0</v>
      </c>
      <c r="AH857" s="413">
        <f t="shared" ref="AH857" si="2572">AH856</f>
        <v>0</v>
      </c>
      <c r="AI857" s="413">
        <f t="shared" ref="AI857" si="2573">AI856</f>
        <v>0</v>
      </c>
      <c r="AJ857" s="413">
        <f t="shared" ref="AJ857" si="2574">AJ856</f>
        <v>0</v>
      </c>
      <c r="AK857" s="413">
        <f t="shared" ref="AK857" si="2575">AK856</f>
        <v>0</v>
      </c>
      <c r="AL857" s="413">
        <f t="shared" ref="AL857" si="2576">AL856</f>
        <v>0</v>
      </c>
      <c r="AM857" s="308"/>
    </row>
    <row r="858" spans="1:39" hidden="1" outlineLevel="1">
      <c r="A858" s="532"/>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2">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2"/>
      <c r="B860" s="296" t="s">
        <v>344</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77">Z859</f>
        <v>0</v>
      </c>
      <c r="AA860" s="413">
        <f t="shared" ref="AA860" si="2578">AA859</f>
        <v>0</v>
      </c>
      <c r="AB860" s="413">
        <f t="shared" ref="AB860" si="2579">AB859</f>
        <v>0</v>
      </c>
      <c r="AC860" s="413">
        <f t="shared" ref="AC860" si="2580">AC859</f>
        <v>0</v>
      </c>
      <c r="AD860" s="413">
        <f t="shared" ref="AD860" si="2581">AD859</f>
        <v>0</v>
      </c>
      <c r="AE860" s="413">
        <f t="shared" ref="AE860" si="2582">AE859</f>
        <v>0</v>
      </c>
      <c r="AF860" s="413">
        <f t="shared" ref="AF860" si="2583">AF859</f>
        <v>0</v>
      </c>
      <c r="AG860" s="413">
        <f t="shared" ref="AG860" si="2584">AG859</f>
        <v>0</v>
      </c>
      <c r="AH860" s="413">
        <f t="shared" ref="AH860" si="2585">AH859</f>
        <v>0</v>
      </c>
      <c r="AI860" s="413">
        <f t="shared" ref="AI860" si="2586">AI859</f>
        <v>0</v>
      </c>
      <c r="AJ860" s="413">
        <f t="shared" ref="AJ860" si="2587">AJ859</f>
        <v>0</v>
      </c>
      <c r="AK860" s="413">
        <f t="shared" ref="AK860" si="2588">AK859</f>
        <v>0</v>
      </c>
      <c r="AL860" s="413">
        <f t="shared" ref="AL860" si="2589">AL859</f>
        <v>0</v>
      </c>
      <c r="AM860" s="308"/>
    </row>
    <row r="861" spans="1:39" hidden="1" outlineLevel="1">
      <c r="A861" s="532"/>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2">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2"/>
      <c r="B863" s="296" t="s">
        <v>344</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90">Z862</f>
        <v>0</v>
      </c>
      <c r="AA863" s="413">
        <f t="shared" ref="AA863" si="2591">AA862</f>
        <v>0</v>
      </c>
      <c r="AB863" s="413">
        <f t="shared" ref="AB863" si="2592">AB862</f>
        <v>0</v>
      </c>
      <c r="AC863" s="413">
        <f t="shared" ref="AC863" si="2593">AC862</f>
        <v>0</v>
      </c>
      <c r="AD863" s="413">
        <f t="shared" ref="AD863" si="2594">AD862</f>
        <v>0</v>
      </c>
      <c r="AE863" s="413">
        <f t="shared" ref="AE863" si="2595">AE862</f>
        <v>0</v>
      </c>
      <c r="AF863" s="413">
        <f t="shared" ref="AF863" si="2596">AF862</f>
        <v>0</v>
      </c>
      <c r="AG863" s="413">
        <f t="shared" ref="AG863" si="2597">AG862</f>
        <v>0</v>
      </c>
      <c r="AH863" s="413">
        <f t="shared" ref="AH863" si="2598">AH862</f>
        <v>0</v>
      </c>
      <c r="AI863" s="413">
        <f t="shared" ref="AI863" si="2599">AI862</f>
        <v>0</v>
      </c>
      <c r="AJ863" s="413">
        <f t="shared" ref="AJ863" si="2600">AJ862</f>
        <v>0</v>
      </c>
      <c r="AK863" s="413">
        <f t="shared" ref="AK863" si="2601">AK862</f>
        <v>0</v>
      </c>
      <c r="AL863" s="413">
        <f t="shared" ref="AL863" si="2602">AL862</f>
        <v>0</v>
      </c>
      <c r="AM863" s="308"/>
    </row>
    <row r="864" spans="1:39" hidden="1" outlineLevel="1">
      <c r="A864" s="532"/>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2">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2"/>
      <c r="B866" s="296" t="s">
        <v>344</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603">Z865</f>
        <v>0</v>
      </c>
      <c r="AA866" s="413">
        <f t="shared" ref="AA866" si="2604">AA865</f>
        <v>0</v>
      </c>
      <c r="AB866" s="413">
        <f t="shared" ref="AB866" si="2605">AB865</f>
        <v>0</v>
      </c>
      <c r="AC866" s="413">
        <f t="shared" ref="AC866" si="2606">AC865</f>
        <v>0</v>
      </c>
      <c r="AD866" s="413">
        <f t="shared" ref="AD866" si="2607">AD865</f>
        <v>0</v>
      </c>
      <c r="AE866" s="413">
        <f t="shared" ref="AE866" si="2608">AE865</f>
        <v>0</v>
      </c>
      <c r="AF866" s="413">
        <f t="shared" ref="AF866" si="2609">AF865</f>
        <v>0</v>
      </c>
      <c r="AG866" s="413">
        <f t="shared" ref="AG866" si="2610">AG865</f>
        <v>0</v>
      </c>
      <c r="AH866" s="413">
        <f t="shared" ref="AH866" si="2611">AH865</f>
        <v>0</v>
      </c>
      <c r="AI866" s="413">
        <f t="shared" ref="AI866" si="2612">AI865</f>
        <v>0</v>
      </c>
      <c r="AJ866" s="413">
        <f t="shared" ref="AJ866" si="2613">AJ865</f>
        <v>0</v>
      </c>
      <c r="AK866" s="413">
        <f t="shared" ref="AK866" si="2614">AK865</f>
        <v>0</v>
      </c>
      <c r="AL866" s="413">
        <f t="shared" ref="AL866" si="2615">AL865</f>
        <v>0</v>
      </c>
      <c r="AM866" s="308"/>
    </row>
    <row r="867" spans="1:39" hidden="1" outlineLevel="1">
      <c r="A867" s="532"/>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2">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2"/>
      <c r="B869" s="296" t="s">
        <v>344</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16">Z868</f>
        <v>0</v>
      </c>
      <c r="AA869" s="413">
        <f t="shared" ref="AA869" si="2617">AA868</f>
        <v>0</v>
      </c>
      <c r="AB869" s="413">
        <f t="shared" ref="AB869" si="2618">AB868</f>
        <v>0</v>
      </c>
      <c r="AC869" s="413">
        <f t="shared" ref="AC869" si="2619">AC868</f>
        <v>0</v>
      </c>
      <c r="AD869" s="413">
        <f t="shared" ref="AD869" si="2620">AD868</f>
        <v>0</v>
      </c>
      <c r="AE869" s="413">
        <f t="shared" ref="AE869" si="2621">AE868</f>
        <v>0</v>
      </c>
      <c r="AF869" s="413">
        <f t="shared" ref="AF869" si="2622">AF868</f>
        <v>0</v>
      </c>
      <c r="AG869" s="413">
        <f t="shared" ref="AG869" si="2623">AG868</f>
        <v>0</v>
      </c>
      <c r="AH869" s="413">
        <f t="shared" ref="AH869" si="2624">AH868</f>
        <v>0</v>
      </c>
      <c r="AI869" s="413">
        <f t="shared" ref="AI869" si="2625">AI868</f>
        <v>0</v>
      </c>
      <c r="AJ869" s="413">
        <f t="shared" ref="AJ869" si="2626">AJ868</f>
        <v>0</v>
      </c>
      <c r="AK869" s="413">
        <f t="shared" ref="AK869" si="2627">AK868</f>
        <v>0</v>
      </c>
      <c r="AL869" s="413">
        <f t="shared" ref="AL869" si="2628">AL868</f>
        <v>0</v>
      </c>
      <c r="AM869" s="308"/>
    </row>
    <row r="870" spans="1:39" hidden="1" outlineLevel="1">
      <c r="A870" s="532"/>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2">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2"/>
      <c r="B872" s="296" t="s">
        <v>344</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29">Z871</f>
        <v>0</v>
      </c>
      <c r="AA872" s="413">
        <f t="shared" ref="AA872" si="2630">AA871</f>
        <v>0</v>
      </c>
      <c r="AB872" s="413">
        <f t="shared" ref="AB872" si="2631">AB871</f>
        <v>0</v>
      </c>
      <c r="AC872" s="413">
        <f t="shared" ref="AC872" si="2632">AC871</f>
        <v>0</v>
      </c>
      <c r="AD872" s="413">
        <f t="shared" ref="AD872" si="2633">AD871</f>
        <v>0</v>
      </c>
      <c r="AE872" s="413">
        <f t="shared" ref="AE872" si="2634">AE871</f>
        <v>0</v>
      </c>
      <c r="AF872" s="413">
        <f t="shared" ref="AF872" si="2635">AF871</f>
        <v>0</v>
      </c>
      <c r="AG872" s="413">
        <f t="shared" ref="AG872" si="2636">AG871</f>
        <v>0</v>
      </c>
      <c r="AH872" s="413">
        <f t="shared" ref="AH872" si="2637">AH871</f>
        <v>0</v>
      </c>
      <c r="AI872" s="413">
        <f t="shared" ref="AI872" si="2638">AI871</f>
        <v>0</v>
      </c>
      <c r="AJ872" s="413">
        <f t="shared" ref="AJ872" si="2639">AJ871</f>
        <v>0</v>
      </c>
      <c r="AK872" s="413">
        <f t="shared" ref="AK872" si="2640">AK871</f>
        <v>0</v>
      </c>
      <c r="AL872" s="413">
        <f>AL871</f>
        <v>0</v>
      </c>
      <c r="AM872" s="308"/>
    </row>
    <row r="873" spans="1:39" hidden="1" outlineLevel="1">
      <c r="A873" s="532"/>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2"/>
      <c r="B874" s="290" t="s">
        <v>504</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2">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2"/>
      <c r="B876" s="296" t="s">
        <v>344</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41">Z875</f>
        <v>0</v>
      </c>
      <c r="AA876" s="413">
        <f t="shared" ref="AA876" si="2642">AA875</f>
        <v>0</v>
      </c>
      <c r="AB876" s="413">
        <f t="shared" ref="AB876" si="2643">AB875</f>
        <v>0</v>
      </c>
      <c r="AC876" s="413">
        <f t="shared" ref="AC876" si="2644">AC875</f>
        <v>0</v>
      </c>
      <c r="AD876" s="413">
        <f t="shared" ref="AD876" si="2645">AD875</f>
        <v>0</v>
      </c>
      <c r="AE876" s="413">
        <f t="shared" ref="AE876" si="2646">AE875</f>
        <v>0</v>
      </c>
      <c r="AF876" s="413">
        <f t="shared" ref="AF876" si="2647">AF875</f>
        <v>0</v>
      </c>
      <c r="AG876" s="413">
        <f t="shared" ref="AG876" si="2648">AG875</f>
        <v>0</v>
      </c>
      <c r="AH876" s="413">
        <f t="shared" ref="AH876" si="2649">AH875</f>
        <v>0</v>
      </c>
      <c r="AI876" s="413">
        <f t="shared" ref="AI876" si="2650">AI875</f>
        <v>0</v>
      </c>
      <c r="AJ876" s="413">
        <f t="shared" ref="AJ876" si="2651">AJ875</f>
        <v>0</v>
      </c>
      <c r="AK876" s="413">
        <f t="shared" ref="AK876" si="2652">AK875</f>
        <v>0</v>
      </c>
      <c r="AL876" s="413">
        <f t="shared" ref="AL876" si="2653">AL875</f>
        <v>0</v>
      </c>
      <c r="AM876" s="308"/>
    </row>
    <row r="877" spans="1:39" hidden="1" outlineLevel="1">
      <c r="A877" s="532"/>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2">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2"/>
      <c r="B879" s="296" t="s">
        <v>344</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54">Z878</f>
        <v>0</v>
      </c>
      <c r="AA879" s="413">
        <f t="shared" ref="AA879" si="2655">AA878</f>
        <v>0</v>
      </c>
      <c r="AB879" s="413">
        <f t="shared" ref="AB879" si="2656">AB878</f>
        <v>0</v>
      </c>
      <c r="AC879" s="413">
        <f t="shared" ref="AC879" si="2657">AC878</f>
        <v>0</v>
      </c>
      <c r="AD879" s="413">
        <f t="shared" ref="AD879" si="2658">AD878</f>
        <v>0</v>
      </c>
      <c r="AE879" s="413">
        <f t="shared" ref="AE879" si="2659">AE878</f>
        <v>0</v>
      </c>
      <c r="AF879" s="413">
        <f t="shared" ref="AF879" si="2660">AF878</f>
        <v>0</v>
      </c>
      <c r="AG879" s="413">
        <f t="shared" ref="AG879" si="2661">AG878</f>
        <v>0</v>
      </c>
      <c r="AH879" s="413">
        <f t="shared" ref="AH879" si="2662">AH878</f>
        <v>0</v>
      </c>
      <c r="AI879" s="413">
        <f t="shared" ref="AI879" si="2663">AI878</f>
        <v>0</v>
      </c>
      <c r="AJ879" s="413">
        <f t="shared" ref="AJ879" si="2664">AJ878</f>
        <v>0</v>
      </c>
      <c r="AK879" s="413">
        <f t="shared" ref="AK879" si="2665">AK878</f>
        <v>0</v>
      </c>
      <c r="AL879" s="413">
        <f t="shared" ref="AL879" si="2666">AL878</f>
        <v>0</v>
      </c>
      <c r="AM879" s="308"/>
    </row>
    <row r="880" spans="1:39" hidden="1" outlineLevel="1">
      <c r="A880" s="532"/>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2">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2"/>
      <c r="B882" s="296" t="s">
        <v>344</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67">Z881</f>
        <v>0</v>
      </c>
      <c r="AA882" s="413">
        <f t="shared" ref="AA882" si="2668">AA881</f>
        <v>0</v>
      </c>
      <c r="AB882" s="413">
        <f t="shared" ref="AB882" si="2669">AB881</f>
        <v>0</v>
      </c>
      <c r="AC882" s="413">
        <f t="shared" ref="AC882" si="2670">AC881</f>
        <v>0</v>
      </c>
      <c r="AD882" s="413">
        <f t="shared" ref="AD882" si="2671">AD881</f>
        <v>0</v>
      </c>
      <c r="AE882" s="413">
        <f t="shared" ref="AE882" si="2672">AE881</f>
        <v>0</v>
      </c>
      <c r="AF882" s="413">
        <f t="shared" ref="AF882" si="2673">AF881</f>
        <v>0</v>
      </c>
      <c r="AG882" s="413">
        <f t="shared" ref="AG882" si="2674">AG881</f>
        <v>0</v>
      </c>
      <c r="AH882" s="413">
        <f t="shared" ref="AH882" si="2675">AH881</f>
        <v>0</v>
      </c>
      <c r="AI882" s="413">
        <f t="shared" ref="AI882" si="2676">AI881</f>
        <v>0</v>
      </c>
      <c r="AJ882" s="413">
        <f t="shared" ref="AJ882" si="2677">AJ881</f>
        <v>0</v>
      </c>
      <c r="AK882" s="413">
        <f t="shared" ref="AK882" si="2678">AK881</f>
        <v>0</v>
      </c>
      <c r="AL882" s="413">
        <f t="shared" ref="AL882" si="2679">AL881</f>
        <v>0</v>
      </c>
      <c r="AM882" s="308"/>
    </row>
    <row r="883" spans="1:39" hidden="1" outlineLevel="1">
      <c r="A883" s="532"/>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2"/>
      <c r="B884" s="290" t="s">
        <v>505</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2">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2"/>
      <c r="B886" s="296" t="s">
        <v>344</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80">Z885</f>
        <v>0</v>
      </c>
      <c r="AA886" s="413">
        <f t="shared" ref="AA886" si="2681">AA885</f>
        <v>0</v>
      </c>
      <c r="AB886" s="413">
        <f t="shared" ref="AB886" si="2682">AB885</f>
        <v>0</v>
      </c>
      <c r="AC886" s="413">
        <f t="shared" ref="AC886" si="2683">AC885</f>
        <v>0</v>
      </c>
      <c r="AD886" s="413">
        <f t="shared" ref="AD886" si="2684">AD885</f>
        <v>0</v>
      </c>
      <c r="AE886" s="413">
        <f t="shared" ref="AE886" si="2685">AE885</f>
        <v>0</v>
      </c>
      <c r="AF886" s="413">
        <f t="shared" ref="AF886" si="2686">AF885</f>
        <v>0</v>
      </c>
      <c r="AG886" s="413">
        <f t="shared" ref="AG886" si="2687">AG885</f>
        <v>0</v>
      </c>
      <c r="AH886" s="413">
        <f t="shared" ref="AH886" si="2688">AH885</f>
        <v>0</v>
      </c>
      <c r="AI886" s="413">
        <f t="shared" ref="AI886" si="2689">AI885</f>
        <v>0</v>
      </c>
      <c r="AJ886" s="413">
        <f t="shared" ref="AJ886" si="2690">AJ885</f>
        <v>0</v>
      </c>
      <c r="AK886" s="413">
        <f t="shared" ref="AK886" si="2691">AK885</f>
        <v>0</v>
      </c>
      <c r="AL886" s="413">
        <f t="shared" ref="AL886" si="2692">AL885</f>
        <v>0</v>
      </c>
      <c r="AM886" s="308"/>
    </row>
    <row r="887" spans="1:39" hidden="1" outlineLevel="1">
      <c r="A887" s="532"/>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2">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2"/>
      <c r="B889" s="296" t="s">
        <v>344</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93">Z888</f>
        <v>0</v>
      </c>
      <c r="AA889" s="413">
        <f t="shared" ref="AA889" si="2694">AA888</f>
        <v>0</v>
      </c>
      <c r="AB889" s="413">
        <f t="shared" ref="AB889" si="2695">AB888</f>
        <v>0</v>
      </c>
      <c r="AC889" s="413">
        <f t="shared" ref="AC889" si="2696">AC888</f>
        <v>0</v>
      </c>
      <c r="AD889" s="413">
        <f t="shared" ref="AD889" si="2697">AD888</f>
        <v>0</v>
      </c>
      <c r="AE889" s="413">
        <f t="shared" ref="AE889" si="2698">AE888</f>
        <v>0</v>
      </c>
      <c r="AF889" s="413">
        <f t="shared" ref="AF889" si="2699">AF888</f>
        <v>0</v>
      </c>
      <c r="AG889" s="413">
        <f t="shared" ref="AG889" si="2700">AG888</f>
        <v>0</v>
      </c>
      <c r="AH889" s="413">
        <f t="shared" ref="AH889" si="2701">AH888</f>
        <v>0</v>
      </c>
      <c r="AI889" s="413">
        <f t="shared" ref="AI889" si="2702">AI888</f>
        <v>0</v>
      </c>
      <c r="AJ889" s="413">
        <f t="shared" ref="AJ889" si="2703">AJ888</f>
        <v>0</v>
      </c>
      <c r="AK889" s="413">
        <f t="shared" ref="AK889" si="2704">AK888</f>
        <v>0</v>
      </c>
      <c r="AL889" s="413">
        <f t="shared" ref="AL889" si="2705">AL888</f>
        <v>0</v>
      </c>
      <c r="AM889" s="308"/>
    </row>
    <row r="890" spans="1:39" hidden="1" outlineLevel="1">
      <c r="A890" s="532"/>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2">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2"/>
      <c r="B892" s="296" t="s">
        <v>344</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706">Z891</f>
        <v>0</v>
      </c>
      <c r="AA892" s="413">
        <f t="shared" ref="AA892" si="2707">AA891</f>
        <v>0</v>
      </c>
      <c r="AB892" s="413">
        <f t="shared" ref="AB892" si="2708">AB891</f>
        <v>0</v>
      </c>
      <c r="AC892" s="413">
        <f t="shared" ref="AC892" si="2709">AC891</f>
        <v>0</v>
      </c>
      <c r="AD892" s="413">
        <f t="shared" ref="AD892" si="2710">AD891</f>
        <v>0</v>
      </c>
      <c r="AE892" s="413">
        <f t="shared" ref="AE892" si="2711">AE891</f>
        <v>0</v>
      </c>
      <c r="AF892" s="413">
        <f t="shared" ref="AF892" si="2712">AF891</f>
        <v>0</v>
      </c>
      <c r="AG892" s="413">
        <f t="shared" ref="AG892" si="2713">AG891</f>
        <v>0</v>
      </c>
      <c r="AH892" s="413">
        <f t="shared" ref="AH892" si="2714">AH891</f>
        <v>0</v>
      </c>
      <c r="AI892" s="413">
        <f t="shared" ref="AI892" si="2715">AI891</f>
        <v>0</v>
      </c>
      <c r="AJ892" s="413">
        <f t="shared" ref="AJ892" si="2716">AJ891</f>
        <v>0</v>
      </c>
      <c r="AK892" s="413">
        <f t="shared" ref="AK892" si="2717">AK891</f>
        <v>0</v>
      </c>
      <c r="AL892" s="413">
        <f t="shared" ref="AL892" si="2718">AL891</f>
        <v>0</v>
      </c>
      <c r="AM892" s="308"/>
    </row>
    <row r="893" spans="1:39" hidden="1" outlineLevel="1">
      <c r="A893" s="532"/>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2">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2"/>
      <c r="B895" s="296" t="s">
        <v>344</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19">Z894</f>
        <v>0</v>
      </c>
      <c r="AA895" s="413">
        <f t="shared" ref="AA895" si="2720">AA894</f>
        <v>0</v>
      </c>
      <c r="AB895" s="413">
        <f t="shared" ref="AB895" si="2721">AB894</f>
        <v>0</v>
      </c>
      <c r="AC895" s="413">
        <f t="shared" ref="AC895" si="2722">AC894</f>
        <v>0</v>
      </c>
      <c r="AD895" s="413">
        <f t="shared" ref="AD895" si="2723">AD894</f>
        <v>0</v>
      </c>
      <c r="AE895" s="413">
        <f t="shared" ref="AE895" si="2724">AE894</f>
        <v>0</v>
      </c>
      <c r="AF895" s="413">
        <f t="shared" ref="AF895" si="2725">AF894</f>
        <v>0</v>
      </c>
      <c r="AG895" s="413">
        <f t="shared" ref="AG895" si="2726">AG894</f>
        <v>0</v>
      </c>
      <c r="AH895" s="413">
        <f t="shared" ref="AH895" si="2727">AH894</f>
        <v>0</v>
      </c>
      <c r="AI895" s="413">
        <f t="shared" ref="AI895" si="2728">AI894</f>
        <v>0</v>
      </c>
      <c r="AJ895" s="413">
        <f t="shared" ref="AJ895" si="2729">AJ894</f>
        <v>0</v>
      </c>
      <c r="AK895" s="413">
        <f t="shared" ref="AK895" si="2730">AK894</f>
        <v>0</v>
      </c>
      <c r="AL895" s="413">
        <f t="shared" ref="AL895" si="2731">AL894</f>
        <v>0</v>
      </c>
      <c r="AM895" s="308"/>
    </row>
    <row r="896" spans="1:39" hidden="1" outlineLevel="1">
      <c r="A896" s="532"/>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2">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2"/>
      <c r="B898" s="296" t="s">
        <v>344</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32">Z897</f>
        <v>0</v>
      </c>
      <c r="AA898" s="413">
        <f t="shared" ref="AA898" si="2733">AA897</f>
        <v>0</v>
      </c>
      <c r="AB898" s="413">
        <f t="shared" ref="AB898" si="2734">AB897</f>
        <v>0</v>
      </c>
      <c r="AC898" s="413">
        <f t="shared" ref="AC898" si="2735">AC897</f>
        <v>0</v>
      </c>
      <c r="AD898" s="413">
        <f t="shared" ref="AD898" si="2736">AD897</f>
        <v>0</v>
      </c>
      <c r="AE898" s="413">
        <f t="shared" ref="AE898" si="2737">AE897</f>
        <v>0</v>
      </c>
      <c r="AF898" s="413">
        <f t="shared" ref="AF898" si="2738">AF897</f>
        <v>0</v>
      </c>
      <c r="AG898" s="413">
        <f t="shared" ref="AG898" si="2739">AG897</f>
        <v>0</v>
      </c>
      <c r="AH898" s="413">
        <f t="shared" ref="AH898" si="2740">AH897</f>
        <v>0</v>
      </c>
      <c r="AI898" s="413">
        <f t="shared" ref="AI898" si="2741">AI897</f>
        <v>0</v>
      </c>
      <c r="AJ898" s="413">
        <f t="shared" ref="AJ898" si="2742">AJ897</f>
        <v>0</v>
      </c>
      <c r="AK898" s="413">
        <f t="shared" ref="AK898" si="2743">AK897</f>
        <v>0</v>
      </c>
      <c r="AL898" s="413">
        <f t="shared" ref="AL898" si="2744">AL897</f>
        <v>0</v>
      </c>
      <c r="AM898" s="308"/>
    </row>
    <row r="899" spans="1:39" hidden="1" outlineLevel="1">
      <c r="A899" s="532"/>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2">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2"/>
      <c r="B901" s="296" t="s">
        <v>344</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45">Z900</f>
        <v>0</v>
      </c>
      <c r="AA901" s="413">
        <f t="shared" ref="AA901" si="2746">AA900</f>
        <v>0</v>
      </c>
      <c r="AB901" s="413">
        <f t="shared" ref="AB901" si="2747">AB900</f>
        <v>0</v>
      </c>
      <c r="AC901" s="413">
        <f t="shared" ref="AC901" si="2748">AC900</f>
        <v>0</v>
      </c>
      <c r="AD901" s="413">
        <f t="shared" ref="AD901" si="2749">AD900</f>
        <v>0</v>
      </c>
      <c r="AE901" s="413">
        <f t="shared" ref="AE901" si="2750">AE900</f>
        <v>0</v>
      </c>
      <c r="AF901" s="413">
        <f t="shared" ref="AF901" si="2751">AF900</f>
        <v>0</v>
      </c>
      <c r="AG901" s="413">
        <f t="shared" ref="AG901" si="2752">AG900</f>
        <v>0</v>
      </c>
      <c r="AH901" s="413">
        <f t="shared" ref="AH901" si="2753">AH900</f>
        <v>0</v>
      </c>
      <c r="AI901" s="413">
        <f t="shared" ref="AI901" si="2754">AI900</f>
        <v>0</v>
      </c>
      <c r="AJ901" s="413">
        <f t="shared" ref="AJ901" si="2755">AJ900</f>
        <v>0</v>
      </c>
      <c r="AK901" s="413">
        <f t="shared" ref="AK901" si="2756">AK900</f>
        <v>0</v>
      </c>
      <c r="AL901" s="413">
        <f t="shared" ref="AL901" si="2757">AL900</f>
        <v>0</v>
      </c>
      <c r="AM901" s="308"/>
    </row>
    <row r="902" spans="1:39" hidden="1" outlineLevel="1">
      <c r="A902" s="532"/>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2">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2"/>
      <c r="B904" s="296" t="s">
        <v>344</v>
      </c>
      <c r="C904" s="293" t="s">
        <v>164</v>
      </c>
      <c r="D904" s="297"/>
      <c r="E904" s="297"/>
      <c r="F904" s="297"/>
      <c r="G904" s="297"/>
      <c r="H904" s="297"/>
      <c r="I904" s="297"/>
      <c r="J904" s="297"/>
      <c r="K904" s="297"/>
      <c r="L904" s="297"/>
      <c r="M904" s="297"/>
      <c r="N904" s="469"/>
      <c r="O904" s="297"/>
      <c r="P904" s="297"/>
      <c r="Q904" s="297"/>
      <c r="R904" s="297"/>
      <c r="S904" s="297"/>
      <c r="T904" s="297"/>
      <c r="U904" s="297"/>
      <c r="V904" s="297"/>
      <c r="W904" s="297"/>
      <c r="X904" s="297"/>
      <c r="Y904" s="413">
        <f>Y903</f>
        <v>0</v>
      </c>
      <c r="Z904" s="413">
        <f t="shared" ref="Z904" si="2758">Z903</f>
        <v>0</v>
      </c>
      <c r="AA904" s="413">
        <f t="shared" ref="AA904" si="2759">AA903</f>
        <v>0</v>
      </c>
      <c r="AB904" s="413">
        <f t="shared" ref="AB904" si="2760">AB903</f>
        <v>0</v>
      </c>
      <c r="AC904" s="413">
        <f t="shared" ref="AC904" si="2761">AC903</f>
        <v>0</v>
      </c>
      <c r="AD904" s="413">
        <f t="shared" ref="AD904" si="2762">AD903</f>
        <v>0</v>
      </c>
      <c r="AE904" s="413">
        <f t="shared" ref="AE904" si="2763">AE903</f>
        <v>0</v>
      </c>
      <c r="AF904" s="413">
        <f t="shared" ref="AF904" si="2764">AF903</f>
        <v>0</v>
      </c>
      <c r="AG904" s="413">
        <f t="shared" ref="AG904" si="2765">AG903</f>
        <v>0</v>
      </c>
      <c r="AH904" s="413">
        <f t="shared" ref="AH904" si="2766">AH903</f>
        <v>0</v>
      </c>
      <c r="AI904" s="413">
        <f t="shared" ref="AI904" si="2767">AI903</f>
        <v>0</v>
      </c>
      <c r="AJ904" s="413">
        <f t="shared" ref="AJ904" si="2768">AJ903</f>
        <v>0</v>
      </c>
      <c r="AK904" s="413">
        <f t="shared" ref="AK904" si="2769">AK903</f>
        <v>0</v>
      </c>
      <c r="AL904" s="413">
        <f t="shared" ref="AL904" si="2770">AL903</f>
        <v>0</v>
      </c>
      <c r="AM904" s="308"/>
    </row>
    <row r="905" spans="1:39" hidden="1" outlineLevel="1">
      <c r="A905" s="532"/>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2">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2"/>
      <c r="B907" s="296" t="s">
        <v>344</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71">Z906</f>
        <v>0</v>
      </c>
      <c r="AA907" s="413">
        <f t="shared" ref="AA907" si="2772">AA906</f>
        <v>0</v>
      </c>
      <c r="AB907" s="413">
        <f t="shared" ref="AB907" si="2773">AB906</f>
        <v>0</v>
      </c>
      <c r="AC907" s="413">
        <f t="shared" ref="AC907" si="2774">AC906</f>
        <v>0</v>
      </c>
      <c r="AD907" s="413">
        <f t="shared" ref="AD907" si="2775">AD906</f>
        <v>0</v>
      </c>
      <c r="AE907" s="413">
        <f t="shared" ref="AE907" si="2776">AE906</f>
        <v>0</v>
      </c>
      <c r="AF907" s="413">
        <f t="shared" ref="AF907" si="2777">AF906</f>
        <v>0</v>
      </c>
      <c r="AG907" s="413">
        <f t="shared" ref="AG907" si="2778">AG906</f>
        <v>0</v>
      </c>
      <c r="AH907" s="413">
        <f t="shared" ref="AH907" si="2779">AH906</f>
        <v>0</v>
      </c>
      <c r="AI907" s="413">
        <f t="shared" ref="AI907" si="2780">AI906</f>
        <v>0</v>
      </c>
      <c r="AJ907" s="413">
        <f t="shared" ref="AJ907" si="2781">AJ906</f>
        <v>0</v>
      </c>
      <c r="AK907" s="413">
        <f t="shared" ref="AK907" si="2782">AK906</f>
        <v>0</v>
      </c>
      <c r="AL907" s="413">
        <f t="shared" ref="AL907" si="2783">AL906</f>
        <v>0</v>
      </c>
      <c r="AM907" s="308"/>
    </row>
    <row r="908" spans="1:39" hidden="1" outlineLevel="1">
      <c r="A908" s="532"/>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2">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2"/>
      <c r="B910" s="296" t="s">
        <v>344</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84">Z909</f>
        <v>0</v>
      </c>
      <c r="AA910" s="413">
        <f t="shared" ref="AA910" si="2785">AA909</f>
        <v>0</v>
      </c>
      <c r="AB910" s="413">
        <f t="shared" ref="AB910" si="2786">AB909</f>
        <v>0</v>
      </c>
      <c r="AC910" s="413">
        <f t="shared" ref="AC910" si="2787">AC909</f>
        <v>0</v>
      </c>
      <c r="AD910" s="413">
        <f t="shared" ref="AD910" si="2788">AD909</f>
        <v>0</v>
      </c>
      <c r="AE910" s="413">
        <f t="shared" ref="AE910" si="2789">AE909</f>
        <v>0</v>
      </c>
      <c r="AF910" s="413">
        <f t="shared" ref="AF910" si="2790">AF909</f>
        <v>0</v>
      </c>
      <c r="AG910" s="413">
        <f t="shared" ref="AG910" si="2791">AG909</f>
        <v>0</v>
      </c>
      <c r="AH910" s="413">
        <f t="shared" ref="AH910" si="2792">AH909</f>
        <v>0</v>
      </c>
      <c r="AI910" s="413">
        <f t="shared" ref="AI910" si="2793">AI909</f>
        <v>0</v>
      </c>
      <c r="AJ910" s="413">
        <f t="shared" ref="AJ910" si="2794">AJ909</f>
        <v>0</v>
      </c>
      <c r="AK910" s="413">
        <f t="shared" ref="AK910" si="2795">AK909</f>
        <v>0</v>
      </c>
      <c r="AL910" s="413">
        <f t="shared" ref="AL910" si="2796">AL909</f>
        <v>0</v>
      </c>
      <c r="AM910" s="308"/>
    </row>
    <row r="911" spans="1:39" hidden="1" outlineLevel="1">
      <c r="A911" s="532"/>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2">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2"/>
      <c r="B913" s="296" t="s">
        <v>344</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97">Z912</f>
        <v>0</v>
      </c>
      <c r="AA913" s="413">
        <f t="shared" ref="AA913" si="2798">AA912</f>
        <v>0</v>
      </c>
      <c r="AB913" s="413">
        <f t="shared" ref="AB913" si="2799">AB912</f>
        <v>0</v>
      </c>
      <c r="AC913" s="413">
        <f t="shared" ref="AC913" si="2800">AC912</f>
        <v>0</v>
      </c>
      <c r="AD913" s="413">
        <f t="shared" ref="AD913" si="2801">AD912</f>
        <v>0</v>
      </c>
      <c r="AE913" s="413">
        <f t="shared" ref="AE913" si="2802">AE912</f>
        <v>0</v>
      </c>
      <c r="AF913" s="413">
        <f t="shared" ref="AF913" si="2803">AF912</f>
        <v>0</v>
      </c>
      <c r="AG913" s="413">
        <f t="shared" ref="AG913" si="2804">AG912</f>
        <v>0</v>
      </c>
      <c r="AH913" s="413">
        <f t="shared" ref="AH913" si="2805">AH912</f>
        <v>0</v>
      </c>
      <c r="AI913" s="413">
        <f t="shared" ref="AI913" si="2806">AI912</f>
        <v>0</v>
      </c>
      <c r="AJ913" s="413">
        <f t="shared" ref="AJ913" si="2807">AJ912</f>
        <v>0</v>
      </c>
      <c r="AK913" s="413">
        <f t="shared" ref="AK913" si="2808">AK912</f>
        <v>0</v>
      </c>
      <c r="AL913" s="413">
        <f t="shared" ref="AL913" si="2809">AL912</f>
        <v>0</v>
      </c>
      <c r="AM913" s="308"/>
    </row>
    <row r="914" spans="1:39" hidden="1" outlineLevel="1">
      <c r="A914" s="532"/>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2">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2"/>
      <c r="B916" s="296" t="s">
        <v>344</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810">Z915</f>
        <v>0</v>
      </c>
      <c r="AA916" s="413">
        <f t="shared" ref="AA916" si="2811">AA915</f>
        <v>0</v>
      </c>
      <c r="AB916" s="413">
        <f t="shared" ref="AB916" si="2812">AB915</f>
        <v>0</v>
      </c>
      <c r="AC916" s="413">
        <f t="shared" ref="AC916" si="2813">AC915</f>
        <v>0</v>
      </c>
      <c r="AD916" s="413">
        <f t="shared" ref="AD916" si="2814">AD915</f>
        <v>0</v>
      </c>
      <c r="AE916" s="413">
        <f t="shared" ref="AE916" si="2815">AE915</f>
        <v>0</v>
      </c>
      <c r="AF916" s="413">
        <f t="shared" ref="AF916" si="2816">AF915</f>
        <v>0</v>
      </c>
      <c r="AG916" s="413">
        <f t="shared" ref="AG916" si="2817">AG915</f>
        <v>0</v>
      </c>
      <c r="AH916" s="413">
        <f t="shared" ref="AH916" si="2818">AH915</f>
        <v>0</v>
      </c>
      <c r="AI916" s="413">
        <f t="shared" ref="AI916" si="2819">AI915</f>
        <v>0</v>
      </c>
      <c r="AJ916" s="413">
        <f t="shared" ref="AJ916" si="2820">AJ915</f>
        <v>0</v>
      </c>
      <c r="AK916" s="413">
        <f t="shared" ref="AK916" si="2821">AK915</f>
        <v>0</v>
      </c>
      <c r="AL916" s="413">
        <f t="shared" ref="AL916" si="2822">AL915</f>
        <v>0</v>
      </c>
      <c r="AM916" s="308"/>
    </row>
    <row r="917" spans="1:39" hidden="1" outlineLevel="1">
      <c r="A917" s="532"/>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2">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2"/>
      <c r="B919" s="296" t="s">
        <v>344</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23">Z918</f>
        <v>0</v>
      </c>
      <c r="AA919" s="413">
        <f t="shared" ref="AA919" si="2824">AA918</f>
        <v>0</v>
      </c>
      <c r="AB919" s="413">
        <f t="shared" ref="AB919" si="2825">AB918</f>
        <v>0</v>
      </c>
      <c r="AC919" s="413">
        <f t="shared" ref="AC919" si="2826">AC918</f>
        <v>0</v>
      </c>
      <c r="AD919" s="413">
        <f t="shared" ref="AD919" si="2827">AD918</f>
        <v>0</v>
      </c>
      <c r="AE919" s="413">
        <f t="shared" ref="AE919" si="2828">AE918</f>
        <v>0</v>
      </c>
      <c r="AF919" s="413">
        <f t="shared" ref="AF919" si="2829">AF918</f>
        <v>0</v>
      </c>
      <c r="AG919" s="413">
        <f t="shared" ref="AG919" si="2830">AG918</f>
        <v>0</v>
      </c>
      <c r="AH919" s="413">
        <f t="shared" ref="AH919" si="2831">AH918</f>
        <v>0</v>
      </c>
      <c r="AI919" s="413">
        <f t="shared" ref="AI919" si="2832">AI918</f>
        <v>0</v>
      </c>
      <c r="AJ919" s="413">
        <f t="shared" ref="AJ919" si="2833">AJ918</f>
        <v>0</v>
      </c>
      <c r="AK919" s="413">
        <f t="shared" ref="AK919" si="2834">AK918</f>
        <v>0</v>
      </c>
      <c r="AL919" s="413">
        <f t="shared" ref="AL919" si="2835">AL918</f>
        <v>0</v>
      </c>
      <c r="AM919" s="308"/>
    </row>
    <row r="920" spans="1:39" hidden="1" outlineLevel="1">
      <c r="A920" s="532"/>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2">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2"/>
      <c r="B922" s="296" t="s">
        <v>344</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36">Z921</f>
        <v>0</v>
      </c>
      <c r="AA922" s="413">
        <f t="shared" ref="AA922" si="2837">AA921</f>
        <v>0</v>
      </c>
      <c r="AB922" s="413">
        <f t="shared" ref="AB922" si="2838">AB921</f>
        <v>0</v>
      </c>
      <c r="AC922" s="413">
        <f t="shared" ref="AC922" si="2839">AC921</f>
        <v>0</v>
      </c>
      <c r="AD922" s="413">
        <f t="shared" ref="AD922" si="2840">AD921</f>
        <v>0</v>
      </c>
      <c r="AE922" s="413">
        <f t="shared" ref="AE922" si="2841">AE921</f>
        <v>0</v>
      </c>
      <c r="AF922" s="413">
        <f t="shared" ref="AF922" si="2842">AF921</f>
        <v>0</v>
      </c>
      <c r="AG922" s="413">
        <f t="shared" ref="AG922" si="2843">AG921</f>
        <v>0</v>
      </c>
      <c r="AH922" s="413">
        <f t="shared" ref="AH922" si="2844">AH921</f>
        <v>0</v>
      </c>
      <c r="AI922" s="413">
        <f t="shared" ref="AI922" si="2845">AI921</f>
        <v>0</v>
      </c>
      <c r="AJ922" s="413">
        <f t="shared" ref="AJ922" si="2846">AJ921</f>
        <v>0</v>
      </c>
      <c r="AK922" s="413">
        <f t="shared" ref="AK922" si="2847">AK921</f>
        <v>0</v>
      </c>
      <c r="AL922" s="413">
        <f t="shared" ref="AL922" si="2848">AL921</f>
        <v>0</v>
      </c>
      <c r="AM922" s="308"/>
    </row>
    <row r="923" spans="1:39" hidden="1" outlineLevel="1">
      <c r="A923" s="532"/>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2">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2"/>
      <c r="B925" s="296" t="s">
        <v>344</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49">Z924</f>
        <v>0</v>
      </c>
      <c r="AA925" s="413">
        <f t="shared" ref="AA925" si="2850">AA924</f>
        <v>0</v>
      </c>
      <c r="AB925" s="413">
        <f t="shared" ref="AB925" si="2851">AB924</f>
        <v>0</v>
      </c>
      <c r="AC925" s="413">
        <f t="shared" ref="AC925" si="2852">AC924</f>
        <v>0</v>
      </c>
      <c r="AD925" s="413">
        <f t="shared" ref="AD925" si="2853">AD924</f>
        <v>0</v>
      </c>
      <c r="AE925" s="413">
        <f t="shared" ref="AE925" si="2854">AE924</f>
        <v>0</v>
      </c>
      <c r="AF925" s="413">
        <f t="shared" ref="AF925" si="2855">AF924</f>
        <v>0</v>
      </c>
      <c r="AG925" s="413">
        <f t="shared" ref="AG925" si="2856">AG924</f>
        <v>0</v>
      </c>
      <c r="AH925" s="413">
        <f t="shared" ref="AH925" si="2857">AH924</f>
        <v>0</v>
      </c>
      <c r="AI925" s="413">
        <f t="shared" ref="AI925" si="2858">AI924</f>
        <v>0</v>
      </c>
      <c r="AJ925" s="413">
        <f t="shared" ref="AJ925" si="2859">AJ924</f>
        <v>0</v>
      </c>
      <c r="AK925" s="413">
        <f t="shared" ref="AK925" si="2860">AK924</f>
        <v>0</v>
      </c>
      <c r="AL925" s="413">
        <f t="shared" ref="AL925" si="2861">AL924</f>
        <v>0</v>
      </c>
      <c r="AM925" s="308"/>
    </row>
    <row r="926" spans="1:39" hidden="1" outlineLevel="1">
      <c r="A926" s="532"/>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hidden="1" collapsed="1">
      <c r="B927" s="329" t="s">
        <v>330</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hidden="1">
      <c r="B928" s="393" t="s">
        <v>331</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hidden="1">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hidden="1">
      <c r="B930" s="326" t="s">
        <v>332</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hidden="1">
      <c r="B931" s="326" t="s">
        <v>333</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29">
        <f t="shared" ref="AM931:AM939" si="2862">SUM(Y931:AL931)</f>
        <v>0</v>
      </c>
    </row>
    <row r="932" spans="2:39" hidden="1">
      <c r="B932" s="326" t="s">
        <v>334</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29">
        <f t="shared" si="2862"/>
        <v>0</v>
      </c>
    </row>
    <row r="933" spans="2:39" hidden="1">
      <c r="B933" s="326" t="s">
        <v>335</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29">
        <f t="shared" si="2862"/>
        <v>0</v>
      </c>
    </row>
    <row r="934" spans="2:39" hidden="1">
      <c r="B934" s="326" t="s">
        <v>336</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29">
        <f t="shared" si="2862"/>
        <v>0</v>
      </c>
    </row>
    <row r="935" spans="2:39" hidden="1">
      <c r="B935" s="326" t="s">
        <v>337</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63">Y211*Y930</f>
        <v>0</v>
      </c>
      <c r="Z935" s="380">
        <f t="shared" si="2863"/>
        <v>0</v>
      </c>
      <c r="AA935" s="380">
        <f t="shared" si="2863"/>
        <v>0</v>
      </c>
      <c r="AB935" s="380">
        <f t="shared" si="2863"/>
        <v>0</v>
      </c>
      <c r="AC935" s="380">
        <f t="shared" si="2863"/>
        <v>0</v>
      </c>
      <c r="AD935" s="380">
        <f t="shared" si="2863"/>
        <v>0</v>
      </c>
      <c r="AE935" s="380">
        <f t="shared" si="2863"/>
        <v>0</v>
      </c>
      <c r="AF935" s="380">
        <f t="shared" si="2863"/>
        <v>0</v>
      </c>
      <c r="AG935" s="380">
        <f t="shared" si="2863"/>
        <v>0</v>
      </c>
      <c r="AH935" s="380">
        <f t="shared" si="2863"/>
        <v>0</v>
      </c>
      <c r="AI935" s="380">
        <f t="shared" si="2863"/>
        <v>0</v>
      </c>
      <c r="AJ935" s="380">
        <f t="shared" si="2863"/>
        <v>0</v>
      </c>
      <c r="AK935" s="380">
        <f t="shared" si="2863"/>
        <v>0</v>
      </c>
      <c r="AL935" s="380">
        <f t="shared" si="2863"/>
        <v>0</v>
      </c>
      <c r="AM935" s="629">
        <f t="shared" si="2862"/>
        <v>0</v>
      </c>
    </row>
    <row r="936" spans="2:39" hidden="1">
      <c r="B936" s="326" t="s">
        <v>338</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64">Y394*Y930</f>
        <v>0</v>
      </c>
      <c r="Z936" s="380">
        <f t="shared" si="2864"/>
        <v>0</v>
      </c>
      <c r="AA936" s="380">
        <f t="shared" si="2864"/>
        <v>0</v>
      </c>
      <c r="AB936" s="380">
        <f t="shared" si="2864"/>
        <v>0</v>
      </c>
      <c r="AC936" s="380">
        <f t="shared" si="2864"/>
        <v>0</v>
      </c>
      <c r="AD936" s="380">
        <f t="shared" si="2864"/>
        <v>0</v>
      </c>
      <c r="AE936" s="380">
        <f t="shared" si="2864"/>
        <v>0</v>
      </c>
      <c r="AF936" s="380">
        <f t="shared" si="2864"/>
        <v>0</v>
      </c>
      <c r="AG936" s="380">
        <f t="shared" si="2864"/>
        <v>0</v>
      </c>
      <c r="AH936" s="380">
        <f t="shared" si="2864"/>
        <v>0</v>
      </c>
      <c r="AI936" s="380">
        <f t="shared" si="2864"/>
        <v>0</v>
      </c>
      <c r="AJ936" s="380">
        <f t="shared" si="2864"/>
        <v>0</v>
      </c>
      <c r="AK936" s="380">
        <f t="shared" si="2864"/>
        <v>0</v>
      </c>
      <c r="AL936" s="380">
        <f t="shared" si="2864"/>
        <v>0</v>
      </c>
      <c r="AM936" s="629">
        <f t="shared" si="2862"/>
        <v>0</v>
      </c>
    </row>
    <row r="937" spans="2:39" hidden="1">
      <c r="B937" s="326" t="s">
        <v>339</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65">Y577*Y930</f>
        <v>0</v>
      </c>
      <c r="Z937" s="380">
        <f t="shared" si="2865"/>
        <v>0</v>
      </c>
      <c r="AA937" s="380">
        <f t="shared" si="2865"/>
        <v>0</v>
      </c>
      <c r="AB937" s="380">
        <f t="shared" si="2865"/>
        <v>0</v>
      </c>
      <c r="AC937" s="380">
        <f t="shared" si="2865"/>
        <v>0</v>
      </c>
      <c r="AD937" s="380">
        <f t="shared" si="2865"/>
        <v>0</v>
      </c>
      <c r="AE937" s="380">
        <f t="shared" si="2865"/>
        <v>0</v>
      </c>
      <c r="AF937" s="380">
        <f t="shared" si="2865"/>
        <v>0</v>
      </c>
      <c r="AG937" s="380">
        <f t="shared" si="2865"/>
        <v>0</v>
      </c>
      <c r="AH937" s="380">
        <f t="shared" si="2865"/>
        <v>0</v>
      </c>
      <c r="AI937" s="380">
        <f t="shared" si="2865"/>
        <v>0</v>
      </c>
      <c r="AJ937" s="380">
        <f t="shared" si="2865"/>
        <v>0</v>
      </c>
      <c r="AK937" s="380">
        <f t="shared" si="2865"/>
        <v>0</v>
      </c>
      <c r="AL937" s="380">
        <f t="shared" si="2865"/>
        <v>0</v>
      </c>
      <c r="AM937" s="629">
        <f t="shared" si="2862"/>
        <v>0</v>
      </c>
    </row>
    <row r="938" spans="2:39" hidden="1">
      <c r="B938" s="326" t="s">
        <v>340</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66">Y760*Y930</f>
        <v>0</v>
      </c>
      <c r="Z938" s="380">
        <f t="shared" si="2866"/>
        <v>0</v>
      </c>
      <c r="AA938" s="380">
        <f t="shared" si="2866"/>
        <v>0</v>
      </c>
      <c r="AB938" s="380">
        <f t="shared" si="2866"/>
        <v>0</v>
      </c>
      <c r="AC938" s="380">
        <f t="shared" si="2866"/>
        <v>0</v>
      </c>
      <c r="AD938" s="380">
        <f t="shared" si="2866"/>
        <v>0</v>
      </c>
      <c r="AE938" s="380">
        <f t="shared" si="2866"/>
        <v>0</v>
      </c>
      <c r="AF938" s="380">
        <f t="shared" si="2866"/>
        <v>0</v>
      </c>
      <c r="AG938" s="380">
        <f t="shared" si="2866"/>
        <v>0</v>
      </c>
      <c r="AH938" s="380">
        <f t="shared" si="2866"/>
        <v>0</v>
      </c>
      <c r="AI938" s="380">
        <f t="shared" si="2866"/>
        <v>0</v>
      </c>
      <c r="AJ938" s="380">
        <f t="shared" si="2866"/>
        <v>0</v>
      </c>
      <c r="AK938" s="380">
        <f t="shared" si="2866"/>
        <v>0</v>
      </c>
      <c r="AL938" s="380">
        <f t="shared" si="2866"/>
        <v>0</v>
      </c>
      <c r="AM938" s="629">
        <f t="shared" si="2862"/>
        <v>0</v>
      </c>
    </row>
    <row r="939" spans="2:39" hidden="1">
      <c r="B939" s="326" t="s">
        <v>341</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67">Z927*Z930</f>
        <v>0</v>
      </c>
      <c r="AA939" s="380">
        <f t="shared" si="2867"/>
        <v>0</v>
      </c>
      <c r="AB939" s="380">
        <f t="shared" si="2867"/>
        <v>0</v>
      </c>
      <c r="AC939" s="380">
        <f t="shared" si="2867"/>
        <v>0</v>
      </c>
      <c r="AD939" s="380">
        <f t="shared" si="2867"/>
        <v>0</v>
      </c>
      <c r="AE939" s="380">
        <f t="shared" si="2867"/>
        <v>0</v>
      </c>
      <c r="AF939" s="380">
        <f t="shared" si="2867"/>
        <v>0</v>
      </c>
      <c r="AG939" s="380">
        <f t="shared" si="2867"/>
        <v>0</v>
      </c>
      <c r="AH939" s="380">
        <f t="shared" si="2867"/>
        <v>0</v>
      </c>
      <c r="AI939" s="380">
        <f t="shared" si="2867"/>
        <v>0</v>
      </c>
      <c r="AJ939" s="380">
        <f t="shared" si="2867"/>
        <v>0</v>
      </c>
      <c r="AK939" s="380">
        <f t="shared" si="2867"/>
        <v>0</v>
      </c>
      <c r="AL939" s="380">
        <f t="shared" si="2867"/>
        <v>0</v>
      </c>
      <c r="AM939" s="629">
        <f t="shared" si="2862"/>
        <v>0</v>
      </c>
    </row>
    <row r="940" spans="2:39" ht="15.75" hidden="1">
      <c r="B940" s="351" t="s">
        <v>345</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68">SUM(Z931:Z939)</f>
        <v>0</v>
      </c>
      <c r="AA940" s="348">
        <f t="shared" si="2868"/>
        <v>0</v>
      </c>
      <c r="AB940" s="348">
        <f t="shared" si="2868"/>
        <v>0</v>
      </c>
      <c r="AC940" s="348">
        <f t="shared" si="2868"/>
        <v>0</v>
      </c>
      <c r="AD940" s="348">
        <f t="shared" si="2868"/>
        <v>0</v>
      </c>
      <c r="AE940" s="348">
        <f t="shared" si="2868"/>
        <v>0</v>
      </c>
      <c r="AF940" s="348">
        <f>SUM(AF931:AF939)</f>
        <v>0</v>
      </c>
      <c r="AG940" s="348">
        <f t="shared" ref="AG940:AL940" si="2869">SUM(AG931:AG939)</f>
        <v>0</v>
      </c>
      <c r="AH940" s="348">
        <f t="shared" si="2869"/>
        <v>0</v>
      </c>
      <c r="AI940" s="348">
        <f t="shared" si="2869"/>
        <v>0</v>
      </c>
      <c r="AJ940" s="348">
        <f t="shared" si="2869"/>
        <v>0</v>
      </c>
      <c r="AK940" s="348">
        <f t="shared" si="2869"/>
        <v>0</v>
      </c>
      <c r="AL940" s="348">
        <f t="shared" si="2869"/>
        <v>0</v>
      </c>
      <c r="AM940" s="409">
        <f>SUM(AM931:AM939)</f>
        <v>0</v>
      </c>
    </row>
    <row r="941" spans="2:39" ht="15.75" hidden="1">
      <c r="B941" s="351" t="s">
        <v>346</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70">Z928*Z930</f>
        <v>0</v>
      </c>
      <c r="AA941" s="349">
        <f t="shared" si="2870"/>
        <v>0</v>
      </c>
      <c r="AB941" s="349">
        <f t="shared" si="2870"/>
        <v>0</v>
      </c>
      <c r="AC941" s="349">
        <f t="shared" si="2870"/>
        <v>0</v>
      </c>
      <c r="AD941" s="349">
        <f t="shared" si="2870"/>
        <v>0</v>
      </c>
      <c r="AE941" s="349">
        <f t="shared" si="2870"/>
        <v>0</v>
      </c>
      <c r="AF941" s="349">
        <f>AF928*AF930</f>
        <v>0</v>
      </c>
      <c r="AG941" s="349">
        <f t="shared" ref="AG941:AL941" si="2871">AG928*AG930</f>
        <v>0</v>
      </c>
      <c r="AH941" s="349">
        <f t="shared" si="2871"/>
        <v>0</v>
      </c>
      <c r="AI941" s="349">
        <f t="shared" si="2871"/>
        <v>0</v>
      </c>
      <c r="AJ941" s="349">
        <f t="shared" si="2871"/>
        <v>0</v>
      </c>
      <c r="AK941" s="349">
        <f t="shared" si="2871"/>
        <v>0</v>
      </c>
      <c r="AL941" s="349">
        <f t="shared" si="2871"/>
        <v>0</v>
      </c>
      <c r="AM941" s="409">
        <f>SUM(Y941:AL941)</f>
        <v>0</v>
      </c>
    </row>
    <row r="942" spans="2:39" ht="15.75" hidden="1">
      <c r="B942" s="351" t="s">
        <v>347</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hidden="1">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hidden="1">
      <c r="B944" s="442" t="s">
        <v>342</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72">IF(AA768="kw",SUMPRODUCT($N$770:$N$925,$P$770:$P$925,AA770:AA925),SUMPRODUCT($E$770:$E$925,AA770:AA925))</f>
        <v>0</v>
      </c>
      <c r="AB944" s="328">
        <f t="shared" si="2872"/>
        <v>0</v>
      </c>
      <c r="AC944" s="328">
        <f t="shared" si="2872"/>
        <v>0</v>
      </c>
      <c r="AD944" s="328">
        <f t="shared" si="2872"/>
        <v>0</v>
      </c>
      <c r="AE944" s="328">
        <f t="shared" si="2872"/>
        <v>0</v>
      </c>
      <c r="AF944" s="328">
        <f t="shared" si="2872"/>
        <v>0</v>
      </c>
      <c r="AG944" s="328">
        <f t="shared" si="2872"/>
        <v>0</v>
      </c>
      <c r="AH944" s="328">
        <f t="shared" si="2872"/>
        <v>0</v>
      </c>
      <c r="AI944" s="328">
        <f t="shared" si="2872"/>
        <v>0</v>
      </c>
      <c r="AJ944" s="328">
        <f t="shared" si="2872"/>
        <v>0</v>
      </c>
      <c r="AK944" s="328">
        <f t="shared" si="2872"/>
        <v>0</v>
      </c>
      <c r="AL944" s="328">
        <f t="shared" si="2872"/>
        <v>0</v>
      </c>
      <c r="AM944" s="388"/>
    </row>
    <row r="945" spans="1:39" ht="18.75" hidden="1" customHeight="1">
      <c r="B945" s="370" t="s">
        <v>594</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hidden="1" collapsed="1"/>
    <row r="947" spans="1:39" hidden="1"/>
    <row r="948" spans="1:39" ht="15.75" hidden="1">
      <c r="B948" s="282" t="s">
        <v>343</v>
      </c>
      <c r="C948" s="283"/>
      <c r="D948" s="590" t="s">
        <v>530</v>
      </c>
      <c r="E948" s="255"/>
      <c r="F948" s="590"/>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hidden="1" customHeight="1">
      <c r="B949" s="868" t="s">
        <v>212</v>
      </c>
      <c r="C949" s="870" t="s">
        <v>33</v>
      </c>
      <c r="D949" s="286" t="s">
        <v>425</v>
      </c>
      <c r="E949" s="872" t="s">
        <v>210</v>
      </c>
      <c r="F949" s="873"/>
      <c r="G949" s="873"/>
      <c r="H949" s="873"/>
      <c r="I949" s="873"/>
      <c r="J949" s="873"/>
      <c r="K949" s="873"/>
      <c r="L949" s="873"/>
      <c r="M949" s="874"/>
      <c r="N949" s="878" t="s">
        <v>214</v>
      </c>
      <c r="O949" s="286" t="s">
        <v>426</v>
      </c>
      <c r="P949" s="872" t="s">
        <v>213</v>
      </c>
      <c r="Q949" s="873"/>
      <c r="R949" s="873"/>
      <c r="S949" s="873"/>
      <c r="T949" s="873"/>
      <c r="U949" s="873"/>
      <c r="V949" s="873"/>
      <c r="W949" s="873"/>
      <c r="X949" s="874"/>
      <c r="Y949" s="875" t="s">
        <v>245</v>
      </c>
      <c r="Z949" s="876"/>
      <c r="AA949" s="876"/>
      <c r="AB949" s="876"/>
      <c r="AC949" s="876"/>
      <c r="AD949" s="876"/>
      <c r="AE949" s="876"/>
      <c r="AF949" s="876"/>
      <c r="AG949" s="876"/>
      <c r="AH949" s="876"/>
      <c r="AI949" s="876"/>
      <c r="AJ949" s="876"/>
      <c r="AK949" s="876"/>
      <c r="AL949" s="876"/>
      <c r="AM949" s="877"/>
    </row>
    <row r="950" spans="1:39" ht="65.25" hidden="1" customHeight="1">
      <c r="B950" s="869"/>
      <c r="C950" s="871"/>
      <c r="D950" s="287">
        <v>2020</v>
      </c>
      <c r="E950" s="287">
        <v>2021</v>
      </c>
      <c r="F950" s="287">
        <v>2022</v>
      </c>
      <c r="G950" s="287">
        <v>2023</v>
      </c>
      <c r="H950" s="287">
        <v>2024</v>
      </c>
      <c r="I950" s="287">
        <v>2025</v>
      </c>
      <c r="J950" s="287">
        <v>2026</v>
      </c>
      <c r="K950" s="287">
        <v>2027</v>
      </c>
      <c r="L950" s="287">
        <v>2028</v>
      </c>
      <c r="M950" s="287">
        <v>2029</v>
      </c>
      <c r="N950" s="879"/>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GS&gt;50 kW</v>
      </c>
      <c r="AB950" s="287" t="str">
        <f>'1.  LRAMVA Summary'!G50</f>
        <v>Streetlights</v>
      </c>
      <c r="AC950" s="287" t="str">
        <f>'1.  LRAMVA Summary'!H50</f>
        <v>Unmetered Scattered Load</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hidden="1" customHeight="1">
      <c r="A951" s="532"/>
      <c r="B951" s="518" t="s">
        <v>507</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v>
      </c>
      <c r="AC951" s="293" t="str">
        <f>'1.  LRAMVA Summary'!H51</f>
        <v>KWh</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2"/>
      <c r="B952" s="504" t="s">
        <v>500</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2">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2"/>
      <c r="B954" s="296" t="s">
        <v>348</v>
      </c>
      <c r="C954" s="293" t="s">
        <v>164</v>
      </c>
      <c r="D954" s="297"/>
      <c r="E954" s="297"/>
      <c r="F954" s="297"/>
      <c r="G954" s="297"/>
      <c r="H954" s="297"/>
      <c r="I954" s="297"/>
      <c r="J954" s="297"/>
      <c r="K954" s="297"/>
      <c r="L954" s="297"/>
      <c r="M954" s="297"/>
      <c r="N954" s="469"/>
      <c r="O954" s="297"/>
      <c r="P954" s="297"/>
      <c r="Q954" s="297"/>
      <c r="R954" s="297"/>
      <c r="S954" s="297"/>
      <c r="T954" s="297"/>
      <c r="U954" s="297"/>
      <c r="V954" s="297"/>
      <c r="W954" s="297"/>
      <c r="X954" s="297"/>
      <c r="Y954" s="413">
        <f>Y953</f>
        <v>0</v>
      </c>
      <c r="Z954" s="413">
        <f t="shared" ref="Z954" si="2873">Z953</f>
        <v>0</v>
      </c>
      <c r="AA954" s="413">
        <f t="shared" ref="AA954" si="2874">AA953</f>
        <v>0</v>
      </c>
      <c r="AB954" s="413">
        <f t="shared" ref="AB954" si="2875">AB953</f>
        <v>0</v>
      </c>
      <c r="AC954" s="413">
        <f t="shared" ref="AC954" si="2876">AC953</f>
        <v>0</v>
      </c>
      <c r="AD954" s="413">
        <f t="shared" ref="AD954" si="2877">AD953</f>
        <v>0</v>
      </c>
      <c r="AE954" s="413">
        <f t="shared" ref="AE954" si="2878">AE953</f>
        <v>0</v>
      </c>
      <c r="AF954" s="413">
        <f t="shared" ref="AF954" si="2879">AF953</f>
        <v>0</v>
      </c>
      <c r="AG954" s="413">
        <f t="shared" ref="AG954" si="2880">AG953</f>
        <v>0</v>
      </c>
      <c r="AH954" s="413">
        <f t="shared" ref="AH954" si="2881">AH953</f>
        <v>0</v>
      </c>
      <c r="AI954" s="413">
        <f t="shared" ref="AI954" si="2882">AI953</f>
        <v>0</v>
      </c>
      <c r="AJ954" s="413">
        <f t="shared" ref="AJ954" si="2883">AJ953</f>
        <v>0</v>
      </c>
      <c r="AK954" s="413">
        <f t="shared" ref="AK954" si="2884">AK953</f>
        <v>0</v>
      </c>
      <c r="AL954" s="413">
        <f t="shared" ref="AL954" si="2885">AL953</f>
        <v>0</v>
      </c>
      <c r="AM954" s="299"/>
    </row>
    <row r="955" spans="1:39" ht="15" hidden="1" customHeight="1" outlineLevel="1">
      <c r="A955" s="532"/>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2">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2"/>
      <c r="B957" s="296" t="s">
        <v>348</v>
      </c>
      <c r="C957" s="293" t="s">
        <v>164</v>
      </c>
      <c r="D957" s="297"/>
      <c r="E957" s="297"/>
      <c r="F957" s="297"/>
      <c r="G957" s="297"/>
      <c r="H957" s="297"/>
      <c r="I957" s="297"/>
      <c r="J957" s="297"/>
      <c r="K957" s="297"/>
      <c r="L957" s="297"/>
      <c r="M957" s="297"/>
      <c r="N957" s="469"/>
      <c r="O957" s="297"/>
      <c r="P957" s="297"/>
      <c r="Q957" s="297"/>
      <c r="R957" s="297"/>
      <c r="S957" s="297"/>
      <c r="T957" s="297"/>
      <c r="U957" s="297"/>
      <c r="V957" s="297"/>
      <c r="W957" s="297"/>
      <c r="X957" s="297"/>
      <c r="Y957" s="413">
        <f>Y956</f>
        <v>0</v>
      </c>
      <c r="Z957" s="413">
        <f t="shared" ref="Z957" si="2886">Z956</f>
        <v>0</v>
      </c>
      <c r="AA957" s="413">
        <f t="shared" ref="AA957" si="2887">AA956</f>
        <v>0</v>
      </c>
      <c r="AB957" s="413">
        <f t="shared" ref="AB957" si="2888">AB956</f>
        <v>0</v>
      </c>
      <c r="AC957" s="413">
        <f t="shared" ref="AC957" si="2889">AC956</f>
        <v>0</v>
      </c>
      <c r="AD957" s="413">
        <f t="shared" ref="AD957" si="2890">AD956</f>
        <v>0</v>
      </c>
      <c r="AE957" s="413">
        <f t="shared" ref="AE957" si="2891">AE956</f>
        <v>0</v>
      </c>
      <c r="AF957" s="413">
        <f t="shared" ref="AF957" si="2892">AF956</f>
        <v>0</v>
      </c>
      <c r="AG957" s="413">
        <f t="shared" ref="AG957" si="2893">AG956</f>
        <v>0</v>
      </c>
      <c r="AH957" s="413">
        <f t="shared" ref="AH957" si="2894">AH956</f>
        <v>0</v>
      </c>
      <c r="AI957" s="413">
        <f t="shared" ref="AI957" si="2895">AI956</f>
        <v>0</v>
      </c>
      <c r="AJ957" s="413">
        <f t="shared" ref="AJ957" si="2896">AJ956</f>
        <v>0</v>
      </c>
      <c r="AK957" s="413">
        <f t="shared" ref="AK957" si="2897">AK956</f>
        <v>0</v>
      </c>
      <c r="AL957" s="413">
        <f t="shared" ref="AL957" si="2898">AL956</f>
        <v>0</v>
      </c>
      <c r="AM957" s="299"/>
    </row>
    <row r="958" spans="1:39" ht="15" hidden="1" customHeight="1" outlineLevel="1">
      <c r="A958" s="532"/>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2">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2"/>
      <c r="B960" s="296" t="s">
        <v>348</v>
      </c>
      <c r="C960" s="293" t="s">
        <v>164</v>
      </c>
      <c r="D960" s="297"/>
      <c r="E960" s="297"/>
      <c r="F960" s="297"/>
      <c r="G960" s="297"/>
      <c r="H960" s="297"/>
      <c r="I960" s="297"/>
      <c r="J960" s="297"/>
      <c r="K960" s="297"/>
      <c r="L960" s="297"/>
      <c r="M960" s="297"/>
      <c r="N960" s="469"/>
      <c r="O960" s="297"/>
      <c r="P960" s="297"/>
      <c r="Q960" s="297"/>
      <c r="R960" s="297"/>
      <c r="S960" s="297"/>
      <c r="T960" s="297"/>
      <c r="U960" s="297"/>
      <c r="V960" s="297"/>
      <c r="W960" s="297"/>
      <c r="X960" s="297"/>
      <c r="Y960" s="413">
        <f>Y959</f>
        <v>0</v>
      </c>
      <c r="Z960" s="413">
        <f t="shared" ref="Z960" si="2899">Z959</f>
        <v>0</v>
      </c>
      <c r="AA960" s="413">
        <f t="shared" ref="AA960" si="2900">AA959</f>
        <v>0</v>
      </c>
      <c r="AB960" s="413">
        <f t="shared" ref="AB960" si="2901">AB959</f>
        <v>0</v>
      </c>
      <c r="AC960" s="413">
        <f t="shared" ref="AC960" si="2902">AC959</f>
        <v>0</v>
      </c>
      <c r="AD960" s="413">
        <f t="shared" ref="AD960" si="2903">AD959</f>
        <v>0</v>
      </c>
      <c r="AE960" s="413">
        <f t="shared" ref="AE960" si="2904">AE959</f>
        <v>0</v>
      </c>
      <c r="AF960" s="413">
        <f t="shared" ref="AF960" si="2905">AF959</f>
        <v>0</v>
      </c>
      <c r="AG960" s="413">
        <f t="shared" ref="AG960" si="2906">AG959</f>
        <v>0</v>
      </c>
      <c r="AH960" s="413">
        <f t="shared" ref="AH960" si="2907">AH959</f>
        <v>0</v>
      </c>
      <c r="AI960" s="413">
        <f t="shared" ref="AI960" si="2908">AI959</f>
        <v>0</v>
      </c>
      <c r="AJ960" s="413">
        <f t="shared" ref="AJ960" si="2909">AJ959</f>
        <v>0</v>
      </c>
      <c r="AK960" s="413">
        <f t="shared" ref="AK960" si="2910">AK959</f>
        <v>0</v>
      </c>
      <c r="AL960" s="413">
        <f t="shared" ref="AL960" si="2911">AL959</f>
        <v>0</v>
      </c>
      <c r="AM960" s="299"/>
    </row>
    <row r="961" spans="1:39" ht="15" hidden="1" customHeight="1" outlineLevel="1">
      <c r="A961" s="532"/>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2">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2"/>
      <c r="B963" s="296" t="s">
        <v>348</v>
      </c>
      <c r="C963" s="293" t="s">
        <v>164</v>
      </c>
      <c r="D963" s="297"/>
      <c r="E963" s="297"/>
      <c r="F963" s="297"/>
      <c r="G963" s="297"/>
      <c r="H963" s="297"/>
      <c r="I963" s="297"/>
      <c r="J963" s="297"/>
      <c r="K963" s="297"/>
      <c r="L963" s="297"/>
      <c r="M963" s="297"/>
      <c r="N963" s="469"/>
      <c r="O963" s="297"/>
      <c r="P963" s="297"/>
      <c r="Q963" s="297"/>
      <c r="R963" s="297"/>
      <c r="S963" s="297"/>
      <c r="T963" s="297"/>
      <c r="U963" s="297"/>
      <c r="V963" s="297"/>
      <c r="W963" s="297"/>
      <c r="X963" s="297"/>
      <c r="Y963" s="413">
        <f>Y962</f>
        <v>0</v>
      </c>
      <c r="Z963" s="413">
        <f t="shared" ref="Z963" si="2912">Z962</f>
        <v>0</v>
      </c>
      <c r="AA963" s="413">
        <f t="shared" ref="AA963" si="2913">AA962</f>
        <v>0</v>
      </c>
      <c r="AB963" s="413">
        <f t="shared" ref="AB963" si="2914">AB962</f>
        <v>0</v>
      </c>
      <c r="AC963" s="413">
        <f t="shared" ref="AC963" si="2915">AC962</f>
        <v>0</v>
      </c>
      <c r="AD963" s="413">
        <f t="shared" ref="AD963" si="2916">AD962</f>
        <v>0</v>
      </c>
      <c r="AE963" s="413">
        <f t="shared" ref="AE963" si="2917">AE962</f>
        <v>0</v>
      </c>
      <c r="AF963" s="413">
        <f t="shared" ref="AF963" si="2918">AF962</f>
        <v>0</v>
      </c>
      <c r="AG963" s="413">
        <f t="shared" ref="AG963" si="2919">AG962</f>
        <v>0</v>
      </c>
      <c r="AH963" s="413">
        <f t="shared" ref="AH963" si="2920">AH962</f>
        <v>0</v>
      </c>
      <c r="AI963" s="413">
        <f t="shared" ref="AI963" si="2921">AI962</f>
        <v>0</v>
      </c>
      <c r="AJ963" s="413">
        <f t="shared" ref="AJ963" si="2922">AJ962</f>
        <v>0</v>
      </c>
      <c r="AK963" s="413">
        <f t="shared" ref="AK963" si="2923">AK962</f>
        <v>0</v>
      </c>
      <c r="AL963" s="413">
        <f t="shared" ref="AL963" si="2924">AL962</f>
        <v>0</v>
      </c>
      <c r="AM963" s="299"/>
    </row>
    <row r="964" spans="1:39" ht="15" hidden="1" customHeight="1" outlineLevel="1">
      <c r="A964" s="532"/>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2">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2"/>
      <c r="B966" s="296" t="s">
        <v>348</v>
      </c>
      <c r="C966" s="293" t="s">
        <v>164</v>
      </c>
      <c r="D966" s="297"/>
      <c r="E966" s="297"/>
      <c r="F966" s="297"/>
      <c r="G966" s="297"/>
      <c r="H966" s="297"/>
      <c r="I966" s="297"/>
      <c r="J966" s="297"/>
      <c r="K966" s="297"/>
      <c r="L966" s="297"/>
      <c r="M966" s="297"/>
      <c r="N966" s="469"/>
      <c r="O966" s="297"/>
      <c r="P966" s="297"/>
      <c r="Q966" s="297"/>
      <c r="R966" s="297"/>
      <c r="S966" s="297"/>
      <c r="T966" s="297"/>
      <c r="U966" s="297"/>
      <c r="V966" s="297"/>
      <c r="W966" s="297"/>
      <c r="X966" s="297"/>
      <c r="Y966" s="413">
        <f>Y965</f>
        <v>0</v>
      </c>
      <c r="Z966" s="413">
        <f t="shared" ref="Z966" si="2925">Z965</f>
        <v>0</v>
      </c>
      <c r="AA966" s="413">
        <f t="shared" ref="AA966" si="2926">AA965</f>
        <v>0</v>
      </c>
      <c r="AB966" s="413">
        <f t="shared" ref="AB966" si="2927">AB965</f>
        <v>0</v>
      </c>
      <c r="AC966" s="413">
        <f t="shared" ref="AC966" si="2928">AC965</f>
        <v>0</v>
      </c>
      <c r="AD966" s="413">
        <f t="shared" ref="AD966" si="2929">AD965</f>
        <v>0</v>
      </c>
      <c r="AE966" s="413">
        <f t="shared" ref="AE966" si="2930">AE965</f>
        <v>0</v>
      </c>
      <c r="AF966" s="413">
        <f t="shared" ref="AF966" si="2931">AF965</f>
        <v>0</v>
      </c>
      <c r="AG966" s="413">
        <f t="shared" ref="AG966" si="2932">AG965</f>
        <v>0</v>
      </c>
      <c r="AH966" s="413">
        <f t="shared" ref="AH966" si="2933">AH965</f>
        <v>0</v>
      </c>
      <c r="AI966" s="413">
        <f t="shared" ref="AI966" si="2934">AI965</f>
        <v>0</v>
      </c>
      <c r="AJ966" s="413">
        <f t="shared" ref="AJ966" si="2935">AJ965</f>
        <v>0</v>
      </c>
      <c r="AK966" s="413">
        <f t="shared" ref="AK966" si="2936">AK965</f>
        <v>0</v>
      </c>
      <c r="AL966" s="413">
        <f t="shared" ref="AL966" si="2937">AL965</f>
        <v>0</v>
      </c>
      <c r="AM966" s="299"/>
    </row>
    <row r="967" spans="1:39" ht="15" hidden="1" customHeight="1" outlineLevel="1">
      <c r="A967" s="532"/>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2"/>
      <c r="B968" s="321" t="s">
        <v>501</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2">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2"/>
      <c r="B970" s="296" t="s">
        <v>348</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38">Z969</f>
        <v>0</v>
      </c>
      <c r="AA970" s="413">
        <f t="shared" ref="AA970" si="2939">AA969</f>
        <v>0</v>
      </c>
      <c r="AB970" s="413">
        <f t="shared" ref="AB970" si="2940">AB969</f>
        <v>0</v>
      </c>
      <c r="AC970" s="413">
        <f t="shared" ref="AC970" si="2941">AC969</f>
        <v>0</v>
      </c>
      <c r="AD970" s="413">
        <f t="shared" ref="AD970" si="2942">AD969</f>
        <v>0</v>
      </c>
      <c r="AE970" s="413">
        <f t="shared" ref="AE970" si="2943">AE969</f>
        <v>0</v>
      </c>
      <c r="AF970" s="413">
        <f t="shared" ref="AF970" si="2944">AF969</f>
        <v>0</v>
      </c>
      <c r="AG970" s="413">
        <f t="shared" ref="AG970" si="2945">AG969</f>
        <v>0</v>
      </c>
      <c r="AH970" s="413">
        <f t="shared" ref="AH970" si="2946">AH969</f>
        <v>0</v>
      </c>
      <c r="AI970" s="413">
        <f t="shared" ref="AI970" si="2947">AI969</f>
        <v>0</v>
      </c>
      <c r="AJ970" s="413">
        <f t="shared" ref="AJ970" si="2948">AJ969</f>
        <v>0</v>
      </c>
      <c r="AK970" s="413">
        <f t="shared" ref="AK970" si="2949">AK969</f>
        <v>0</v>
      </c>
      <c r="AL970" s="413">
        <f t="shared" ref="AL970" si="2950">AL969</f>
        <v>0</v>
      </c>
      <c r="AM970" s="313"/>
    </row>
    <row r="971" spans="1:39" ht="15" hidden="1" customHeight="1" outlineLevel="1">
      <c r="A971" s="532"/>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2">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2"/>
      <c r="B973" s="296" t="s">
        <v>348</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51">Z972</f>
        <v>0</v>
      </c>
      <c r="AA973" s="413">
        <f t="shared" ref="AA973" si="2952">AA972</f>
        <v>0</v>
      </c>
      <c r="AB973" s="413">
        <f t="shared" ref="AB973" si="2953">AB972</f>
        <v>0</v>
      </c>
      <c r="AC973" s="413">
        <f t="shared" ref="AC973" si="2954">AC972</f>
        <v>0</v>
      </c>
      <c r="AD973" s="413">
        <f t="shared" ref="AD973" si="2955">AD972</f>
        <v>0</v>
      </c>
      <c r="AE973" s="413">
        <f t="shared" ref="AE973" si="2956">AE972</f>
        <v>0</v>
      </c>
      <c r="AF973" s="413">
        <f t="shared" ref="AF973" si="2957">AF972</f>
        <v>0</v>
      </c>
      <c r="AG973" s="413">
        <f t="shared" ref="AG973" si="2958">AG972</f>
        <v>0</v>
      </c>
      <c r="AH973" s="413">
        <f t="shared" ref="AH973" si="2959">AH972</f>
        <v>0</v>
      </c>
      <c r="AI973" s="413">
        <f t="shared" ref="AI973" si="2960">AI972</f>
        <v>0</v>
      </c>
      <c r="AJ973" s="413">
        <f t="shared" ref="AJ973" si="2961">AJ972</f>
        <v>0</v>
      </c>
      <c r="AK973" s="413">
        <f t="shared" ref="AK973" si="2962">AK972</f>
        <v>0</v>
      </c>
      <c r="AL973" s="413">
        <f t="shared" ref="AL973" si="2963">AL972</f>
        <v>0</v>
      </c>
      <c r="AM973" s="313"/>
    </row>
    <row r="974" spans="1:39" ht="15" hidden="1" customHeight="1" outlineLevel="1">
      <c r="A974" s="532"/>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2">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2"/>
      <c r="B976" s="296" t="s">
        <v>348</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64">Z975</f>
        <v>0</v>
      </c>
      <c r="AA976" s="413">
        <f t="shared" ref="AA976" si="2965">AA975</f>
        <v>0</v>
      </c>
      <c r="AB976" s="413">
        <f t="shared" ref="AB976" si="2966">AB975</f>
        <v>0</v>
      </c>
      <c r="AC976" s="413">
        <f t="shared" ref="AC976" si="2967">AC975</f>
        <v>0</v>
      </c>
      <c r="AD976" s="413">
        <f t="shared" ref="AD976" si="2968">AD975</f>
        <v>0</v>
      </c>
      <c r="AE976" s="413">
        <f t="shared" ref="AE976" si="2969">AE975</f>
        <v>0</v>
      </c>
      <c r="AF976" s="413">
        <f t="shared" ref="AF976" si="2970">AF975</f>
        <v>0</v>
      </c>
      <c r="AG976" s="413">
        <f t="shared" ref="AG976" si="2971">AG975</f>
        <v>0</v>
      </c>
      <c r="AH976" s="413">
        <f t="shared" ref="AH976" si="2972">AH975</f>
        <v>0</v>
      </c>
      <c r="AI976" s="413">
        <f t="shared" ref="AI976" si="2973">AI975</f>
        <v>0</v>
      </c>
      <c r="AJ976" s="413">
        <f t="shared" ref="AJ976" si="2974">AJ975</f>
        <v>0</v>
      </c>
      <c r="AK976" s="413">
        <f t="shared" ref="AK976" si="2975">AK975</f>
        <v>0</v>
      </c>
      <c r="AL976" s="413">
        <f t="shared" ref="AL976" si="2976">AL975</f>
        <v>0</v>
      </c>
      <c r="AM976" s="313"/>
    </row>
    <row r="977" spans="1:39" ht="15" hidden="1" customHeight="1" outlineLevel="1">
      <c r="A977" s="532"/>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2">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2"/>
      <c r="B979" s="296" t="s">
        <v>348</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77">Z978</f>
        <v>0</v>
      </c>
      <c r="AA979" s="413">
        <f t="shared" ref="AA979" si="2978">AA978</f>
        <v>0</v>
      </c>
      <c r="AB979" s="413">
        <f t="shared" ref="AB979" si="2979">AB978</f>
        <v>0</v>
      </c>
      <c r="AC979" s="413">
        <f t="shared" ref="AC979" si="2980">AC978</f>
        <v>0</v>
      </c>
      <c r="AD979" s="413">
        <f t="shared" ref="AD979" si="2981">AD978</f>
        <v>0</v>
      </c>
      <c r="AE979" s="413">
        <f t="shared" ref="AE979" si="2982">AE978</f>
        <v>0</v>
      </c>
      <c r="AF979" s="413">
        <f t="shared" ref="AF979" si="2983">AF978</f>
        <v>0</v>
      </c>
      <c r="AG979" s="413">
        <f t="shared" ref="AG979" si="2984">AG978</f>
        <v>0</v>
      </c>
      <c r="AH979" s="413">
        <f t="shared" ref="AH979" si="2985">AH978</f>
        <v>0</v>
      </c>
      <c r="AI979" s="413">
        <f t="shared" ref="AI979" si="2986">AI978</f>
        <v>0</v>
      </c>
      <c r="AJ979" s="413">
        <f t="shared" ref="AJ979" si="2987">AJ978</f>
        <v>0</v>
      </c>
      <c r="AK979" s="413">
        <f t="shared" ref="AK979" si="2988">AK978</f>
        <v>0</v>
      </c>
      <c r="AL979" s="413">
        <f t="shared" ref="AL979" si="2989">AL978</f>
        <v>0</v>
      </c>
      <c r="AM979" s="313"/>
    </row>
    <row r="980" spans="1:39" ht="15" hidden="1" customHeight="1" outlineLevel="1">
      <c r="A980" s="532"/>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2">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2"/>
      <c r="B982" s="296" t="s">
        <v>348</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90">Z981</f>
        <v>0</v>
      </c>
      <c r="AA982" s="413">
        <f t="shared" ref="AA982" si="2991">AA981</f>
        <v>0</v>
      </c>
      <c r="AB982" s="413">
        <f t="shared" ref="AB982" si="2992">AB981</f>
        <v>0</v>
      </c>
      <c r="AC982" s="413">
        <f t="shared" ref="AC982" si="2993">AC981</f>
        <v>0</v>
      </c>
      <c r="AD982" s="413">
        <f t="shared" ref="AD982" si="2994">AD981</f>
        <v>0</v>
      </c>
      <c r="AE982" s="413">
        <f t="shared" ref="AE982" si="2995">AE981</f>
        <v>0</v>
      </c>
      <c r="AF982" s="413">
        <f t="shared" ref="AF982" si="2996">AF981</f>
        <v>0</v>
      </c>
      <c r="AG982" s="413">
        <f t="shared" ref="AG982" si="2997">AG981</f>
        <v>0</v>
      </c>
      <c r="AH982" s="413">
        <f t="shared" ref="AH982" si="2998">AH981</f>
        <v>0</v>
      </c>
      <c r="AI982" s="413">
        <f t="shared" ref="AI982" si="2999">AI981</f>
        <v>0</v>
      </c>
      <c r="AJ982" s="413">
        <f t="shared" ref="AJ982" si="3000">AJ981</f>
        <v>0</v>
      </c>
      <c r="AK982" s="413">
        <f t="shared" ref="AK982" si="3001">AK981</f>
        <v>0</v>
      </c>
      <c r="AL982" s="413">
        <f t="shared" ref="AL982" si="3002">AL981</f>
        <v>0</v>
      </c>
      <c r="AM982" s="313"/>
    </row>
    <row r="983" spans="1:39" ht="15" hidden="1" customHeight="1" outlineLevel="1">
      <c r="A983" s="532"/>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2"/>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2">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2"/>
      <c r="B986" s="296" t="s">
        <v>348</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3003">Z985</f>
        <v>0</v>
      </c>
      <c r="AA986" s="413">
        <f t="shared" ref="AA986" si="3004">AA985</f>
        <v>0</v>
      </c>
      <c r="AB986" s="413">
        <f t="shared" ref="AB986" si="3005">AB985</f>
        <v>0</v>
      </c>
      <c r="AC986" s="413">
        <f t="shared" ref="AC986" si="3006">AC985</f>
        <v>0</v>
      </c>
      <c r="AD986" s="413">
        <f t="shared" ref="AD986" si="3007">AD985</f>
        <v>0</v>
      </c>
      <c r="AE986" s="413">
        <f t="shared" ref="AE986" si="3008">AE985</f>
        <v>0</v>
      </c>
      <c r="AF986" s="413">
        <f t="shared" ref="AF986" si="3009">AF985</f>
        <v>0</v>
      </c>
      <c r="AG986" s="413">
        <f t="shared" ref="AG986" si="3010">AG985</f>
        <v>0</v>
      </c>
      <c r="AH986" s="413">
        <f t="shared" ref="AH986" si="3011">AH985</f>
        <v>0</v>
      </c>
      <c r="AI986" s="413">
        <f t="shared" ref="AI986" si="3012">AI985</f>
        <v>0</v>
      </c>
      <c r="AJ986" s="413">
        <f t="shared" ref="AJ986" si="3013">AJ985</f>
        <v>0</v>
      </c>
      <c r="AK986" s="413">
        <f t="shared" ref="AK986" si="3014">AK985</f>
        <v>0</v>
      </c>
      <c r="AL986" s="413">
        <f t="shared" ref="AL986" si="3015">AL985</f>
        <v>0</v>
      </c>
      <c r="AM986" s="299"/>
    </row>
    <row r="987" spans="1:39" ht="15" hidden="1" customHeight="1" outlineLevel="1">
      <c r="A987" s="532"/>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2">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2"/>
      <c r="B989" s="296" t="s">
        <v>348</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16">Z988</f>
        <v>0</v>
      </c>
      <c r="AA989" s="413">
        <f t="shared" ref="AA989" si="3017">AA988</f>
        <v>0</v>
      </c>
      <c r="AB989" s="413">
        <f t="shared" ref="AB989" si="3018">AB988</f>
        <v>0</v>
      </c>
      <c r="AC989" s="413">
        <f t="shared" ref="AC989" si="3019">AC988</f>
        <v>0</v>
      </c>
      <c r="AD989" s="413">
        <f t="shared" ref="AD989" si="3020">AD988</f>
        <v>0</v>
      </c>
      <c r="AE989" s="413">
        <f t="shared" ref="AE989" si="3021">AE988</f>
        <v>0</v>
      </c>
      <c r="AF989" s="413">
        <f t="shared" ref="AF989" si="3022">AF988</f>
        <v>0</v>
      </c>
      <c r="AG989" s="413">
        <f t="shared" ref="AG989" si="3023">AG988</f>
        <v>0</v>
      </c>
      <c r="AH989" s="413">
        <f t="shared" ref="AH989" si="3024">AH988</f>
        <v>0</v>
      </c>
      <c r="AI989" s="413">
        <f t="shared" ref="AI989" si="3025">AI988</f>
        <v>0</v>
      </c>
      <c r="AJ989" s="413">
        <f t="shared" ref="AJ989" si="3026">AJ988</f>
        <v>0</v>
      </c>
      <c r="AK989" s="413">
        <f t="shared" ref="AK989" si="3027">AK988</f>
        <v>0</v>
      </c>
      <c r="AL989" s="413">
        <f t="shared" ref="AL989" si="3028">AL988</f>
        <v>0</v>
      </c>
      <c r="AM989" s="299"/>
    </row>
    <row r="990" spans="1:39" ht="15" hidden="1" customHeight="1" outlineLevel="1">
      <c r="A990" s="532"/>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2">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2"/>
      <c r="B992" s="296" t="s">
        <v>348</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29">Z991</f>
        <v>0</v>
      </c>
      <c r="AA992" s="413">
        <f t="shared" ref="AA992" si="3030">AA991</f>
        <v>0</v>
      </c>
      <c r="AB992" s="413">
        <f t="shared" ref="AB992" si="3031">AB991</f>
        <v>0</v>
      </c>
      <c r="AC992" s="413">
        <f t="shared" ref="AC992" si="3032">AC991</f>
        <v>0</v>
      </c>
      <c r="AD992" s="413">
        <f t="shared" ref="AD992" si="3033">AD991</f>
        <v>0</v>
      </c>
      <c r="AE992" s="413">
        <f t="shared" ref="AE992" si="3034">AE991</f>
        <v>0</v>
      </c>
      <c r="AF992" s="413">
        <f t="shared" ref="AF992" si="3035">AF991</f>
        <v>0</v>
      </c>
      <c r="AG992" s="413">
        <f t="shared" ref="AG992" si="3036">AG991</f>
        <v>0</v>
      </c>
      <c r="AH992" s="413">
        <f t="shared" ref="AH992" si="3037">AH991</f>
        <v>0</v>
      </c>
      <c r="AI992" s="413">
        <f t="shared" ref="AI992" si="3038">AI991</f>
        <v>0</v>
      </c>
      <c r="AJ992" s="413">
        <f t="shared" ref="AJ992" si="3039">AJ991</f>
        <v>0</v>
      </c>
      <c r="AK992" s="413">
        <f t="shared" ref="AK992" si="3040">AK991</f>
        <v>0</v>
      </c>
      <c r="AL992" s="413">
        <f t="shared" ref="AL992" si="3041">AL991</f>
        <v>0</v>
      </c>
      <c r="AM992" s="308"/>
    </row>
    <row r="993" spans="1:40" ht="15" hidden="1" customHeight="1" outlineLevel="1">
      <c r="A993" s="532"/>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2"/>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2">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2"/>
      <c r="B996" s="296" t="s">
        <v>348</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42">Z995</f>
        <v>0</v>
      </c>
      <c r="AA996" s="413">
        <f t="shared" ref="AA996" si="3043">AA995</f>
        <v>0</v>
      </c>
      <c r="AB996" s="413">
        <f t="shared" ref="AB996" si="3044">AB995</f>
        <v>0</v>
      </c>
      <c r="AC996" s="413">
        <f t="shared" ref="AC996" si="3045">AC995</f>
        <v>0</v>
      </c>
      <c r="AD996" s="413">
        <f t="shared" ref="AD996" si="3046">AD995</f>
        <v>0</v>
      </c>
      <c r="AE996" s="413">
        <f t="shared" ref="AE996" si="3047">AE995</f>
        <v>0</v>
      </c>
      <c r="AF996" s="413">
        <f t="shared" ref="AF996" si="3048">AF995</f>
        <v>0</v>
      </c>
      <c r="AG996" s="413">
        <f t="shared" ref="AG996" si="3049">AG995</f>
        <v>0</v>
      </c>
      <c r="AH996" s="413">
        <f t="shared" ref="AH996" si="3050">AH995</f>
        <v>0</v>
      </c>
      <c r="AI996" s="413">
        <f t="shared" ref="AI996" si="3051">AI995</f>
        <v>0</v>
      </c>
      <c r="AJ996" s="413">
        <f t="shared" ref="AJ996" si="3052">AJ995</f>
        <v>0</v>
      </c>
      <c r="AK996" s="413">
        <f t="shared" ref="AK996" si="3053">AK995</f>
        <v>0</v>
      </c>
      <c r="AL996" s="413">
        <f t="shared" ref="AL996" si="3054">AL995</f>
        <v>0</v>
      </c>
      <c r="AM996" s="299"/>
    </row>
    <row r="997" spans="1:40" ht="15" hidden="1" customHeight="1" outlineLevel="1">
      <c r="A997" s="532"/>
      <c r="B997" s="317"/>
      <c r="C997" s="307"/>
      <c r="D997" s="293"/>
      <c r="E997" s="293"/>
      <c r="F997" s="293"/>
      <c r="G997" s="293"/>
      <c r="H997" s="293"/>
      <c r="I997" s="293"/>
      <c r="J997" s="293"/>
      <c r="K997" s="293"/>
      <c r="L997" s="293"/>
      <c r="M997" s="293"/>
      <c r="N997" s="469"/>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0"/>
    </row>
    <row r="998" spans="1:40" s="311" customFormat="1" ht="15.75" hidden="1" outlineLevel="1">
      <c r="A998" s="532"/>
      <c r="B998" s="290" t="s">
        <v>493</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7"/>
      <c r="AN998" s="631"/>
    </row>
    <row r="999" spans="1:40" hidden="1" outlineLevel="1">
      <c r="A999" s="532">
        <v>15</v>
      </c>
      <c r="B999" s="296" t="s">
        <v>498</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2">
        <f>SUM(Y999:AL999)</f>
        <v>0</v>
      </c>
      <c r="AN999" s="630"/>
    </row>
    <row r="1000" spans="1:40" hidden="1" outlineLevel="1">
      <c r="A1000" s="532"/>
      <c r="B1000" s="296" t="s">
        <v>344</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55">AA999</f>
        <v>0</v>
      </c>
      <c r="AB1000" s="413">
        <f t="shared" si="3055"/>
        <v>0</v>
      </c>
      <c r="AC1000" s="413">
        <f t="shared" si="3055"/>
        <v>0</v>
      </c>
      <c r="AD1000" s="413">
        <f>AD999</f>
        <v>0</v>
      </c>
      <c r="AE1000" s="413">
        <f t="shared" si="3055"/>
        <v>0</v>
      </c>
      <c r="AF1000" s="413">
        <f t="shared" si="3055"/>
        <v>0</v>
      </c>
      <c r="AG1000" s="413">
        <f t="shared" si="3055"/>
        <v>0</v>
      </c>
      <c r="AH1000" s="413">
        <f t="shared" si="3055"/>
        <v>0</v>
      </c>
      <c r="AI1000" s="413">
        <f t="shared" si="3055"/>
        <v>0</v>
      </c>
      <c r="AJ1000" s="413">
        <f t="shared" si="3055"/>
        <v>0</v>
      </c>
      <c r="AK1000" s="413">
        <f t="shared" si="3055"/>
        <v>0</v>
      </c>
      <c r="AL1000" s="413">
        <f t="shared" si="3055"/>
        <v>0</v>
      </c>
      <c r="AM1000" s="299"/>
    </row>
    <row r="1001" spans="1:40" hidden="1" outlineLevel="1">
      <c r="A1001" s="532"/>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2">
        <v>16</v>
      </c>
      <c r="B1002" s="326" t="s">
        <v>494</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2"/>
      <c r="B1003" s="296" t="s">
        <v>344</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56">Z1002</f>
        <v>0</v>
      </c>
      <c r="AA1003" s="413">
        <f t="shared" si="3056"/>
        <v>0</v>
      </c>
      <c r="AB1003" s="413">
        <f t="shared" si="3056"/>
        <v>0</v>
      </c>
      <c r="AC1003" s="413">
        <f t="shared" si="3056"/>
        <v>0</v>
      </c>
      <c r="AD1003" s="413">
        <f t="shared" si="3056"/>
        <v>0</v>
      </c>
      <c r="AE1003" s="413">
        <f t="shared" si="3056"/>
        <v>0</v>
      </c>
      <c r="AF1003" s="413">
        <f t="shared" si="3056"/>
        <v>0</v>
      </c>
      <c r="AG1003" s="413">
        <f t="shared" si="3056"/>
        <v>0</v>
      </c>
      <c r="AH1003" s="413">
        <f t="shared" si="3056"/>
        <v>0</v>
      </c>
      <c r="AI1003" s="413">
        <f t="shared" si="3056"/>
        <v>0</v>
      </c>
      <c r="AJ1003" s="413">
        <f t="shared" si="3056"/>
        <v>0</v>
      </c>
      <c r="AK1003" s="413">
        <f t="shared" si="3056"/>
        <v>0</v>
      </c>
      <c r="AL1003" s="413">
        <f>AL1002</f>
        <v>0</v>
      </c>
      <c r="AM1003" s="299"/>
    </row>
    <row r="1004" spans="1:40" s="285" customFormat="1" hidden="1" outlineLevel="1">
      <c r="A1004" s="532"/>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2"/>
      <c r="B1005" s="519" t="s">
        <v>499</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2">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2"/>
      <c r="B1007" s="296" t="s">
        <v>344</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57">Z1006</f>
        <v>0</v>
      </c>
      <c r="AA1007" s="413">
        <f t="shared" si="3057"/>
        <v>0</v>
      </c>
      <c r="AB1007" s="413">
        <f t="shared" si="3057"/>
        <v>0</v>
      </c>
      <c r="AC1007" s="413">
        <f t="shared" si="3057"/>
        <v>0</v>
      </c>
      <c r="AD1007" s="413">
        <f t="shared" si="3057"/>
        <v>0</v>
      </c>
      <c r="AE1007" s="413">
        <f t="shared" si="3057"/>
        <v>0</v>
      </c>
      <c r="AF1007" s="413">
        <f t="shared" si="3057"/>
        <v>0</v>
      </c>
      <c r="AG1007" s="413">
        <f t="shared" si="3057"/>
        <v>0</v>
      </c>
      <c r="AH1007" s="413">
        <f t="shared" si="3057"/>
        <v>0</v>
      </c>
      <c r="AI1007" s="413">
        <f t="shared" si="3057"/>
        <v>0</v>
      </c>
      <c r="AJ1007" s="413">
        <f t="shared" si="3057"/>
        <v>0</v>
      </c>
      <c r="AK1007" s="413">
        <f t="shared" si="3057"/>
        <v>0</v>
      </c>
      <c r="AL1007" s="413">
        <f t="shared" si="3057"/>
        <v>0</v>
      </c>
      <c r="AM1007" s="308"/>
    </row>
    <row r="1008" spans="1:40" hidden="1" outlineLevel="1">
      <c r="A1008" s="532"/>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2">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2"/>
      <c r="B1010" s="296" t="s">
        <v>344</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58">Z1009</f>
        <v>0</v>
      </c>
      <c r="AA1010" s="413">
        <f t="shared" si="3058"/>
        <v>0</v>
      </c>
      <c r="AB1010" s="413">
        <f t="shared" si="3058"/>
        <v>0</v>
      </c>
      <c r="AC1010" s="413">
        <f t="shared" si="3058"/>
        <v>0</v>
      </c>
      <c r="AD1010" s="413">
        <f t="shared" si="3058"/>
        <v>0</v>
      </c>
      <c r="AE1010" s="413">
        <f t="shared" si="3058"/>
        <v>0</v>
      </c>
      <c r="AF1010" s="413">
        <f t="shared" si="3058"/>
        <v>0</v>
      </c>
      <c r="AG1010" s="413">
        <f t="shared" si="3058"/>
        <v>0</v>
      </c>
      <c r="AH1010" s="413">
        <f t="shared" si="3058"/>
        <v>0</v>
      </c>
      <c r="AI1010" s="413">
        <f t="shared" si="3058"/>
        <v>0</v>
      </c>
      <c r="AJ1010" s="413">
        <f t="shared" si="3058"/>
        <v>0</v>
      </c>
      <c r="AK1010" s="413">
        <f t="shared" si="3058"/>
        <v>0</v>
      </c>
      <c r="AL1010" s="413">
        <f t="shared" si="3058"/>
        <v>0</v>
      </c>
      <c r="AM1010" s="308"/>
    </row>
    <row r="1011" spans="1:39" hidden="1" outlineLevel="1">
      <c r="A1011" s="532"/>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2">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2"/>
      <c r="B1013" s="296" t="s">
        <v>344</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59">Z1012</f>
        <v>0</v>
      </c>
      <c r="AA1013" s="413">
        <f t="shared" si="3059"/>
        <v>0</v>
      </c>
      <c r="AB1013" s="413">
        <f t="shared" si="3059"/>
        <v>0</v>
      </c>
      <c r="AC1013" s="413">
        <f t="shared" si="3059"/>
        <v>0</v>
      </c>
      <c r="AD1013" s="413">
        <f t="shared" si="3059"/>
        <v>0</v>
      </c>
      <c r="AE1013" s="413">
        <f t="shared" si="3059"/>
        <v>0</v>
      </c>
      <c r="AF1013" s="413">
        <f t="shared" si="3059"/>
        <v>0</v>
      </c>
      <c r="AG1013" s="413">
        <f t="shared" si="3059"/>
        <v>0</v>
      </c>
      <c r="AH1013" s="413">
        <f t="shared" si="3059"/>
        <v>0</v>
      </c>
      <c r="AI1013" s="413">
        <f t="shared" si="3059"/>
        <v>0</v>
      </c>
      <c r="AJ1013" s="413">
        <f t="shared" si="3059"/>
        <v>0</v>
      </c>
      <c r="AK1013" s="413">
        <f t="shared" si="3059"/>
        <v>0</v>
      </c>
      <c r="AL1013" s="413">
        <f t="shared" si="3059"/>
        <v>0</v>
      </c>
      <c r="AM1013" s="299"/>
    </row>
    <row r="1014" spans="1:39" hidden="1" outlineLevel="1">
      <c r="A1014" s="532"/>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2">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2"/>
      <c r="B1016" s="296" t="s">
        <v>344</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60">Y1015</f>
        <v>0</v>
      </c>
      <c r="Z1016" s="413">
        <f t="shared" si="3060"/>
        <v>0</v>
      </c>
      <c r="AA1016" s="413">
        <f t="shared" si="3060"/>
        <v>0</v>
      </c>
      <c r="AB1016" s="413">
        <f t="shared" si="3060"/>
        <v>0</v>
      </c>
      <c r="AC1016" s="413">
        <f t="shared" si="3060"/>
        <v>0</v>
      </c>
      <c r="AD1016" s="413">
        <f t="shared" si="3060"/>
        <v>0</v>
      </c>
      <c r="AE1016" s="413">
        <f t="shared" si="3060"/>
        <v>0</v>
      </c>
      <c r="AF1016" s="413">
        <f t="shared" si="3060"/>
        <v>0</v>
      </c>
      <c r="AG1016" s="413">
        <f t="shared" si="3060"/>
        <v>0</v>
      </c>
      <c r="AH1016" s="413">
        <f t="shared" si="3060"/>
        <v>0</v>
      </c>
      <c r="AI1016" s="413">
        <f t="shared" si="3060"/>
        <v>0</v>
      </c>
      <c r="AJ1016" s="413">
        <f t="shared" si="3060"/>
        <v>0</v>
      </c>
      <c r="AK1016" s="413">
        <f t="shared" si="3060"/>
        <v>0</v>
      </c>
      <c r="AL1016" s="413">
        <f t="shared" si="3060"/>
        <v>0</v>
      </c>
      <c r="AM1016" s="308"/>
    </row>
    <row r="1017" spans="1:39" ht="15.75" hidden="1" outlineLevel="1">
      <c r="A1017" s="532"/>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2"/>
      <c r="B1018" s="518" t="s">
        <v>506</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2"/>
      <c r="B1019" s="504" t="s">
        <v>502</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2">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2"/>
      <c r="B1021" s="296" t="s">
        <v>348</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61">Z1020</f>
        <v>0</v>
      </c>
      <c r="AA1021" s="413">
        <f t="shared" ref="AA1021" si="3062">AA1020</f>
        <v>0</v>
      </c>
      <c r="AB1021" s="413">
        <f t="shared" ref="AB1021" si="3063">AB1020</f>
        <v>0</v>
      </c>
      <c r="AC1021" s="413">
        <f t="shared" ref="AC1021" si="3064">AC1020</f>
        <v>0</v>
      </c>
      <c r="AD1021" s="413">
        <f t="shared" ref="AD1021" si="3065">AD1020</f>
        <v>0</v>
      </c>
      <c r="AE1021" s="413">
        <f t="shared" ref="AE1021" si="3066">AE1020</f>
        <v>0</v>
      </c>
      <c r="AF1021" s="413">
        <f t="shared" ref="AF1021" si="3067">AF1020</f>
        <v>0</v>
      </c>
      <c r="AG1021" s="413">
        <f t="shared" ref="AG1021" si="3068">AG1020</f>
        <v>0</v>
      </c>
      <c r="AH1021" s="413">
        <f t="shared" ref="AH1021" si="3069">AH1020</f>
        <v>0</v>
      </c>
      <c r="AI1021" s="413">
        <f t="shared" ref="AI1021" si="3070">AI1020</f>
        <v>0</v>
      </c>
      <c r="AJ1021" s="413">
        <f t="shared" ref="AJ1021" si="3071">AJ1020</f>
        <v>0</v>
      </c>
      <c r="AK1021" s="413">
        <f t="shared" ref="AK1021" si="3072">AK1020</f>
        <v>0</v>
      </c>
      <c r="AL1021" s="413">
        <f t="shared" ref="AL1021" si="3073">AL1020</f>
        <v>0</v>
      </c>
      <c r="AM1021" s="308"/>
    </row>
    <row r="1022" spans="1:39" ht="15" hidden="1" customHeight="1" outlineLevel="1">
      <c r="A1022" s="532"/>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2">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2"/>
      <c r="B1024" s="296" t="s">
        <v>348</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74">Z1023</f>
        <v>0</v>
      </c>
      <c r="AA1024" s="413">
        <f t="shared" ref="AA1024" si="3075">AA1023</f>
        <v>0</v>
      </c>
      <c r="AB1024" s="413">
        <f t="shared" ref="AB1024" si="3076">AB1023</f>
        <v>0</v>
      </c>
      <c r="AC1024" s="413">
        <f t="shared" ref="AC1024" si="3077">AC1023</f>
        <v>0</v>
      </c>
      <c r="AD1024" s="413">
        <f t="shared" ref="AD1024" si="3078">AD1023</f>
        <v>0</v>
      </c>
      <c r="AE1024" s="413">
        <f t="shared" ref="AE1024" si="3079">AE1023</f>
        <v>0</v>
      </c>
      <c r="AF1024" s="413">
        <f t="shared" ref="AF1024" si="3080">AF1023</f>
        <v>0</v>
      </c>
      <c r="AG1024" s="413">
        <f t="shared" ref="AG1024" si="3081">AG1023</f>
        <v>0</v>
      </c>
      <c r="AH1024" s="413">
        <f t="shared" ref="AH1024" si="3082">AH1023</f>
        <v>0</v>
      </c>
      <c r="AI1024" s="413">
        <f t="shared" ref="AI1024" si="3083">AI1023</f>
        <v>0</v>
      </c>
      <c r="AJ1024" s="413">
        <f t="shared" ref="AJ1024" si="3084">AJ1023</f>
        <v>0</v>
      </c>
      <c r="AK1024" s="413">
        <f t="shared" ref="AK1024" si="3085">AK1023</f>
        <v>0</v>
      </c>
      <c r="AL1024" s="413">
        <f t="shared" ref="AL1024" si="3086">AL1023</f>
        <v>0</v>
      </c>
      <c r="AM1024" s="308"/>
    </row>
    <row r="1025" spans="1:39" ht="15" hidden="1" customHeight="1" outlineLevel="1">
      <c r="A1025" s="532"/>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2">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2"/>
      <c r="B1027" s="296" t="s">
        <v>348</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87">Z1026</f>
        <v>0</v>
      </c>
      <c r="AA1027" s="413">
        <f t="shared" ref="AA1027" si="3088">AA1026</f>
        <v>0</v>
      </c>
      <c r="AB1027" s="413">
        <f t="shared" ref="AB1027" si="3089">AB1026</f>
        <v>0</v>
      </c>
      <c r="AC1027" s="413">
        <f t="shared" ref="AC1027" si="3090">AC1026</f>
        <v>0</v>
      </c>
      <c r="AD1027" s="413">
        <f t="shared" ref="AD1027" si="3091">AD1026</f>
        <v>0</v>
      </c>
      <c r="AE1027" s="413">
        <f t="shared" ref="AE1027" si="3092">AE1026</f>
        <v>0</v>
      </c>
      <c r="AF1027" s="413">
        <f t="shared" ref="AF1027" si="3093">AF1026</f>
        <v>0</v>
      </c>
      <c r="AG1027" s="413">
        <f t="shared" ref="AG1027" si="3094">AG1026</f>
        <v>0</v>
      </c>
      <c r="AH1027" s="413">
        <f t="shared" ref="AH1027" si="3095">AH1026</f>
        <v>0</v>
      </c>
      <c r="AI1027" s="413">
        <f t="shared" ref="AI1027" si="3096">AI1026</f>
        <v>0</v>
      </c>
      <c r="AJ1027" s="413">
        <f t="shared" ref="AJ1027" si="3097">AJ1026</f>
        <v>0</v>
      </c>
      <c r="AK1027" s="413">
        <f t="shared" ref="AK1027" si="3098">AK1026</f>
        <v>0</v>
      </c>
      <c r="AL1027" s="413">
        <f t="shared" ref="AL1027" si="3099">AL1026</f>
        <v>0</v>
      </c>
      <c r="AM1027" s="308"/>
    </row>
    <row r="1028" spans="1:39" ht="15" hidden="1" customHeight="1" outlineLevel="1">
      <c r="A1028" s="532"/>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2">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2"/>
      <c r="B1030" s="296" t="s">
        <v>348</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100">Z1029</f>
        <v>0</v>
      </c>
      <c r="AA1030" s="413">
        <f t="shared" ref="AA1030" si="3101">AA1029</f>
        <v>0</v>
      </c>
      <c r="AB1030" s="413">
        <f t="shared" ref="AB1030" si="3102">AB1029</f>
        <v>0</v>
      </c>
      <c r="AC1030" s="413">
        <f t="shared" ref="AC1030" si="3103">AC1029</f>
        <v>0</v>
      </c>
      <c r="AD1030" s="413">
        <f t="shared" ref="AD1030" si="3104">AD1029</f>
        <v>0</v>
      </c>
      <c r="AE1030" s="413">
        <f t="shared" ref="AE1030" si="3105">AE1029</f>
        <v>0</v>
      </c>
      <c r="AF1030" s="413">
        <f t="shared" ref="AF1030" si="3106">AF1029</f>
        <v>0</v>
      </c>
      <c r="AG1030" s="413">
        <f t="shared" ref="AG1030" si="3107">AG1029</f>
        <v>0</v>
      </c>
      <c r="AH1030" s="413">
        <f t="shared" ref="AH1030" si="3108">AH1029</f>
        <v>0</v>
      </c>
      <c r="AI1030" s="413">
        <f t="shared" ref="AI1030" si="3109">AI1029</f>
        <v>0</v>
      </c>
      <c r="AJ1030" s="413">
        <f t="shared" ref="AJ1030" si="3110">AJ1029</f>
        <v>0</v>
      </c>
      <c r="AK1030" s="413">
        <f t="shared" ref="AK1030" si="3111">AK1029</f>
        <v>0</v>
      </c>
      <c r="AL1030" s="413">
        <f t="shared" ref="AL1030" si="3112">AL1029</f>
        <v>0</v>
      </c>
      <c r="AM1030" s="308"/>
    </row>
    <row r="1031" spans="1:39" ht="15" hidden="1" customHeight="1" outlineLevel="1">
      <c r="A1031" s="532"/>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2"/>
      <c r="B1032" s="290" t="s">
        <v>503</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2">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2"/>
      <c r="B1034" s="296" t="s">
        <v>348</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13">Z1033</f>
        <v>0</v>
      </c>
      <c r="AA1034" s="413">
        <f t="shared" ref="AA1034" si="3114">AA1033</f>
        <v>0</v>
      </c>
      <c r="AB1034" s="413">
        <f t="shared" ref="AB1034" si="3115">AB1033</f>
        <v>0</v>
      </c>
      <c r="AC1034" s="413">
        <f t="shared" ref="AC1034" si="3116">AC1033</f>
        <v>0</v>
      </c>
      <c r="AD1034" s="413">
        <f t="shared" ref="AD1034" si="3117">AD1033</f>
        <v>0</v>
      </c>
      <c r="AE1034" s="413">
        <f t="shared" ref="AE1034" si="3118">AE1033</f>
        <v>0</v>
      </c>
      <c r="AF1034" s="413">
        <f t="shared" ref="AF1034" si="3119">AF1033</f>
        <v>0</v>
      </c>
      <c r="AG1034" s="413">
        <f t="shared" ref="AG1034" si="3120">AG1033</f>
        <v>0</v>
      </c>
      <c r="AH1034" s="413">
        <f t="shared" ref="AH1034" si="3121">AH1033</f>
        <v>0</v>
      </c>
      <c r="AI1034" s="413">
        <f t="shared" ref="AI1034" si="3122">AI1033</f>
        <v>0</v>
      </c>
      <c r="AJ1034" s="413">
        <f t="shared" ref="AJ1034" si="3123">AJ1033</f>
        <v>0</v>
      </c>
      <c r="AK1034" s="413">
        <f t="shared" ref="AK1034" si="3124">AK1033</f>
        <v>0</v>
      </c>
      <c r="AL1034" s="413">
        <f t="shared" ref="AL1034" si="3125">AL1033</f>
        <v>0</v>
      </c>
      <c r="AM1034" s="308"/>
    </row>
    <row r="1035" spans="1:39" ht="15" hidden="1" customHeight="1" outlineLevel="1">
      <c r="A1035" s="532"/>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2">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2"/>
      <c r="B1037" s="296" t="s">
        <v>348</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26">Z1036</f>
        <v>0</v>
      </c>
      <c r="AA1037" s="413">
        <f t="shared" ref="AA1037" si="3127">AA1036</f>
        <v>0</v>
      </c>
      <c r="AB1037" s="413">
        <f t="shared" ref="AB1037" si="3128">AB1036</f>
        <v>0</v>
      </c>
      <c r="AC1037" s="413">
        <f t="shared" ref="AC1037" si="3129">AC1036</f>
        <v>0</v>
      </c>
      <c r="AD1037" s="413">
        <f t="shared" ref="AD1037" si="3130">AD1036</f>
        <v>0</v>
      </c>
      <c r="AE1037" s="413">
        <f t="shared" ref="AE1037" si="3131">AE1036</f>
        <v>0</v>
      </c>
      <c r="AF1037" s="413">
        <f t="shared" ref="AF1037" si="3132">AF1036</f>
        <v>0</v>
      </c>
      <c r="AG1037" s="413">
        <f t="shared" ref="AG1037" si="3133">AG1036</f>
        <v>0</v>
      </c>
      <c r="AH1037" s="413">
        <f t="shared" ref="AH1037" si="3134">AH1036</f>
        <v>0</v>
      </c>
      <c r="AI1037" s="413">
        <f t="shared" ref="AI1037" si="3135">AI1036</f>
        <v>0</v>
      </c>
      <c r="AJ1037" s="413">
        <f t="shared" ref="AJ1037" si="3136">AJ1036</f>
        <v>0</v>
      </c>
      <c r="AK1037" s="413">
        <f t="shared" ref="AK1037" si="3137">AK1036</f>
        <v>0</v>
      </c>
      <c r="AL1037" s="413">
        <f t="shared" ref="AL1037" si="3138">AL1036</f>
        <v>0</v>
      </c>
      <c r="AM1037" s="308"/>
    </row>
    <row r="1038" spans="1:39" ht="15" hidden="1" customHeight="1" outlineLevel="1">
      <c r="A1038" s="532"/>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2">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2"/>
      <c r="B1040" s="296" t="s">
        <v>348</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39">Z1039</f>
        <v>0</v>
      </c>
      <c r="AA1040" s="413">
        <f t="shared" ref="AA1040" si="3140">AA1039</f>
        <v>0</v>
      </c>
      <c r="AB1040" s="413">
        <f t="shared" ref="AB1040" si="3141">AB1039</f>
        <v>0</v>
      </c>
      <c r="AC1040" s="413">
        <f t="shared" ref="AC1040" si="3142">AC1039</f>
        <v>0</v>
      </c>
      <c r="AD1040" s="413">
        <f t="shared" ref="AD1040" si="3143">AD1039</f>
        <v>0</v>
      </c>
      <c r="AE1040" s="413">
        <f t="shared" ref="AE1040" si="3144">AE1039</f>
        <v>0</v>
      </c>
      <c r="AF1040" s="413">
        <f t="shared" ref="AF1040" si="3145">AF1039</f>
        <v>0</v>
      </c>
      <c r="AG1040" s="413">
        <f t="shared" ref="AG1040" si="3146">AG1039</f>
        <v>0</v>
      </c>
      <c r="AH1040" s="413">
        <f t="shared" ref="AH1040" si="3147">AH1039</f>
        <v>0</v>
      </c>
      <c r="AI1040" s="413">
        <f t="shared" ref="AI1040" si="3148">AI1039</f>
        <v>0</v>
      </c>
      <c r="AJ1040" s="413">
        <f t="shared" ref="AJ1040" si="3149">AJ1039</f>
        <v>0</v>
      </c>
      <c r="AK1040" s="413">
        <f t="shared" ref="AK1040" si="3150">AK1039</f>
        <v>0</v>
      </c>
      <c r="AL1040" s="413">
        <f t="shared" ref="AL1040" si="3151">AL1039</f>
        <v>0</v>
      </c>
      <c r="AM1040" s="308"/>
    </row>
    <row r="1041" spans="1:39" ht="15" hidden="1" customHeight="1" outlineLevel="1">
      <c r="A1041" s="532"/>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2">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2"/>
      <c r="B1043" s="296" t="s">
        <v>348</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52">AA1042</f>
        <v>0</v>
      </c>
      <c r="AB1043" s="413">
        <f t="shared" ref="AB1043" si="3153">AB1042</f>
        <v>0</v>
      </c>
      <c r="AC1043" s="413">
        <f t="shared" ref="AC1043" si="3154">AC1042</f>
        <v>0</v>
      </c>
      <c r="AD1043" s="413">
        <f t="shared" ref="AD1043" si="3155">AD1042</f>
        <v>0</v>
      </c>
      <c r="AE1043" s="413">
        <f>AE1042</f>
        <v>0</v>
      </c>
      <c r="AF1043" s="413">
        <f t="shared" ref="AF1043" si="3156">AF1042</f>
        <v>0</v>
      </c>
      <c r="AG1043" s="413">
        <f t="shared" ref="AG1043" si="3157">AG1042</f>
        <v>0</v>
      </c>
      <c r="AH1043" s="413">
        <f t="shared" ref="AH1043" si="3158">AH1042</f>
        <v>0</v>
      </c>
      <c r="AI1043" s="413">
        <f t="shared" ref="AI1043" si="3159">AI1042</f>
        <v>0</v>
      </c>
      <c r="AJ1043" s="413">
        <f t="shared" ref="AJ1043" si="3160">AJ1042</f>
        <v>0</v>
      </c>
      <c r="AK1043" s="413">
        <f t="shared" ref="AK1043" si="3161">AK1042</f>
        <v>0</v>
      </c>
      <c r="AL1043" s="413">
        <f t="shared" ref="AL1043" si="3162">AL1042</f>
        <v>0</v>
      </c>
      <c r="AM1043" s="308"/>
    </row>
    <row r="1044" spans="1:39" ht="15" hidden="1" customHeight="1" outlineLevel="1">
      <c r="A1044" s="532"/>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2">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2"/>
      <c r="B1046" s="296" t="s">
        <v>348</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63">Z1045</f>
        <v>0</v>
      </c>
      <c r="AA1046" s="413">
        <f t="shared" ref="AA1046" si="3164">AA1045</f>
        <v>0</v>
      </c>
      <c r="AB1046" s="413">
        <f t="shared" ref="AB1046" si="3165">AB1045</f>
        <v>0</v>
      </c>
      <c r="AC1046" s="413">
        <f t="shared" ref="AC1046" si="3166">AC1045</f>
        <v>0</v>
      </c>
      <c r="AD1046" s="413">
        <f t="shared" ref="AD1046" si="3167">AD1045</f>
        <v>0</v>
      </c>
      <c r="AE1046" s="413">
        <f t="shared" ref="AE1046" si="3168">AE1045</f>
        <v>0</v>
      </c>
      <c r="AF1046" s="413">
        <f t="shared" ref="AF1046" si="3169">AF1045</f>
        <v>0</v>
      </c>
      <c r="AG1046" s="413">
        <f t="shared" ref="AG1046" si="3170">AG1045</f>
        <v>0</v>
      </c>
      <c r="AH1046" s="413">
        <f t="shared" ref="AH1046" si="3171">AH1045</f>
        <v>0</v>
      </c>
      <c r="AI1046" s="413">
        <f t="shared" ref="AI1046" si="3172">AI1045</f>
        <v>0</v>
      </c>
      <c r="AJ1046" s="413">
        <f t="shared" ref="AJ1046" si="3173">AJ1045</f>
        <v>0</v>
      </c>
      <c r="AK1046" s="413">
        <f t="shared" ref="AK1046" si="3174">AK1045</f>
        <v>0</v>
      </c>
      <c r="AL1046" s="413">
        <f t="shared" ref="AL1046" si="3175">AL1045</f>
        <v>0</v>
      </c>
      <c r="AM1046" s="308"/>
    </row>
    <row r="1047" spans="1:39" ht="15" hidden="1" customHeight="1" outlineLevel="1">
      <c r="A1047" s="532"/>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2">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2"/>
      <c r="B1049" s="296" t="s">
        <v>348</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76">Z1048</f>
        <v>0</v>
      </c>
      <c r="AA1049" s="413">
        <f t="shared" ref="AA1049" si="3177">AA1048</f>
        <v>0</v>
      </c>
      <c r="AB1049" s="413">
        <f t="shared" ref="AB1049" si="3178">AB1048</f>
        <v>0</v>
      </c>
      <c r="AC1049" s="413">
        <f t="shared" ref="AC1049" si="3179">AC1048</f>
        <v>0</v>
      </c>
      <c r="AD1049" s="413">
        <f t="shared" ref="AD1049" si="3180">AD1048</f>
        <v>0</v>
      </c>
      <c r="AE1049" s="413">
        <f t="shared" ref="AE1049" si="3181">AE1048</f>
        <v>0</v>
      </c>
      <c r="AF1049" s="413">
        <f t="shared" ref="AF1049" si="3182">AF1048</f>
        <v>0</v>
      </c>
      <c r="AG1049" s="413">
        <f t="shared" ref="AG1049" si="3183">AG1048</f>
        <v>0</v>
      </c>
      <c r="AH1049" s="413">
        <f t="shared" ref="AH1049" si="3184">AH1048</f>
        <v>0</v>
      </c>
      <c r="AI1049" s="413">
        <f t="shared" ref="AI1049" si="3185">AI1048</f>
        <v>0</v>
      </c>
      <c r="AJ1049" s="413">
        <f t="shared" ref="AJ1049" si="3186">AJ1048</f>
        <v>0</v>
      </c>
      <c r="AK1049" s="413">
        <f t="shared" ref="AK1049" si="3187">AK1048</f>
        <v>0</v>
      </c>
      <c r="AL1049" s="413">
        <f t="shared" ref="AL1049" si="3188">AL1048</f>
        <v>0</v>
      </c>
      <c r="AM1049" s="308"/>
    </row>
    <row r="1050" spans="1:39" ht="15" hidden="1" customHeight="1" outlineLevel="1">
      <c r="A1050" s="532"/>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2">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2"/>
      <c r="B1052" s="296" t="s">
        <v>348</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89">Z1051</f>
        <v>0</v>
      </c>
      <c r="AA1052" s="413">
        <f t="shared" ref="AA1052" si="3190">AA1051</f>
        <v>0</v>
      </c>
      <c r="AB1052" s="413">
        <f t="shared" ref="AB1052" si="3191">AB1051</f>
        <v>0</v>
      </c>
      <c r="AC1052" s="413">
        <f t="shared" ref="AC1052" si="3192">AC1051</f>
        <v>0</v>
      </c>
      <c r="AD1052" s="413">
        <f t="shared" ref="AD1052" si="3193">AD1051</f>
        <v>0</v>
      </c>
      <c r="AE1052" s="413">
        <f t="shared" ref="AE1052" si="3194">AE1051</f>
        <v>0</v>
      </c>
      <c r="AF1052" s="413">
        <f t="shared" ref="AF1052" si="3195">AF1051</f>
        <v>0</v>
      </c>
      <c r="AG1052" s="413">
        <f t="shared" ref="AG1052" si="3196">AG1051</f>
        <v>0</v>
      </c>
      <c r="AH1052" s="413">
        <f t="shared" ref="AH1052" si="3197">AH1051</f>
        <v>0</v>
      </c>
      <c r="AI1052" s="413">
        <f t="shared" ref="AI1052" si="3198">AI1051</f>
        <v>0</v>
      </c>
      <c r="AJ1052" s="413">
        <f t="shared" ref="AJ1052" si="3199">AJ1051</f>
        <v>0</v>
      </c>
      <c r="AK1052" s="413">
        <f t="shared" ref="AK1052" si="3200">AK1051</f>
        <v>0</v>
      </c>
      <c r="AL1052" s="413">
        <f t="shared" ref="AL1052" si="3201">AL1051</f>
        <v>0</v>
      </c>
      <c r="AM1052" s="308"/>
    </row>
    <row r="1053" spans="1:39" ht="15" hidden="1" customHeight="1" outlineLevel="1">
      <c r="A1053" s="532"/>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2">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2"/>
      <c r="B1055" s="296" t="s">
        <v>348</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202">Z1054</f>
        <v>0</v>
      </c>
      <c r="AA1055" s="413">
        <f t="shared" ref="AA1055" si="3203">AA1054</f>
        <v>0</v>
      </c>
      <c r="AB1055" s="413">
        <f t="shared" ref="AB1055" si="3204">AB1054</f>
        <v>0</v>
      </c>
      <c r="AC1055" s="413">
        <f t="shared" ref="AC1055" si="3205">AC1054</f>
        <v>0</v>
      </c>
      <c r="AD1055" s="413">
        <f t="shared" ref="AD1055" si="3206">AD1054</f>
        <v>0</v>
      </c>
      <c r="AE1055" s="413">
        <f t="shared" ref="AE1055" si="3207">AE1054</f>
        <v>0</v>
      </c>
      <c r="AF1055" s="413">
        <f t="shared" ref="AF1055" si="3208">AF1054</f>
        <v>0</v>
      </c>
      <c r="AG1055" s="413">
        <f t="shared" ref="AG1055" si="3209">AG1054</f>
        <v>0</v>
      </c>
      <c r="AH1055" s="413">
        <f t="shared" ref="AH1055" si="3210">AH1054</f>
        <v>0</v>
      </c>
      <c r="AI1055" s="413">
        <f t="shared" ref="AI1055" si="3211">AI1054</f>
        <v>0</v>
      </c>
      <c r="AJ1055" s="413">
        <f t="shared" ref="AJ1055" si="3212">AJ1054</f>
        <v>0</v>
      </c>
      <c r="AK1055" s="413">
        <f t="shared" ref="AK1055" si="3213">AK1054</f>
        <v>0</v>
      </c>
      <c r="AL1055" s="413">
        <f t="shared" ref="AL1055" si="3214">AL1054</f>
        <v>0</v>
      </c>
      <c r="AM1055" s="308"/>
    </row>
    <row r="1056" spans="1:39" ht="15" hidden="1" customHeight="1" outlineLevel="1">
      <c r="A1056" s="532"/>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2"/>
      <c r="B1057" s="290" t="s">
        <v>504</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2">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2"/>
      <c r="B1059" s="296" t="s">
        <v>348</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15">Z1058</f>
        <v>0</v>
      </c>
      <c r="AA1059" s="413">
        <f t="shared" ref="AA1059" si="3216">AA1058</f>
        <v>0</v>
      </c>
      <c r="AB1059" s="413">
        <f t="shared" ref="AB1059" si="3217">AB1058</f>
        <v>0</v>
      </c>
      <c r="AC1059" s="413">
        <f t="shared" ref="AC1059" si="3218">AC1058</f>
        <v>0</v>
      </c>
      <c r="AD1059" s="413">
        <f t="shared" ref="AD1059" si="3219">AD1058</f>
        <v>0</v>
      </c>
      <c r="AE1059" s="413">
        <f t="shared" ref="AE1059" si="3220">AE1058</f>
        <v>0</v>
      </c>
      <c r="AF1059" s="413">
        <f t="shared" ref="AF1059" si="3221">AF1058</f>
        <v>0</v>
      </c>
      <c r="AG1059" s="413">
        <f t="shared" ref="AG1059" si="3222">AG1058</f>
        <v>0</v>
      </c>
      <c r="AH1059" s="413">
        <f t="shared" ref="AH1059" si="3223">AH1058</f>
        <v>0</v>
      </c>
      <c r="AI1059" s="413">
        <f t="shared" ref="AI1059" si="3224">AI1058</f>
        <v>0</v>
      </c>
      <c r="AJ1059" s="413">
        <f t="shared" ref="AJ1059" si="3225">AJ1058</f>
        <v>0</v>
      </c>
      <c r="AK1059" s="413">
        <f t="shared" ref="AK1059" si="3226">AK1058</f>
        <v>0</v>
      </c>
      <c r="AL1059" s="413">
        <f t="shared" ref="AL1059" si="3227">AL1058</f>
        <v>0</v>
      </c>
      <c r="AM1059" s="308"/>
    </row>
    <row r="1060" spans="1:39" ht="15" hidden="1" customHeight="1" outlineLevel="1">
      <c r="A1060" s="532"/>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2">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2"/>
      <c r="B1062" s="296" t="s">
        <v>348</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28">Z1061</f>
        <v>0</v>
      </c>
      <c r="AA1062" s="413">
        <f t="shared" ref="AA1062" si="3229">AA1061</f>
        <v>0</v>
      </c>
      <c r="AB1062" s="413">
        <f t="shared" ref="AB1062" si="3230">AB1061</f>
        <v>0</v>
      </c>
      <c r="AC1062" s="413">
        <f t="shared" ref="AC1062" si="3231">AC1061</f>
        <v>0</v>
      </c>
      <c r="AD1062" s="413">
        <f t="shared" ref="AD1062" si="3232">AD1061</f>
        <v>0</v>
      </c>
      <c r="AE1062" s="413">
        <f t="shared" ref="AE1062" si="3233">AE1061</f>
        <v>0</v>
      </c>
      <c r="AF1062" s="413">
        <f t="shared" ref="AF1062" si="3234">AF1061</f>
        <v>0</v>
      </c>
      <c r="AG1062" s="413">
        <f t="shared" ref="AG1062" si="3235">AG1061</f>
        <v>0</v>
      </c>
      <c r="AH1062" s="413">
        <f t="shared" ref="AH1062" si="3236">AH1061</f>
        <v>0</v>
      </c>
      <c r="AI1062" s="413">
        <f t="shared" ref="AI1062" si="3237">AI1061</f>
        <v>0</v>
      </c>
      <c r="AJ1062" s="413">
        <f t="shared" ref="AJ1062" si="3238">AJ1061</f>
        <v>0</v>
      </c>
      <c r="AK1062" s="413">
        <f t="shared" ref="AK1062" si="3239">AK1061</f>
        <v>0</v>
      </c>
      <c r="AL1062" s="413">
        <f t="shared" ref="AL1062" si="3240">AL1061</f>
        <v>0</v>
      </c>
      <c r="AM1062" s="308"/>
    </row>
    <row r="1063" spans="1:39" ht="15" hidden="1" customHeight="1" outlineLevel="1">
      <c r="A1063" s="532"/>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2">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2"/>
      <c r="B1065" s="296" t="s">
        <v>348</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41">Z1064</f>
        <v>0</v>
      </c>
      <c r="AA1065" s="413">
        <f t="shared" ref="AA1065" si="3242">AA1064</f>
        <v>0</v>
      </c>
      <c r="AB1065" s="413">
        <f t="shared" ref="AB1065" si="3243">AB1064</f>
        <v>0</v>
      </c>
      <c r="AC1065" s="413">
        <f t="shared" ref="AC1065" si="3244">AC1064</f>
        <v>0</v>
      </c>
      <c r="AD1065" s="413">
        <f t="shared" ref="AD1065" si="3245">AD1064</f>
        <v>0</v>
      </c>
      <c r="AE1065" s="413">
        <f t="shared" ref="AE1065" si="3246">AE1064</f>
        <v>0</v>
      </c>
      <c r="AF1065" s="413">
        <f t="shared" ref="AF1065" si="3247">AF1064</f>
        <v>0</v>
      </c>
      <c r="AG1065" s="413">
        <f t="shared" ref="AG1065" si="3248">AG1064</f>
        <v>0</v>
      </c>
      <c r="AH1065" s="413">
        <f t="shared" ref="AH1065" si="3249">AH1064</f>
        <v>0</v>
      </c>
      <c r="AI1065" s="413">
        <f t="shared" ref="AI1065" si="3250">AI1064</f>
        <v>0</v>
      </c>
      <c r="AJ1065" s="413">
        <f t="shared" ref="AJ1065" si="3251">AJ1064</f>
        <v>0</v>
      </c>
      <c r="AK1065" s="413">
        <f t="shared" ref="AK1065" si="3252">AK1064</f>
        <v>0</v>
      </c>
      <c r="AL1065" s="413">
        <f t="shared" ref="AL1065" si="3253">AL1064</f>
        <v>0</v>
      </c>
      <c r="AM1065" s="308"/>
    </row>
    <row r="1066" spans="1:39" ht="15" hidden="1" customHeight="1" outlineLevel="1">
      <c r="A1066" s="532"/>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2"/>
      <c r="B1067" s="290" t="s">
        <v>505</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2">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2"/>
      <c r="B1069" s="296" t="s">
        <v>348</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54">Z1068</f>
        <v>0</v>
      </c>
      <c r="AA1069" s="413">
        <f t="shared" ref="AA1069" si="3255">AA1068</f>
        <v>0</v>
      </c>
      <c r="AB1069" s="413">
        <f t="shared" ref="AB1069" si="3256">AB1068</f>
        <v>0</v>
      </c>
      <c r="AC1069" s="413">
        <f t="shared" ref="AC1069" si="3257">AC1068</f>
        <v>0</v>
      </c>
      <c r="AD1069" s="413">
        <f t="shared" ref="AD1069" si="3258">AD1068</f>
        <v>0</v>
      </c>
      <c r="AE1069" s="413">
        <f t="shared" ref="AE1069" si="3259">AE1068</f>
        <v>0</v>
      </c>
      <c r="AF1069" s="413">
        <f t="shared" ref="AF1069" si="3260">AF1068</f>
        <v>0</v>
      </c>
      <c r="AG1069" s="413">
        <f t="shared" ref="AG1069" si="3261">AG1068</f>
        <v>0</v>
      </c>
      <c r="AH1069" s="413">
        <f t="shared" ref="AH1069" si="3262">AH1068</f>
        <v>0</v>
      </c>
      <c r="AI1069" s="413">
        <f t="shared" ref="AI1069" si="3263">AI1068</f>
        <v>0</v>
      </c>
      <c r="AJ1069" s="413">
        <f t="shared" ref="AJ1069" si="3264">AJ1068</f>
        <v>0</v>
      </c>
      <c r="AK1069" s="413">
        <f t="shared" ref="AK1069" si="3265">AK1068</f>
        <v>0</v>
      </c>
      <c r="AL1069" s="413">
        <f t="shared" ref="AL1069" si="3266">AL1068</f>
        <v>0</v>
      </c>
      <c r="AM1069" s="308"/>
    </row>
    <row r="1070" spans="1:39" ht="15" hidden="1" customHeight="1" outlineLevel="1">
      <c r="A1070" s="532"/>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2">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2"/>
      <c r="B1072" s="296" t="s">
        <v>348</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67">Z1071</f>
        <v>0</v>
      </c>
      <c r="AA1072" s="413">
        <f t="shared" ref="AA1072" si="3268">AA1071</f>
        <v>0</v>
      </c>
      <c r="AB1072" s="413">
        <f t="shared" ref="AB1072" si="3269">AB1071</f>
        <v>0</v>
      </c>
      <c r="AC1072" s="413">
        <f t="shared" ref="AC1072" si="3270">AC1071</f>
        <v>0</v>
      </c>
      <c r="AD1072" s="413">
        <f t="shared" ref="AD1072" si="3271">AD1071</f>
        <v>0</v>
      </c>
      <c r="AE1072" s="413">
        <f t="shared" ref="AE1072" si="3272">AE1071</f>
        <v>0</v>
      </c>
      <c r="AF1072" s="413">
        <f t="shared" ref="AF1072" si="3273">AF1071</f>
        <v>0</v>
      </c>
      <c r="AG1072" s="413">
        <f t="shared" ref="AG1072" si="3274">AG1071</f>
        <v>0</v>
      </c>
      <c r="AH1072" s="413">
        <f t="shared" ref="AH1072" si="3275">AH1071</f>
        <v>0</v>
      </c>
      <c r="AI1072" s="413">
        <f t="shared" ref="AI1072" si="3276">AI1071</f>
        <v>0</v>
      </c>
      <c r="AJ1072" s="413">
        <f t="shared" ref="AJ1072" si="3277">AJ1071</f>
        <v>0</v>
      </c>
      <c r="AK1072" s="413">
        <f t="shared" ref="AK1072" si="3278">AK1071</f>
        <v>0</v>
      </c>
      <c r="AL1072" s="413">
        <f t="shared" ref="AL1072" si="3279">AL1071</f>
        <v>0</v>
      </c>
      <c r="AM1072" s="308"/>
    </row>
    <row r="1073" spans="1:39" ht="15" hidden="1" customHeight="1" outlineLevel="1">
      <c r="A1073" s="532"/>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2">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2"/>
      <c r="B1075" s="296" t="s">
        <v>348</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80">Z1074</f>
        <v>0</v>
      </c>
      <c r="AA1075" s="413">
        <f t="shared" ref="AA1075" si="3281">AA1074</f>
        <v>0</v>
      </c>
      <c r="AB1075" s="413">
        <f t="shared" ref="AB1075" si="3282">AB1074</f>
        <v>0</v>
      </c>
      <c r="AC1075" s="413">
        <f t="shared" ref="AC1075" si="3283">AC1074</f>
        <v>0</v>
      </c>
      <c r="AD1075" s="413">
        <f t="shared" ref="AD1075" si="3284">AD1074</f>
        <v>0</v>
      </c>
      <c r="AE1075" s="413">
        <f t="shared" ref="AE1075" si="3285">AE1074</f>
        <v>0</v>
      </c>
      <c r="AF1075" s="413">
        <f t="shared" ref="AF1075" si="3286">AF1074</f>
        <v>0</v>
      </c>
      <c r="AG1075" s="413">
        <f t="shared" ref="AG1075" si="3287">AG1074</f>
        <v>0</v>
      </c>
      <c r="AH1075" s="413">
        <f t="shared" ref="AH1075" si="3288">AH1074</f>
        <v>0</v>
      </c>
      <c r="AI1075" s="413">
        <f t="shared" ref="AI1075" si="3289">AI1074</f>
        <v>0</v>
      </c>
      <c r="AJ1075" s="413">
        <f t="shared" ref="AJ1075" si="3290">AJ1074</f>
        <v>0</v>
      </c>
      <c r="AK1075" s="413">
        <f t="shared" ref="AK1075" si="3291">AK1074</f>
        <v>0</v>
      </c>
      <c r="AL1075" s="413">
        <f t="shared" ref="AL1075" si="3292">AL1074</f>
        <v>0</v>
      </c>
      <c r="AM1075" s="308"/>
    </row>
    <row r="1076" spans="1:39" ht="15" hidden="1" customHeight="1" outlineLevel="1">
      <c r="A1076" s="532"/>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2">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2"/>
      <c r="B1078" s="296" t="s">
        <v>348</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93">Z1077</f>
        <v>0</v>
      </c>
      <c r="AA1078" s="413">
        <f t="shared" ref="AA1078" si="3294">AA1077</f>
        <v>0</v>
      </c>
      <c r="AB1078" s="413">
        <f t="shared" ref="AB1078" si="3295">AB1077</f>
        <v>0</v>
      </c>
      <c r="AC1078" s="413">
        <f t="shared" ref="AC1078" si="3296">AC1077</f>
        <v>0</v>
      </c>
      <c r="AD1078" s="413">
        <f t="shared" ref="AD1078" si="3297">AD1077</f>
        <v>0</v>
      </c>
      <c r="AE1078" s="413">
        <f t="shared" ref="AE1078" si="3298">AE1077</f>
        <v>0</v>
      </c>
      <c r="AF1078" s="413">
        <f t="shared" ref="AF1078" si="3299">AF1077</f>
        <v>0</v>
      </c>
      <c r="AG1078" s="413">
        <f t="shared" ref="AG1078" si="3300">AG1077</f>
        <v>0</v>
      </c>
      <c r="AH1078" s="413">
        <f t="shared" ref="AH1078" si="3301">AH1077</f>
        <v>0</v>
      </c>
      <c r="AI1078" s="413">
        <f t="shared" ref="AI1078" si="3302">AI1077</f>
        <v>0</v>
      </c>
      <c r="AJ1078" s="413">
        <f t="shared" ref="AJ1078" si="3303">AJ1077</f>
        <v>0</v>
      </c>
      <c r="AK1078" s="413">
        <f t="shared" ref="AK1078" si="3304">AK1077</f>
        <v>0</v>
      </c>
      <c r="AL1078" s="413">
        <f t="shared" ref="AL1078" si="3305">AL1077</f>
        <v>0</v>
      </c>
      <c r="AM1078" s="308"/>
    </row>
    <row r="1079" spans="1:39" ht="15" hidden="1" customHeight="1" outlineLevel="1">
      <c r="A1079" s="532"/>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2">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2"/>
      <c r="B1081" s="296" t="s">
        <v>348</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306">Z1080</f>
        <v>0</v>
      </c>
      <c r="AA1081" s="413">
        <f t="shared" ref="AA1081" si="3307">AA1080</f>
        <v>0</v>
      </c>
      <c r="AB1081" s="413">
        <f t="shared" ref="AB1081" si="3308">AB1080</f>
        <v>0</v>
      </c>
      <c r="AC1081" s="413">
        <f t="shared" ref="AC1081" si="3309">AC1080</f>
        <v>0</v>
      </c>
      <c r="AD1081" s="413">
        <f t="shared" ref="AD1081" si="3310">AD1080</f>
        <v>0</v>
      </c>
      <c r="AE1081" s="413">
        <f t="shared" ref="AE1081" si="3311">AE1080</f>
        <v>0</v>
      </c>
      <c r="AF1081" s="413">
        <f t="shared" ref="AF1081" si="3312">AF1080</f>
        <v>0</v>
      </c>
      <c r="AG1081" s="413">
        <f t="shared" ref="AG1081" si="3313">AG1080</f>
        <v>0</v>
      </c>
      <c r="AH1081" s="413">
        <f t="shared" ref="AH1081" si="3314">AH1080</f>
        <v>0</v>
      </c>
      <c r="AI1081" s="413">
        <f t="shared" ref="AI1081" si="3315">AI1080</f>
        <v>0</v>
      </c>
      <c r="AJ1081" s="413">
        <f t="shared" ref="AJ1081" si="3316">AJ1080</f>
        <v>0</v>
      </c>
      <c r="AK1081" s="413">
        <f t="shared" ref="AK1081" si="3317">AK1080</f>
        <v>0</v>
      </c>
      <c r="AL1081" s="413">
        <f t="shared" ref="AL1081" si="3318">AL1080</f>
        <v>0</v>
      </c>
      <c r="AM1081" s="308"/>
    </row>
    <row r="1082" spans="1:39" ht="15" hidden="1" customHeight="1" outlineLevel="1">
      <c r="A1082" s="532"/>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2">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2"/>
      <c r="B1084" s="296" t="s">
        <v>348</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19">Z1083</f>
        <v>0</v>
      </c>
      <c r="AA1084" s="413">
        <f t="shared" ref="AA1084" si="3320">AA1083</f>
        <v>0</v>
      </c>
      <c r="AB1084" s="413">
        <f t="shared" ref="AB1084" si="3321">AB1083</f>
        <v>0</v>
      </c>
      <c r="AC1084" s="413">
        <f t="shared" ref="AC1084" si="3322">AC1083</f>
        <v>0</v>
      </c>
      <c r="AD1084" s="413">
        <f t="shared" ref="AD1084" si="3323">AD1083</f>
        <v>0</v>
      </c>
      <c r="AE1084" s="413">
        <f t="shared" ref="AE1084" si="3324">AE1083</f>
        <v>0</v>
      </c>
      <c r="AF1084" s="413">
        <f t="shared" ref="AF1084" si="3325">AF1083</f>
        <v>0</v>
      </c>
      <c r="AG1084" s="413">
        <f t="shared" ref="AG1084" si="3326">AG1083</f>
        <v>0</v>
      </c>
      <c r="AH1084" s="413">
        <f t="shared" ref="AH1084" si="3327">AH1083</f>
        <v>0</v>
      </c>
      <c r="AI1084" s="413">
        <f t="shared" ref="AI1084" si="3328">AI1083</f>
        <v>0</v>
      </c>
      <c r="AJ1084" s="413">
        <f t="shared" ref="AJ1084" si="3329">AJ1083</f>
        <v>0</v>
      </c>
      <c r="AK1084" s="413">
        <f t="shared" ref="AK1084" si="3330">AK1083</f>
        <v>0</v>
      </c>
      <c r="AL1084" s="413">
        <f t="shared" ref="AL1084" si="3331">AL1083</f>
        <v>0</v>
      </c>
      <c r="AM1084" s="308"/>
    </row>
    <row r="1085" spans="1:39" ht="15" hidden="1" customHeight="1" outlineLevel="1">
      <c r="A1085" s="532"/>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2">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2"/>
      <c r="B1087" s="296" t="s">
        <v>348</v>
      </c>
      <c r="C1087" s="293" t="s">
        <v>164</v>
      </c>
      <c r="D1087" s="297"/>
      <c r="E1087" s="297"/>
      <c r="F1087" s="297"/>
      <c r="G1087" s="297"/>
      <c r="H1087" s="297"/>
      <c r="I1087" s="297"/>
      <c r="J1087" s="297"/>
      <c r="K1087" s="297"/>
      <c r="L1087" s="297"/>
      <c r="M1087" s="297"/>
      <c r="N1087" s="469"/>
      <c r="O1087" s="297"/>
      <c r="P1087" s="297"/>
      <c r="Q1087" s="297"/>
      <c r="R1087" s="297"/>
      <c r="S1087" s="297"/>
      <c r="T1087" s="297"/>
      <c r="U1087" s="297"/>
      <c r="V1087" s="297"/>
      <c r="W1087" s="297"/>
      <c r="X1087" s="297"/>
      <c r="Y1087" s="413">
        <f>Y1086</f>
        <v>0</v>
      </c>
      <c r="Z1087" s="413">
        <f t="shared" ref="Z1087" si="3332">Z1086</f>
        <v>0</v>
      </c>
      <c r="AA1087" s="413">
        <f t="shared" ref="AA1087" si="3333">AA1086</f>
        <v>0</v>
      </c>
      <c r="AB1087" s="413">
        <f t="shared" ref="AB1087" si="3334">AB1086</f>
        <v>0</v>
      </c>
      <c r="AC1087" s="413">
        <f t="shared" ref="AC1087" si="3335">AC1086</f>
        <v>0</v>
      </c>
      <c r="AD1087" s="413">
        <f t="shared" ref="AD1087" si="3336">AD1086</f>
        <v>0</v>
      </c>
      <c r="AE1087" s="413">
        <f t="shared" ref="AE1087" si="3337">AE1086</f>
        <v>0</v>
      </c>
      <c r="AF1087" s="413">
        <f t="shared" ref="AF1087" si="3338">AF1086</f>
        <v>0</v>
      </c>
      <c r="AG1087" s="413">
        <f t="shared" ref="AG1087" si="3339">AG1086</f>
        <v>0</v>
      </c>
      <c r="AH1087" s="413">
        <f t="shared" ref="AH1087" si="3340">AH1086</f>
        <v>0</v>
      </c>
      <c r="AI1087" s="413">
        <f t="shared" ref="AI1087" si="3341">AI1086</f>
        <v>0</v>
      </c>
      <c r="AJ1087" s="413">
        <f t="shared" ref="AJ1087" si="3342">AJ1086</f>
        <v>0</v>
      </c>
      <c r="AK1087" s="413">
        <f t="shared" ref="AK1087" si="3343">AK1086</f>
        <v>0</v>
      </c>
      <c r="AL1087" s="413">
        <f t="shared" ref="AL1087" si="3344">AL1086</f>
        <v>0</v>
      </c>
      <c r="AM1087" s="308"/>
    </row>
    <row r="1088" spans="1:39" ht="15" hidden="1" customHeight="1" outlineLevel="1">
      <c r="A1088" s="532"/>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2">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2"/>
      <c r="B1090" s="296" t="s">
        <v>348</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45">Z1089</f>
        <v>0</v>
      </c>
      <c r="AA1090" s="413">
        <f t="shared" ref="AA1090" si="3346">AA1089</f>
        <v>0</v>
      </c>
      <c r="AB1090" s="413">
        <f t="shared" ref="AB1090" si="3347">AB1089</f>
        <v>0</v>
      </c>
      <c r="AC1090" s="413">
        <f t="shared" ref="AC1090" si="3348">AC1089</f>
        <v>0</v>
      </c>
      <c r="AD1090" s="413">
        <f t="shared" ref="AD1090" si="3349">AD1089</f>
        <v>0</v>
      </c>
      <c r="AE1090" s="413">
        <f t="shared" ref="AE1090" si="3350">AE1089</f>
        <v>0</v>
      </c>
      <c r="AF1090" s="413">
        <f t="shared" ref="AF1090" si="3351">AF1089</f>
        <v>0</v>
      </c>
      <c r="AG1090" s="413">
        <f t="shared" ref="AG1090" si="3352">AG1089</f>
        <v>0</v>
      </c>
      <c r="AH1090" s="413">
        <f t="shared" ref="AH1090" si="3353">AH1089</f>
        <v>0</v>
      </c>
      <c r="AI1090" s="413">
        <f t="shared" ref="AI1090" si="3354">AI1089</f>
        <v>0</v>
      </c>
      <c r="AJ1090" s="413">
        <f t="shared" ref="AJ1090" si="3355">AJ1089</f>
        <v>0</v>
      </c>
      <c r="AK1090" s="413">
        <f t="shared" ref="AK1090" si="3356">AK1089</f>
        <v>0</v>
      </c>
      <c r="AL1090" s="413">
        <f t="shared" ref="AL1090" si="3357">AL1089</f>
        <v>0</v>
      </c>
      <c r="AM1090" s="308"/>
    </row>
    <row r="1091" spans="1:39" ht="15" hidden="1" customHeight="1" outlineLevel="1">
      <c r="A1091" s="532"/>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2">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2"/>
      <c r="B1093" s="296" t="s">
        <v>348</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58">Z1092</f>
        <v>0</v>
      </c>
      <c r="AA1093" s="413">
        <f t="shared" ref="AA1093" si="3359">AA1092</f>
        <v>0</v>
      </c>
      <c r="AB1093" s="413">
        <f t="shared" ref="AB1093" si="3360">AB1092</f>
        <v>0</v>
      </c>
      <c r="AC1093" s="413">
        <f t="shared" ref="AC1093" si="3361">AC1092</f>
        <v>0</v>
      </c>
      <c r="AD1093" s="413">
        <f t="shared" ref="AD1093" si="3362">AD1092</f>
        <v>0</v>
      </c>
      <c r="AE1093" s="413">
        <f t="shared" ref="AE1093" si="3363">AE1092</f>
        <v>0</v>
      </c>
      <c r="AF1093" s="413">
        <f t="shared" ref="AF1093" si="3364">AF1092</f>
        <v>0</v>
      </c>
      <c r="AG1093" s="413">
        <f t="shared" ref="AG1093" si="3365">AG1092</f>
        <v>0</v>
      </c>
      <c r="AH1093" s="413">
        <f t="shared" ref="AH1093" si="3366">AH1092</f>
        <v>0</v>
      </c>
      <c r="AI1093" s="413">
        <f t="shared" ref="AI1093" si="3367">AI1092</f>
        <v>0</v>
      </c>
      <c r="AJ1093" s="413">
        <f t="shared" ref="AJ1093" si="3368">AJ1092</f>
        <v>0</v>
      </c>
      <c r="AK1093" s="413">
        <f t="shared" ref="AK1093" si="3369">AK1092</f>
        <v>0</v>
      </c>
      <c r="AL1093" s="413">
        <f t="shared" ref="AL1093" si="3370">AL1092</f>
        <v>0</v>
      </c>
      <c r="AM1093" s="308"/>
    </row>
    <row r="1094" spans="1:39" ht="15" hidden="1" customHeight="1" outlineLevel="1">
      <c r="A1094" s="532"/>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2">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2"/>
      <c r="B1096" s="296" t="s">
        <v>348</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71">Z1095</f>
        <v>0</v>
      </c>
      <c r="AA1096" s="413">
        <f t="shared" ref="AA1096" si="3372">AA1095</f>
        <v>0</v>
      </c>
      <c r="AB1096" s="413">
        <f t="shared" ref="AB1096" si="3373">AB1095</f>
        <v>0</v>
      </c>
      <c r="AC1096" s="413">
        <f t="shared" ref="AC1096" si="3374">AC1095</f>
        <v>0</v>
      </c>
      <c r="AD1096" s="413">
        <f t="shared" ref="AD1096" si="3375">AD1095</f>
        <v>0</v>
      </c>
      <c r="AE1096" s="413">
        <f t="shared" ref="AE1096" si="3376">AE1095</f>
        <v>0</v>
      </c>
      <c r="AF1096" s="413">
        <f t="shared" ref="AF1096" si="3377">AF1095</f>
        <v>0</v>
      </c>
      <c r="AG1096" s="413">
        <f t="shared" ref="AG1096" si="3378">AG1095</f>
        <v>0</v>
      </c>
      <c r="AH1096" s="413">
        <f t="shared" ref="AH1096" si="3379">AH1095</f>
        <v>0</v>
      </c>
      <c r="AI1096" s="413">
        <f t="shared" ref="AI1096" si="3380">AI1095</f>
        <v>0</v>
      </c>
      <c r="AJ1096" s="413">
        <f t="shared" ref="AJ1096" si="3381">AJ1095</f>
        <v>0</v>
      </c>
      <c r="AK1096" s="413">
        <f t="shared" ref="AK1096" si="3382">AK1095</f>
        <v>0</v>
      </c>
      <c r="AL1096" s="413">
        <f t="shared" ref="AL1096" si="3383">AL1095</f>
        <v>0</v>
      </c>
      <c r="AM1096" s="308"/>
    </row>
    <row r="1097" spans="1:39" ht="15" hidden="1" customHeight="1" outlineLevel="1">
      <c r="A1097" s="532"/>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2">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2"/>
      <c r="B1099" s="296" t="s">
        <v>348</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84">Z1098</f>
        <v>0</v>
      </c>
      <c r="AA1099" s="413">
        <f t="shared" ref="AA1099" si="3385">AA1098</f>
        <v>0</v>
      </c>
      <c r="AB1099" s="413">
        <f t="shared" ref="AB1099" si="3386">AB1098</f>
        <v>0</v>
      </c>
      <c r="AC1099" s="413">
        <f t="shared" ref="AC1099" si="3387">AC1098</f>
        <v>0</v>
      </c>
      <c r="AD1099" s="413">
        <f t="shared" ref="AD1099" si="3388">AD1098</f>
        <v>0</v>
      </c>
      <c r="AE1099" s="413">
        <f t="shared" ref="AE1099" si="3389">AE1098</f>
        <v>0</v>
      </c>
      <c r="AF1099" s="413">
        <f t="shared" ref="AF1099" si="3390">AF1098</f>
        <v>0</v>
      </c>
      <c r="AG1099" s="413">
        <f t="shared" ref="AG1099" si="3391">AG1098</f>
        <v>0</v>
      </c>
      <c r="AH1099" s="413">
        <f t="shared" ref="AH1099" si="3392">AH1098</f>
        <v>0</v>
      </c>
      <c r="AI1099" s="413">
        <f t="shared" ref="AI1099" si="3393">AI1098</f>
        <v>0.1</v>
      </c>
      <c r="AJ1099" s="413">
        <f t="shared" ref="AJ1099" si="3394">AJ1098</f>
        <v>0</v>
      </c>
      <c r="AK1099" s="413">
        <f t="shared" ref="AK1099" si="3395">AK1098</f>
        <v>0</v>
      </c>
      <c r="AL1099" s="413">
        <f t="shared" ref="AL1099" si="3396">AL1098</f>
        <v>0</v>
      </c>
      <c r="AM1099" s="308"/>
    </row>
    <row r="1100" spans="1:39" ht="15" hidden="1" customHeight="1" outlineLevel="1">
      <c r="A1100" s="532"/>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2">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2"/>
      <c r="B1102" s="296" t="s">
        <v>348</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97">Z1101</f>
        <v>0</v>
      </c>
      <c r="AA1102" s="413">
        <f t="shared" ref="AA1102" si="3398">AA1101</f>
        <v>0</v>
      </c>
      <c r="AB1102" s="413">
        <f t="shared" ref="AB1102" si="3399">AB1101</f>
        <v>0</v>
      </c>
      <c r="AC1102" s="413">
        <f t="shared" ref="AC1102" si="3400">AC1101</f>
        <v>0</v>
      </c>
      <c r="AD1102" s="413">
        <f t="shared" ref="AD1102" si="3401">AD1101</f>
        <v>0</v>
      </c>
      <c r="AE1102" s="413">
        <f t="shared" ref="AE1102" si="3402">AE1101</f>
        <v>0</v>
      </c>
      <c r="AF1102" s="413">
        <f t="shared" ref="AF1102" si="3403">AF1101</f>
        <v>0</v>
      </c>
      <c r="AG1102" s="413">
        <f t="shared" ref="AG1102" si="3404">AG1101</f>
        <v>0</v>
      </c>
      <c r="AH1102" s="413">
        <f t="shared" ref="AH1102" si="3405">AH1101</f>
        <v>0</v>
      </c>
      <c r="AI1102" s="413">
        <f t="shared" ref="AI1102" si="3406">AI1101</f>
        <v>0</v>
      </c>
      <c r="AJ1102" s="413">
        <f t="shared" ref="AJ1102" si="3407">AJ1101</f>
        <v>0</v>
      </c>
      <c r="AK1102" s="413">
        <f t="shared" ref="AK1102" si="3408">AK1101</f>
        <v>0</v>
      </c>
      <c r="AL1102" s="413">
        <f t="shared" ref="AL1102" si="3409">AL1101</f>
        <v>0</v>
      </c>
      <c r="AM1102" s="308"/>
    </row>
    <row r="1103" spans="1:39" ht="15" hidden="1" customHeight="1" outlineLevel="1">
      <c r="A1103" s="532"/>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2">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2"/>
      <c r="B1105" s="296" t="s">
        <v>348</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410">Z1104</f>
        <v>0</v>
      </c>
      <c r="AA1105" s="413">
        <f t="shared" ref="AA1105" si="3411">AA1104</f>
        <v>0</v>
      </c>
      <c r="AB1105" s="413">
        <f t="shared" ref="AB1105" si="3412">AB1104</f>
        <v>0</v>
      </c>
      <c r="AC1105" s="413">
        <f t="shared" ref="AC1105" si="3413">AC1104</f>
        <v>0</v>
      </c>
      <c r="AD1105" s="413">
        <f t="shared" ref="AD1105" si="3414">AD1104</f>
        <v>0</v>
      </c>
      <c r="AE1105" s="413">
        <f t="shared" ref="AE1105" si="3415">AE1104</f>
        <v>0</v>
      </c>
      <c r="AF1105" s="413">
        <f t="shared" ref="AF1105" si="3416">AF1104</f>
        <v>0</v>
      </c>
      <c r="AG1105" s="413">
        <f t="shared" ref="AG1105" si="3417">AG1104</f>
        <v>0</v>
      </c>
      <c r="AH1105" s="413">
        <f t="shared" ref="AH1105" si="3418">AH1104</f>
        <v>0</v>
      </c>
      <c r="AI1105" s="413">
        <f t="shared" ref="AI1105" si="3419">AI1104</f>
        <v>0</v>
      </c>
      <c r="AJ1105" s="413">
        <f t="shared" ref="AJ1105" si="3420">AJ1104</f>
        <v>0</v>
      </c>
      <c r="AK1105" s="413">
        <f t="shared" ref="AK1105" si="3421">AK1104</f>
        <v>0</v>
      </c>
      <c r="AL1105" s="413">
        <f t="shared" ref="AL1105" si="3422">AL1104</f>
        <v>0</v>
      </c>
      <c r="AM1105" s="308"/>
    </row>
    <row r="1106" spans="1:39" ht="15" hidden="1" customHeight="1" outlineLevel="1">
      <c r="A1106" s="532"/>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2">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2"/>
      <c r="B1108" s="296" t="s">
        <v>348</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23">Z1107</f>
        <v>0</v>
      </c>
      <c r="AA1108" s="413">
        <f t="shared" ref="AA1108" si="3424">AA1107</f>
        <v>0</v>
      </c>
      <c r="AB1108" s="413">
        <f t="shared" ref="AB1108" si="3425">AB1107</f>
        <v>0</v>
      </c>
      <c r="AC1108" s="413">
        <f t="shared" ref="AC1108" si="3426">AC1107</f>
        <v>0</v>
      </c>
      <c r="AD1108" s="413">
        <f t="shared" ref="AD1108" si="3427">AD1107</f>
        <v>0</v>
      </c>
      <c r="AE1108" s="413">
        <f t="shared" ref="AE1108" si="3428">AE1107</f>
        <v>0</v>
      </c>
      <c r="AF1108" s="413">
        <f t="shared" ref="AF1108" si="3429">AF1107</f>
        <v>0</v>
      </c>
      <c r="AG1108" s="413">
        <f t="shared" ref="AG1108" si="3430">AG1107</f>
        <v>0</v>
      </c>
      <c r="AH1108" s="413">
        <f t="shared" ref="AH1108" si="3431">AH1107</f>
        <v>0</v>
      </c>
      <c r="AI1108" s="413">
        <f t="shared" ref="AI1108" si="3432">AI1107</f>
        <v>0</v>
      </c>
      <c r="AJ1108" s="413">
        <f t="shared" ref="AJ1108" si="3433">AJ1107</f>
        <v>0</v>
      </c>
      <c r="AK1108" s="413">
        <f t="shared" ref="AK1108" si="3434">AK1107</f>
        <v>0</v>
      </c>
      <c r="AL1108" s="413">
        <f t="shared" ref="AL1108" si="3435">AL1107</f>
        <v>0</v>
      </c>
      <c r="AM1108" s="308"/>
    </row>
    <row r="1109" spans="1:39" ht="15" hidden="1" customHeight="1" outlineLevel="1">
      <c r="A1109" s="532"/>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hidden="1" collapsed="1">
      <c r="B1110" s="329" t="s">
        <v>349</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hidden="1">
      <c r="B1111" s="393" t="s">
        <v>350</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hidden="1">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hidden="1">
      <c r="B1113" s="326" t="s">
        <v>351</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hidden="1">
      <c r="B1114" s="326" t="s">
        <v>355</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29">
        <f t="shared" ref="AM1114:AM1123" si="3436">SUM(Y1114:AL1114)</f>
        <v>0</v>
      </c>
    </row>
    <row r="1115" spans="1:39" hidden="1">
      <c r="B1115" s="326" t="s">
        <v>356</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29">
        <f t="shared" si="3436"/>
        <v>0</v>
      </c>
    </row>
    <row r="1116" spans="1:39" hidden="1">
      <c r="B1116" s="326" t="s">
        <v>357</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29">
        <f t="shared" si="3436"/>
        <v>0</v>
      </c>
    </row>
    <row r="1117" spans="1:39" hidden="1">
      <c r="B1117" s="326" t="s">
        <v>358</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29">
        <f t="shared" si="3436"/>
        <v>0</v>
      </c>
    </row>
    <row r="1118" spans="1:39" hidden="1">
      <c r="B1118" s="326" t="s">
        <v>359</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37">Y212*Y1113</f>
        <v>0</v>
      </c>
      <c r="Z1118" s="380">
        <f t="shared" si="3437"/>
        <v>0</v>
      </c>
      <c r="AA1118" s="380">
        <f t="shared" si="3437"/>
        <v>0</v>
      </c>
      <c r="AB1118" s="380">
        <f t="shared" si="3437"/>
        <v>0</v>
      </c>
      <c r="AC1118" s="380">
        <f t="shared" si="3437"/>
        <v>0</v>
      </c>
      <c r="AD1118" s="380">
        <f t="shared" si="3437"/>
        <v>0</v>
      </c>
      <c r="AE1118" s="380">
        <f t="shared" si="3437"/>
        <v>0</v>
      </c>
      <c r="AF1118" s="380">
        <f t="shared" si="3437"/>
        <v>0</v>
      </c>
      <c r="AG1118" s="380">
        <f t="shared" si="3437"/>
        <v>0</v>
      </c>
      <c r="AH1118" s="380">
        <f t="shared" si="3437"/>
        <v>0</v>
      </c>
      <c r="AI1118" s="380">
        <f t="shared" si="3437"/>
        <v>0</v>
      </c>
      <c r="AJ1118" s="380">
        <f t="shared" si="3437"/>
        <v>0</v>
      </c>
      <c r="AK1118" s="380">
        <f t="shared" si="3437"/>
        <v>0</v>
      </c>
      <c r="AL1118" s="380">
        <f t="shared" si="3437"/>
        <v>0</v>
      </c>
      <c r="AM1118" s="629">
        <f t="shared" si="3436"/>
        <v>0</v>
      </c>
    </row>
    <row r="1119" spans="1:39" hidden="1">
      <c r="B1119" s="326" t="s">
        <v>360</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38">Y395*Y1113</f>
        <v>0</v>
      </c>
      <c r="Z1119" s="380">
        <f t="shared" si="3438"/>
        <v>0</v>
      </c>
      <c r="AA1119" s="380">
        <f t="shared" si="3438"/>
        <v>0</v>
      </c>
      <c r="AB1119" s="380">
        <f t="shared" si="3438"/>
        <v>0</v>
      </c>
      <c r="AC1119" s="380">
        <f t="shared" si="3438"/>
        <v>0</v>
      </c>
      <c r="AD1119" s="380">
        <f t="shared" si="3438"/>
        <v>0</v>
      </c>
      <c r="AE1119" s="380">
        <f t="shared" si="3438"/>
        <v>0</v>
      </c>
      <c r="AF1119" s="380">
        <f t="shared" si="3438"/>
        <v>0</v>
      </c>
      <c r="AG1119" s="380">
        <f t="shared" si="3438"/>
        <v>0</v>
      </c>
      <c r="AH1119" s="380">
        <f t="shared" si="3438"/>
        <v>0</v>
      </c>
      <c r="AI1119" s="380">
        <f t="shared" si="3438"/>
        <v>0</v>
      </c>
      <c r="AJ1119" s="380">
        <f t="shared" si="3438"/>
        <v>0</v>
      </c>
      <c r="AK1119" s="380">
        <f t="shared" si="3438"/>
        <v>0</v>
      </c>
      <c r="AL1119" s="380">
        <f t="shared" si="3438"/>
        <v>0</v>
      </c>
      <c r="AM1119" s="629">
        <f t="shared" si="3436"/>
        <v>0</v>
      </c>
    </row>
    <row r="1120" spans="1:39" hidden="1">
      <c r="B1120" s="326" t="s">
        <v>361</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39">Y578*Y1113</f>
        <v>0</v>
      </c>
      <c r="Z1120" s="380">
        <f t="shared" si="3439"/>
        <v>0</v>
      </c>
      <c r="AA1120" s="380">
        <f t="shared" si="3439"/>
        <v>0</v>
      </c>
      <c r="AB1120" s="380">
        <f t="shared" si="3439"/>
        <v>0</v>
      </c>
      <c r="AC1120" s="380">
        <f t="shared" si="3439"/>
        <v>0</v>
      </c>
      <c r="AD1120" s="380">
        <f t="shared" si="3439"/>
        <v>0</v>
      </c>
      <c r="AE1120" s="380">
        <f t="shared" si="3439"/>
        <v>0</v>
      </c>
      <c r="AF1120" s="380">
        <f t="shared" si="3439"/>
        <v>0</v>
      </c>
      <c r="AG1120" s="380">
        <f t="shared" si="3439"/>
        <v>0</v>
      </c>
      <c r="AH1120" s="380">
        <f t="shared" si="3439"/>
        <v>0</v>
      </c>
      <c r="AI1120" s="380">
        <f t="shared" si="3439"/>
        <v>0</v>
      </c>
      <c r="AJ1120" s="380">
        <f t="shared" si="3439"/>
        <v>0</v>
      </c>
      <c r="AK1120" s="380">
        <f t="shared" si="3439"/>
        <v>0</v>
      </c>
      <c r="AL1120" s="380">
        <f t="shared" si="3439"/>
        <v>0</v>
      </c>
      <c r="AM1120" s="629">
        <f t="shared" si="3436"/>
        <v>0</v>
      </c>
    </row>
    <row r="1121" spans="2:39" hidden="1">
      <c r="B1121" s="326" t="s">
        <v>362</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40">Y761*Y1113</f>
        <v>0</v>
      </c>
      <c r="Z1121" s="380">
        <f t="shared" si="3440"/>
        <v>0</v>
      </c>
      <c r="AA1121" s="380">
        <f t="shared" si="3440"/>
        <v>0</v>
      </c>
      <c r="AB1121" s="380">
        <f t="shared" si="3440"/>
        <v>0</v>
      </c>
      <c r="AC1121" s="380">
        <f t="shared" si="3440"/>
        <v>0</v>
      </c>
      <c r="AD1121" s="380">
        <f t="shared" si="3440"/>
        <v>0</v>
      </c>
      <c r="AE1121" s="380">
        <f t="shared" si="3440"/>
        <v>0</v>
      </c>
      <c r="AF1121" s="380">
        <f t="shared" si="3440"/>
        <v>0</v>
      </c>
      <c r="AG1121" s="380">
        <f t="shared" si="3440"/>
        <v>0</v>
      </c>
      <c r="AH1121" s="380">
        <f t="shared" si="3440"/>
        <v>0</v>
      </c>
      <c r="AI1121" s="380">
        <f t="shared" si="3440"/>
        <v>0</v>
      </c>
      <c r="AJ1121" s="380">
        <f t="shared" si="3440"/>
        <v>0</v>
      </c>
      <c r="AK1121" s="380">
        <f t="shared" si="3440"/>
        <v>0</v>
      </c>
      <c r="AL1121" s="380">
        <f t="shared" si="3440"/>
        <v>0</v>
      </c>
      <c r="AM1121" s="629">
        <f t="shared" si="3436"/>
        <v>0</v>
      </c>
    </row>
    <row r="1122" spans="2:39" hidden="1">
      <c r="B1122" s="326" t="s">
        <v>363</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41">Y944*Y1113</f>
        <v>0</v>
      </c>
      <c r="Z1122" s="380">
        <f t="shared" si="3441"/>
        <v>0</v>
      </c>
      <c r="AA1122" s="380">
        <f t="shared" si="3441"/>
        <v>0</v>
      </c>
      <c r="AB1122" s="380">
        <f t="shared" si="3441"/>
        <v>0</v>
      </c>
      <c r="AC1122" s="380">
        <f t="shared" si="3441"/>
        <v>0</v>
      </c>
      <c r="AD1122" s="380">
        <f t="shared" si="3441"/>
        <v>0</v>
      </c>
      <c r="AE1122" s="380">
        <f t="shared" si="3441"/>
        <v>0</v>
      </c>
      <c r="AF1122" s="380">
        <f t="shared" si="3441"/>
        <v>0</v>
      </c>
      <c r="AG1122" s="380">
        <f t="shared" si="3441"/>
        <v>0</v>
      </c>
      <c r="AH1122" s="380">
        <f t="shared" si="3441"/>
        <v>0</v>
      </c>
      <c r="AI1122" s="380">
        <f t="shared" si="3441"/>
        <v>0</v>
      </c>
      <c r="AJ1122" s="380">
        <f t="shared" si="3441"/>
        <v>0</v>
      </c>
      <c r="AK1122" s="380">
        <f t="shared" si="3441"/>
        <v>0</v>
      </c>
      <c r="AL1122" s="380">
        <f t="shared" si="3441"/>
        <v>0</v>
      </c>
      <c r="AM1122" s="629">
        <f t="shared" si="3436"/>
        <v>0</v>
      </c>
    </row>
    <row r="1123" spans="2:39" hidden="1">
      <c r="B1123" s="326" t="s">
        <v>364</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42">AA1110*AA1113</f>
        <v>0</v>
      </c>
      <c r="AB1123" s="380">
        <f t="shared" si="3442"/>
        <v>0</v>
      </c>
      <c r="AC1123" s="380">
        <f t="shared" si="3442"/>
        <v>0</v>
      </c>
      <c r="AD1123" s="380">
        <f t="shared" si="3442"/>
        <v>0</v>
      </c>
      <c r="AE1123" s="380">
        <f t="shared" si="3442"/>
        <v>0</v>
      </c>
      <c r="AF1123" s="380">
        <f t="shared" si="3442"/>
        <v>0</v>
      </c>
      <c r="AG1123" s="380">
        <f t="shared" si="3442"/>
        <v>0</v>
      </c>
      <c r="AH1123" s="380">
        <f t="shared" si="3442"/>
        <v>0</v>
      </c>
      <c r="AI1123" s="380">
        <f t="shared" si="3442"/>
        <v>0</v>
      </c>
      <c r="AJ1123" s="380">
        <f t="shared" si="3442"/>
        <v>0</v>
      </c>
      <c r="AK1123" s="380">
        <f t="shared" si="3442"/>
        <v>0</v>
      </c>
      <c r="AL1123" s="380">
        <f t="shared" si="3442"/>
        <v>0</v>
      </c>
      <c r="AM1123" s="629">
        <f t="shared" si="3436"/>
        <v>0</v>
      </c>
    </row>
    <row r="1124" spans="2:39" ht="15.75" hidden="1">
      <c r="B1124" s="351" t="s">
        <v>354</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43">SUM(Z1114:Z1123)</f>
        <v>0</v>
      </c>
      <c r="AA1124" s="348">
        <f t="shared" si="3443"/>
        <v>0</v>
      </c>
      <c r="AB1124" s="348">
        <f t="shared" si="3443"/>
        <v>0</v>
      </c>
      <c r="AC1124" s="348">
        <f t="shared" si="3443"/>
        <v>0</v>
      </c>
      <c r="AD1124" s="348">
        <f t="shared" si="3443"/>
        <v>0</v>
      </c>
      <c r="AE1124" s="348">
        <f t="shared" si="3443"/>
        <v>0</v>
      </c>
      <c r="AF1124" s="348">
        <f>SUM(AF1114:AF1123)</f>
        <v>0</v>
      </c>
      <c r="AG1124" s="348">
        <f t="shared" ref="AG1124:AL1124" si="3444">SUM(AG1114:AG1123)</f>
        <v>0</v>
      </c>
      <c r="AH1124" s="348">
        <f t="shared" si="3444"/>
        <v>0</v>
      </c>
      <c r="AI1124" s="348">
        <f t="shared" si="3444"/>
        <v>0</v>
      </c>
      <c r="AJ1124" s="348">
        <f t="shared" si="3444"/>
        <v>0</v>
      </c>
      <c r="AK1124" s="348">
        <f t="shared" si="3444"/>
        <v>0</v>
      </c>
      <c r="AL1124" s="348">
        <f t="shared" si="3444"/>
        <v>0</v>
      </c>
      <c r="AM1124" s="409">
        <f>SUM(AM1114:AM1123)</f>
        <v>0</v>
      </c>
    </row>
    <row r="1125" spans="2:39" ht="15.75" hidden="1">
      <c r="B1125" s="351" t="s">
        <v>353</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45">Z1111*Z1113</f>
        <v>0</v>
      </c>
      <c r="AA1125" s="349">
        <f>AA1111*AA1113</f>
        <v>0</v>
      </c>
      <c r="AB1125" s="349">
        <f t="shared" si="3445"/>
        <v>0</v>
      </c>
      <c r="AC1125" s="349">
        <f t="shared" si="3445"/>
        <v>0</v>
      </c>
      <c r="AD1125" s="349">
        <f t="shared" si="3445"/>
        <v>0</v>
      </c>
      <c r="AE1125" s="349">
        <f t="shared" si="3445"/>
        <v>0</v>
      </c>
      <c r="AF1125" s="349">
        <f t="shared" ref="AF1125:AL1125" si="3446">AF1111*AF1113</f>
        <v>0</v>
      </c>
      <c r="AG1125" s="349">
        <f t="shared" si="3446"/>
        <v>0</v>
      </c>
      <c r="AH1125" s="349">
        <f t="shared" si="3446"/>
        <v>0</v>
      </c>
      <c r="AI1125" s="349">
        <f t="shared" si="3446"/>
        <v>0</v>
      </c>
      <c r="AJ1125" s="349">
        <f t="shared" si="3446"/>
        <v>0</v>
      </c>
      <c r="AK1125" s="349">
        <f t="shared" si="3446"/>
        <v>0</v>
      </c>
      <c r="AL1125" s="349">
        <f t="shared" si="3446"/>
        <v>0</v>
      </c>
      <c r="AM1125" s="409">
        <f>SUM(Y1125:AL1125)</f>
        <v>0</v>
      </c>
    </row>
    <row r="1126" spans="2:39" ht="15.75" hidden="1">
      <c r="B1126" s="351" t="s">
        <v>352</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hidden="1">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hidden="1" customHeight="1">
      <c r="B1128" s="370" t="s">
        <v>594</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29" spans="2:39" hidden="1"/>
    <row r="1130" spans="2:39">
      <c r="B1130" s="590" t="s">
        <v>530</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scale="35" fitToHeight="0" orientation="landscape" r:id="rId1"/>
  <headerFooter>
    <oddFooter>&amp;R&amp;P of &amp;N</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8"/>
  <sheetViews>
    <sheetView topLeftCell="A84" zoomScale="90" zoomScaleNormal="90" workbookViewId="0">
      <selection activeCell="C21" sqref="C21"/>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0" t="s">
        <v>555</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509</v>
      </c>
      <c r="C8" s="881" t="s">
        <v>679</v>
      </c>
      <c r="D8" s="881"/>
      <c r="E8" s="881"/>
      <c r="F8" s="881"/>
      <c r="G8" s="881"/>
      <c r="H8" s="881"/>
      <c r="I8" s="881"/>
      <c r="J8" s="881"/>
      <c r="K8" s="881"/>
      <c r="L8" s="881"/>
      <c r="M8" s="881"/>
      <c r="N8" s="881"/>
      <c r="O8" s="881"/>
      <c r="P8" s="881"/>
      <c r="Q8" s="881"/>
      <c r="R8" s="881"/>
      <c r="S8" s="881"/>
      <c r="T8" s="107"/>
      <c r="U8" s="107"/>
      <c r="V8" s="107"/>
      <c r="W8" s="107"/>
    </row>
    <row r="9" spans="1:28" s="9" customFormat="1" ht="45" customHeight="1">
      <c r="B9" s="57"/>
      <c r="C9" s="881" t="s">
        <v>568</v>
      </c>
      <c r="D9" s="881"/>
      <c r="E9" s="881"/>
      <c r="F9" s="881"/>
      <c r="G9" s="881"/>
      <c r="H9" s="881"/>
      <c r="I9" s="881"/>
      <c r="J9" s="881"/>
      <c r="K9" s="881"/>
      <c r="L9" s="881"/>
      <c r="M9" s="881"/>
      <c r="N9" s="881"/>
      <c r="O9" s="881"/>
      <c r="P9" s="881"/>
      <c r="Q9" s="881"/>
      <c r="R9" s="881"/>
      <c r="S9" s="881"/>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80" t="s">
        <v>236</v>
      </c>
      <c r="C12" s="880"/>
      <c r="D12" s="183"/>
      <c r="E12" s="184" t="s">
        <v>237</v>
      </c>
      <c r="F12" s="52"/>
      <c r="G12" s="52"/>
      <c r="H12" s="45"/>
      <c r="I12" s="52"/>
      <c r="K12" s="592" t="s">
        <v>539</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475</v>
      </c>
      <c r="D14" s="205"/>
      <c r="E14" s="206" t="s">
        <v>62</v>
      </c>
      <c r="F14" s="206" t="s">
        <v>497</v>
      </c>
      <c r="G14" s="206" t="s">
        <v>63</v>
      </c>
      <c r="H14" s="206" t="s">
        <v>64</v>
      </c>
      <c r="I14" s="206" t="str">
        <f>'1.  LRAMVA Summary'!D50</f>
        <v>Residential</v>
      </c>
      <c r="J14" s="206" t="str">
        <f>'1.  LRAMVA Summary'!E50</f>
        <v>GS&lt;50 kW</v>
      </c>
      <c r="K14" s="206" t="str">
        <f>'1.  LRAMVA Summary'!F50</f>
        <v>GS&gt;50 kW</v>
      </c>
      <c r="L14" s="206" t="str">
        <f>'1.  LRAMVA Summary'!G50</f>
        <v>Streetlights</v>
      </c>
      <c r="M14" s="206" t="str">
        <f>'1.  LRAMVA Summary'!H50</f>
        <v>Unmetered Scattered Load</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464</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428</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15">
        <v>1.4999999999999999E-2</v>
      </c>
      <c r="D42" s="208"/>
      <c r="E42" s="218" t="s">
        <v>465</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1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15">
        <v>1.89E-2</v>
      </c>
      <c r="D44" s="208"/>
      <c r="E44" s="227" t="s">
        <v>429</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2.1700000000000001E-2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v>2.1700000000000001E-2</v>
      </c>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v>2.1700000000000001E-2</v>
      </c>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466</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430</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467</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431</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19"/>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v>
      </c>
    </row>
    <row r="79" spans="2:23" s="9" customFormat="1">
      <c r="B79" s="68"/>
      <c r="E79" s="216">
        <v>42125</v>
      </c>
      <c r="F79" s="216" t="s">
        <v>182</v>
      </c>
      <c r="G79" s="217" t="s">
        <v>66</v>
      </c>
      <c r="H79" s="231">
        <f t="shared" ref="H79:H80" si="21">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v>
      </c>
    </row>
    <row r="80" spans="2:23" s="9" customFormat="1">
      <c r="B80" s="68"/>
      <c r="E80" s="216">
        <v>42156</v>
      </c>
      <c r="F80" s="216" t="s">
        <v>182</v>
      </c>
      <c r="G80" s="217" t="s">
        <v>66</v>
      </c>
      <c r="H80" s="231">
        <f t="shared" si="21"/>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v>
      </c>
    </row>
    <row r="82" spans="2:23" s="9" customFormat="1">
      <c r="B82" s="68"/>
      <c r="E82" s="216">
        <v>42217</v>
      </c>
      <c r="F82" s="216" t="s">
        <v>182</v>
      </c>
      <c r="G82" s="217" t="s">
        <v>68</v>
      </c>
      <c r="H82" s="231">
        <f t="shared" ref="H82:H83" si="22">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v>
      </c>
    </row>
    <row r="83" spans="2:23" s="9" customFormat="1">
      <c r="B83" s="68"/>
      <c r="E83" s="216">
        <v>42248</v>
      </c>
      <c r="F83" s="216" t="s">
        <v>182</v>
      </c>
      <c r="G83" s="217" t="s">
        <v>68</v>
      </c>
      <c r="H83" s="231">
        <f t="shared" si="22"/>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v>
      </c>
    </row>
    <row r="85" spans="2:23" s="9" customFormat="1">
      <c r="B85" s="68"/>
      <c r="E85" s="216">
        <v>42309</v>
      </c>
      <c r="F85" s="216" t="s">
        <v>182</v>
      </c>
      <c r="G85" s="217" t="s">
        <v>69</v>
      </c>
      <c r="H85" s="231">
        <f t="shared" ref="H85:H86" si="23">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v>
      </c>
    </row>
    <row r="86" spans="2:23" s="9" customFormat="1">
      <c r="B86" s="68"/>
      <c r="E86" s="216">
        <v>42339</v>
      </c>
      <c r="F86" s="216" t="s">
        <v>182</v>
      </c>
      <c r="G86" s="217" t="s">
        <v>69</v>
      </c>
      <c r="H86" s="231">
        <f t="shared" si="23"/>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v>
      </c>
    </row>
    <row r="87" spans="2:23" s="9" customFormat="1" ht="15.75" thickBot="1">
      <c r="B87" s="68"/>
      <c r="E87" s="218" t="s">
        <v>468</v>
      </c>
      <c r="F87" s="218"/>
      <c r="G87" s="219"/>
      <c r="H87" s="220"/>
      <c r="I87" s="221">
        <f>SUM(I74:I86)</f>
        <v>0</v>
      </c>
      <c r="J87" s="221">
        <f>SUM(J74:J86)</f>
        <v>0</v>
      </c>
      <c r="K87" s="221">
        <f t="shared" ref="K87:O87" si="24">SUM(K74:K86)</f>
        <v>0</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0</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432</v>
      </c>
      <c r="F89" s="227"/>
      <c r="G89" s="228"/>
      <c r="H89" s="229"/>
      <c r="I89" s="230">
        <f>I87+I88</f>
        <v>0</v>
      </c>
      <c r="J89" s="230">
        <f t="shared" ref="J89" si="26">J87+J88</f>
        <v>0</v>
      </c>
      <c r="K89" s="230">
        <f t="shared" ref="K89" si="27">K87+K88</f>
        <v>0</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0</v>
      </c>
    </row>
    <row r="90" spans="2:23" s="9" customFormat="1">
      <c r="B90" s="68"/>
      <c r="E90" s="216">
        <v>42370</v>
      </c>
      <c r="F90" s="216" t="s">
        <v>184</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34">$C$35/12</f>
        <v>9.1666666666666665E-4</v>
      </c>
      <c r="I91" s="232">
        <f>(SUM('1.  LRAMVA Summary'!D$52:D$66)+SUM('1.  LRAMVA Summary'!D$67:D$68)*(MONTH($E91)-1)/12)*$H91</f>
        <v>2.7604116563836651</v>
      </c>
      <c r="J91" s="232">
        <f>(SUM('1.  LRAMVA Summary'!E$52:E$66)+SUM('1.  LRAMVA Summary'!E$67:E$68)*(MONTH($E91)-1)/12)*$H91</f>
        <v>4.9385951026023234</v>
      </c>
      <c r="K91" s="232">
        <f>(SUM('1.  LRAMVA Summary'!F$52:F$66)+SUM('1.  LRAMVA Summary'!F$67:F$68)*(MONTH($E91)-1)/12)*$H91</f>
        <v>-1.7291441026992473</v>
      </c>
      <c r="L91" s="232">
        <f>(SUM('1.  LRAMVA Summary'!G$52:G$66)+SUM('1.  LRAMVA Summary'!G$67:G$68)*(MONTH($E91)-1)/12)*$H91</f>
        <v>-0.22573020555555554</v>
      </c>
      <c r="M91" s="232">
        <f>(SUM('1.  LRAMVA Summary'!H$52:H$66)+SUM('1.  LRAMVA Summary'!H$67:H$68)*(MONTH($E91)-1)/12)*$H91</f>
        <v>-4.2221055555555559E-3</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5.7399103451756304</v>
      </c>
    </row>
    <row r="92" spans="2:23" s="9" customFormat="1" ht="14.25" customHeight="1">
      <c r="B92" s="68"/>
      <c r="E92" s="216">
        <v>42430</v>
      </c>
      <c r="F92" s="216" t="s">
        <v>184</v>
      </c>
      <c r="G92" s="217" t="s">
        <v>65</v>
      </c>
      <c r="H92" s="231">
        <f t="shared" si="34"/>
        <v>9.1666666666666665E-4</v>
      </c>
      <c r="I92" s="232">
        <f>(SUM('1.  LRAMVA Summary'!D$52:D$66)+SUM('1.  LRAMVA Summary'!D$67:D$68)*(MONTH($E92)-1)/12)*$H92</f>
        <v>5.5208233127673303</v>
      </c>
      <c r="J92" s="232">
        <f>(SUM('1.  LRAMVA Summary'!E$52:E$66)+SUM('1.  LRAMVA Summary'!E$67:E$68)*(MONTH($E92)-1)/12)*$H92</f>
        <v>9.8771902052046467</v>
      </c>
      <c r="K92" s="232">
        <f>(SUM('1.  LRAMVA Summary'!F$52:F$66)+SUM('1.  LRAMVA Summary'!F$67:F$68)*(MONTH($E92)-1)/12)*$H92</f>
        <v>-3.4582882053984947</v>
      </c>
      <c r="L92" s="232">
        <f>(SUM('1.  LRAMVA Summary'!G$52:G$66)+SUM('1.  LRAMVA Summary'!G$67:G$68)*(MONTH($E92)-1)/12)*$H92</f>
        <v>-0.45146041111111107</v>
      </c>
      <c r="M92" s="232">
        <f>(SUM('1.  LRAMVA Summary'!H$52:H$66)+SUM('1.  LRAMVA Summary'!H$67:H$68)*(MONTH($E92)-1)/12)*$H92</f>
        <v>-8.4442111111111117E-3</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11.479820690351261</v>
      </c>
    </row>
    <row r="93" spans="2:23" s="8" customFormat="1">
      <c r="B93" s="241"/>
      <c r="D93" s="9"/>
      <c r="E93" s="216">
        <v>42461</v>
      </c>
      <c r="F93" s="216" t="s">
        <v>184</v>
      </c>
      <c r="G93" s="217" t="s">
        <v>66</v>
      </c>
      <c r="H93" s="231">
        <f>$C$36/12</f>
        <v>9.1666666666666665E-4</v>
      </c>
      <c r="I93" s="232">
        <f>(SUM('1.  LRAMVA Summary'!D$52:D$66)+SUM('1.  LRAMVA Summary'!D$67:D$68)*(MONTH($E93)-1)/12)*$H93</f>
        <v>8.2812349691509954</v>
      </c>
      <c r="J93" s="232">
        <f>(SUM('1.  LRAMVA Summary'!E$52:E$66)+SUM('1.  LRAMVA Summary'!E$67:E$68)*(MONTH($E93)-1)/12)*$H93</f>
        <v>14.815785307806969</v>
      </c>
      <c r="K93" s="232">
        <f>(SUM('1.  LRAMVA Summary'!F$52:F$66)+SUM('1.  LRAMVA Summary'!F$67:F$68)*(MONTH($E93)-1)/12)*$H93</f>
        <v>-5.1874323080977431</v>
      </c>
      <c r="L93" s="232">
        <f>(SUM('1.  LRAMVA Summary'!G$52:G$66)+SUM('1.  LRAMVA Summary'!G$67:G$68)*(MONTH($E93)-1)/12)*$H93</f>
        <v>-0.67719061666666658</v>
      </c>
      <c r="M93" s="232">
        <f>(SUM('1.  LRAMVA Summary'!H$52:H$66)+SUM('1.  LRAMVA Summary'!H$67:H$68)*(MONTH($E93)-1)/12)*$H93</f>
        <v>-1.2666316666666667E-2</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17.219731035526884</v>
      </c>
    </row>
    <row r="94" spans="2:23" s="9" customFormat="1">
      <c r="B94" s="68"/>
      <c r="E94" s="216">
        <v>42491</v>
      </c>
      <c r="F94" s="216" t="s">
        <v>184</v>
      </c>
      <c r="G94" s="217" t="s">
        <v>66</v>
      </c>
      <c r="H94" s="231">
        <f t="shared" ref="H94:H95" si="36">$C$36/12</f>
        <v>9.1666666666666665E-4</v>
      </c>
      <c r="I94" s="232">
        <f>(SUM('1.  LRAMVA Summary'!D$52:D$66)+SUM('1.  LRAMVA Summary'!D$67:D$68)*(MONTH($E94)-1)/12)*$H94</f>
        <v>11.041646625534661</v>
      </c>
      <c r="J94" s="232">
        <f>(SUM('1.  LRAMVA Summary'!E$52:E$66)+SUM('1.  LRAMVA Summary'!E$67:E$68)*(MONTH($E94)-1)/12)*$H94</f>
        <v>19.754380410409293</v>
      </c>
      <c r="K94" s="232">
        <f>(SUM('1.  LRAMVA Summary'!F$52:F$66)+SUM('1.  LRAMVA Summary'!F$67:F$68)*(MONTH($E94)-1)/12)*$H94</f>
        <v>-6.9165764107969894</v>
      </c>
      <c r="L94" s="232">
        <f>(SUM('1.  LRAMVA Summary'!G$52:G$66)+SUM('1.  LRAMVA Summary'!G$67:G$68)*(MONTH($E94)-1)/12)*$H94</f>
        <v>-0.90292082222222214</v>
      </c>
      <c r="M94" s="232">
        <f>(SUM('1.  LRAMVA Summary'!H$52:H$66)+SUM('1.  LRAMVA Summary'!H$67:H$68)*(MONTH($E94)-1)/12)*$H94</f>
        <v>-1.6888422222222223E-2</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22.959641380702521</v>
      </c>
    </row>
    <row r="95" spans="2:23" s="240" customFormat="1">
      <c r="B95" s="239"/>
      <c r="D95" s="9"/>
      <c r="E95" s="216">
        <v>42522</v>
      </c>
      <c r="F95" s="216" t="s">
        <v>184</v>
      </c>
      <c r="G95" s="217" t="s">
        <v>66</v>
      </c>
      <c r="H95" s="231">
        <f t="shared" si="36"/>
        <v>9.1666666666666665E-4</v>
      </c>
      <c r="I95" s="232">
        <f>(SUM('1.  LRAMVA Summary'!D$52:D$66)+SUM('1.  LRAMVA Summary'!D$67:D$68)*(MONTH($E95)-1)/12)*$H95</f>
        <v>13.802058281918324</v>
      </c>
      <c r="J95" s="232">
        <f>(SUM('1.  LRAMVA Summary'!E$52:E$66)+SUM('1.  LRAMVA Summary'!E$67:E$68)*(MONTH($E95)-1)/12)*$H95</f>
        <v>24.692975513011618</v>
      </c>
      <c r="K95" s="232">
        <f>(SUM('1.  LRAMVA Summary'!F$52:F$66)+SUM('1.  LRAMVA Summary'!F$67:F$68)*(MONTH($E95)-1)/12)*$H95</f>
        <v>-8.6457205134962365</v>
      </c>
      <c r="L95" s="232">
        <f>(SUM('1.  LRAMVA Summary'!G$52:G$66)+SUM('1.  LRAMVA Summary'!G$67:G$68)*(MONTH($E95)-1)/12)*$H95</f>
        <v>-1.1286510277777777</v>
      </c>
      <c r="M95" s="232">
        <f>(SUM('1.  LRAMVA Summary'!H$52:H$66)+SUM('1.  LRAMVA Summary'!H$67:H$68)*(MONTH($E95)-1)/12)*$H95</f>
        <v>-2.1110527777777777E-2</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28.699551725878145</v>
      </c>
    </row>
    <row r="96" spans="2:23" s="9" customFormat="1">
      <c r="B96" s="68"/>
      <c r="E96" s="216">
        <v>42552</v>
      </c>
      <c r="F96" s="216" t="s">
        <v>184</v>
      </c>
      <c r="G96" s="217" t="s">
        <v>68</v>
      </c>
      <c r="H96" s="231">
        <f>$C$37/12</f>
        <v>9.1666666666666665E-4</v>
      </c>
      <c r="I96" s="232">
        <f>(SUM('1.  LRAMVA Summary'!D$52:D$66)+SUM('1.  LRAMVA Summary'!D$67:D$68)*(MONTH($E96)-1)/12)*$H96</f>
        <v>16.562469938301991</v>
      </c>
      <c r="J96" s="232">
        <f>(SUM('1.  LRAMVA Summary'!E$52:E$66)+SUM('1.  LRAMVA Summary'!E$67:E$68)*(MONTH($E96)-1)/12)*$H96</f>
        <v>29.631570615613938</v>
      </c>
      <c r="K96" s="232">
        <f>(SUM('1.  LRAMVA Summary'!F$52:F$66)+SUM('1.  LRAMVA Summary'!F$67:F$68)*(MONTH($E96)-1)/12)*$H96</f>
        <v>-10.374864616195486</v>
      </c>
      <c r="L96" s="232">
        <f>(SUM('1.  LRAMVA Summary'!G$52:G$66)+SUM('1.  LRAMVA Summary'!G$67:G$68)*(MONTH($E96)-1)/12)*$H96</f>
        <v>-1.3543812333333332</v>
      </c>
      <c r="M96" s="232">
        <f>(SUM('1.  LRAMVA Summary'!H$52:H$66)+SUM('1.  LRAMVA Summary'!H$67:H$68)*(MONTH($E96)-1)/12)*$H96</f>
        <v>-2.5332633333333333E-2</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34.439462071053768</v>
      </c>
    </row>
    <row r="97" spans="2:23" s="9" customFormat="1">
      <c r="B97" s="68"/>
      <c r="E97" s="216">
        <v>42583</v>
      </c>
      <c r="F97" s="216" t="s">
        <v>184</v>
      </c>
      <c r="G97" s="217" t="s">
        <v>68</v>
      </c>
      <c r="H97" s="231">
        <f t="shared" ref="H97:H98" si="37">$C$37/12</f>
        <v>9.1666666666666665E-4</v>
      </c>
      <c r="I97" s="232">
        <f>(SUM('1.  LRAMVA Summary'!D$52:D$66)+SUM('1.  LRAMVA Summary'!D$67:D$68)*(MONTH($E97)-1)/12)*$H97</f>
        <v>19.322881594685658</v>
      </c>
      <c r="J97" s="232">
        <f>(SUM('1.  LRAMVA Summary'!E$52:E$66)+SUM('1.  LRAMVA Summary'!E$67:E$68)*(MONTH($E97)-1)/12)*$H97</f>
        <v>34.570165718216259</v>
      </c>
      <c r="K97" s="232">
        <f>(SUM('1.  LRAMVA Summary'!F$52:F$66)+SUM('1.  LRAMVA Summary'!F$67:F$68)*(MONTH($E97)-1)/12)*$H97</f>
        <v>-12.104008718894733</v>
      </c>
      <c r="L97" s="232">
        <f>(SUM('1.  LRAMVA Summary'!G$52:G$66)+SUM('1.  LRAMVA Summary'!G$67:G$68)*(MONTH($E97)-1)/12)*$H97</f>
        <v>-1.5801114388888888</v>
      </c>
      <c r="M97" s="232">
        <f>(SUM('1.  LRAMVA Summary'!H$52:H$66)+SUM('1.  LRAMVA Summary'!H$67:H$68)*(MONTH($E97)-1)/12)*$H97</f>
        <v>-2.9554738888888883E-2</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40.179372416229398</v>
      </c>
    </row>
    <row r="98" spans="2:23" s="9" customFormat="1">
      <c r="B98" s="68"/>
      <c r="E98" s="216">
        <v>42614</v>
      </c>
      <c r="F98" s="216" t="s">
        <v>184</v>
      </c>
      <c r="G98" s="217" t="s">
        <v>68</v>
      </c>
      <c r="H98" s="231">
        <f t="shared" si="37"/>
        <v>9.1666666666666665E-4</v>
      </c>
      <c r="I98" s="232">
        <f>(SUM('1.  LRAMVA Summary'!D$52:D$66)+SUM('1.  LRAMVA Summary'!D$67:D$68)*(MONTH($E98)-1)/12)*$H98</f>
        <v>22.083293251069321</v>
      </c>
      <c r="J98" s="232">
        <f>(SUM('1.  LRAMVA Summary'!E$52:E$66)+SUM('1.  LRAMVA Summary'!E$67:E$68)*(MONTH($E98)-1)/12)*$H98</f>
        <v>39.508760820818587</v>
      </c>
      <c r="K98" s="232">
        <f>(SUM('1.  LRAMVA Summary'!F$52:F$66)+SUM('1.  LRAMVA Summary'!F$67:F$68)*(MONTH($E98)-1)/12)*$H98</f>
        <v>-13.833152821593979</v>
      </c>
      <c r="L98" s="232">
        <f>(SUM('1.  LRAMVA Summary'!G$52:G$66)+SUM('1.  LRAMVA Summary'!G$67:G$68)*(MONTH($E98)-1)/12)*$H98</f>
        <v>-1.8058416444444443</v>
      </c>
      <c r="M98" s="232">
        <f>(SUM('1.  LRAMVA Summary'!H$52:H$66)+SUM('1.  LRAMVA Summary'!H$67:H$68)*(MONTH($E98)-1)/12)*$H98</f>
        <v>-3.3776844444444447E-2</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45.919282761405043</v>
      </c>
    </row>
    <row r="99" spans="2:23" s="9" customFormat="1">
      <c r="B99" s="68"/>
      <c r="E99" s="216">
        <v>42644</v>
      </c>
      <c r="F99" s="216" t="s">
        <v>184</v>
      </c>
      <c r="G99" s="217" t="s">
        <v>69</v>
      </c>
      <c r="H99" s="212">
        <f>$C$38/12</f>
        <v>9.1666666666666665E-4</v>
      </c>
      <c r="I99" s="232">
        <f>(SUM('1.  LRAMVA Summary'!D$52:D$66)+SUM('1.  LRAMVA Summary'!D$67:D$68)*(MONTH($E99)-1)/12)*$H99</f>
        <v>24.843704907452985</v>
      </c>
      <c r="J99" s="232">
        <f>(SUM('1.  LRAMVA Summary'!E$52:E$66)+SUM('1.  LRAMVA Summary'!E$67:E$68)*(MONTH($E99)-1)/12)*$H99</f>
        <v>44.447355923420915</v>
      </c>
      <c r="K99" s="232">
        <f>(SUM('1.  LRAMVA Summary'!F$52:F$66)+SUM('1.  LRAMVA Summary'!F$67:F$68)*(MONTH($E99)-1)/12)*$H99</f>
        <v>-15.562296924293225</v>
      </c>
      <c r="L99" s="232">
        <f>(SUM('1.  LRAMVA Summary'!G$52:G$66)+SUM('1.  LRAMVA Summary'!G$67:G$68)*(MONTH($E99)-1)/12)*$H99</f>
        <v>-2.0315718499999997</v>
      </c>
      <c r="M99" s="232">
        <f>(SUM('1.  LRAMVA Summary'!H$52:H$66)+SUM('1.  LRAMVA Summary'!H$67:H$68)*(MONTH($E99)-1)/12)*$H99</f>
        <v>-3.7998950000000004E-2</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51.65919310658068</v>
      </c>
    </row>
    <row r="100" spans="2:23" s="9" customFormat="1">
      <c r="B100" s="68"/>
      <c r="E100" s="216">
        <v>42675</v>
      </c>
      <c r="F100" s="216" t="s">
        <v>184</v>
      </c>
      <c r="G100" s="217" t="s">
        <v>69</v>
      </c>
      <c r="H100" s="212">
        <f t="shared" ref="H100:H101" si="38">$C$38/12</f>
        <v>9.1666666666666665E-4</v>
      </c>
      <c r="I100" s="232">
        <f>(SUM('1.  LRAMVA Summary'!D$52:D$66)+SUM('1.  LRAMVA Summary'!D$67:D$68)*(MONTH($E100)-1)/12)*$H100</f>
        <v>27.604116563836648</v>
      </c>
      <c r="J100" s="232">
        <f>(SUM('1.  LRAMVA Summary'!E$52:E$66)+SUM('1.  LRAMVA Summary'!E$67:E$68)*(MONTH($E100)-1)/12)*$H100</f>
        <v>49.385951026023235</v>
      </c>
      <c r="K100" s="232">
        <f>(SUM('1.  LRAMVA Summary'!F$52:F$66)+SUM('1.  LRAMVA Summary'!F$67:F$68)*(MONTH($E100)-1)/12)*$H100</f>
        <v>-17.291441026992473</v>
      </c>
      <c r="L100" s="232">
        <f>(SUM('1.  LRAMVA Summary'!G$52:G$66)+SUM('1.  LRAMVA Summary'!G$67:G$68)*(MONTH($E100)-1)/12)*$H100</f>
        <v>-2.2573020555555554</v>
      </c>
      <c r="M100" s="232">
        <f>(SUM('1.  LRAMVA Summary'!H$52:H$66)+SUM('1.  LRAMVA Summary'!H$67:H$68)*(MONTH($E100)-1)/12)*$H100</f>
        <v>-4.2221055555555553E-2</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57.399103451756289</v>
      </c>
    </row>
    <row r="101" spans="2:23" s="9" customFormat="1">
      <c r="B101" s="68"/>
      <c r="E101" s="216">
        <v>42705</v>
      </c>
      <c r="F101" s="216" t="s">
        <v>184</v>
      </c>
      <c r="G101" s="217" t="s">
        <v>69</v>
      </c>
      <c r="H101" s="212">
        <f t="shared" si="38"/>
        <v>9.1666666666666665E-4</v>
      </c>
      <c r="I101" s="232">
        <f>(SUM('1.  LRAMVA Summary'!D$52:D$66)+SUM('1.  LRAMVA Summary'!D$67:D$68)*(MONTH($E101)-1)/12)*$H101</f>
        <v>30.364528220220315</v>
      </c>
      <c r="J101" s="232">
        <f>(SUM('1.  LRAMVA Summary'!E$52:E$66)+SUM('1.  LRAMVA Summary'!E$67:E$68)*(MONTH($E101)-1)/12)*$H101</f>
        <v>54.324546128625556</v>
      </c>
      <c r="K101" s="232">
        <f>(SUM('1.  LRAMVA Summary'!F$52:F$66)+SUM('1.  LRAMVA Summary'!F$67:F$68)*(MONTH($E101)-1)/12)*$H101</f>
        <v>-19.020585129691721</v>
      </c>
      <c r="L101" s="232">
        <f>(SUM('1.  LRAMVA Summary'!G$52:G$66)+SUM('1.  LRAMVA Summary'!G$67:G$68)*(MONTH($E101)-1)/12)*$H101</f>
        <v>-2.4830322611111111</v>
      </c>
      <c r="M101" s="232">
        <f>(SUM('1.  LRAMVA Summary'!H$52:H$66)+SUM('1.  LRAMVA Summary'!H$67:H$68)*(MONTH($E101)-1)/12)*$H101</f>
        <v>-4.644316111111111E-2</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63.139013796931927</v>
      </c>
    </row>
    <row r="102" spans="2:23" s="9" customFormat="1" ht="15.75" thickBot="1">
      <c r="B102" s="68"/>
      <c r="E102" s="218" t="s">
        <v>469</v>
      </c>
      <c r="F102" s="218"/>
      <c r="G102" s="219"/>
      <c r="H102" s="220"/>
      <c r="I102" s="221">
        <f>SUM(I89:I101)</f>
        <v>182.18716932132187</v>
      </c>
      <c r="J102" s="221">
        <f>SUM(J89:J101)</f>
        <v>325.94727677175337</v>
      </c>
      <c r="K102" s="221">
        <f t="shared" ref="K102:O102" si="39">SUM(K89:K101)</f>
        <v>-114.12351077815033</v>
      </c>
      <c r="L102" s="221">
        <f t="shared" si="39"/>
        <v>-14.898193566666665</v>
      </c>
      <c r="M102" s="221">
        <f t="shared" si="39"/>
        <v>-0.27865896666666667</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378.83408278159152</v>
      </c>
    </row>
    <row r="103" spans="2:23" s="9" customFormat="1" ht="15.75" hidden="1"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433</v>
      </c>
      <c r="F104" s="227"/>
      <c r="G104" s="228"/>
      <c r="H104" s="229"/>
      <c r="I104" s="230">
        <f>I102+I103</f>
        <v>182.18716932132187</v>
      </c>
      <c r="J104" s="230">
        <f t="shared" ref="J104" si="41">J102+J103</f>
        <v>325.94727677175337</v>
      </c>
      <c r="K104" s="230">
        <f t="shared" ref="K104" si="42">K102+K103</f>
        <v>-114.12351077815033</v>
      </c>
      <c r="L104" s="230">
        <f t="shared" ref="L104" si="43">L102+L103</f>
        <v>-14.898193566666665</v>
      </c>
      <c r="M104" s="230">
        <f t="shared" ref="M104" si="44">M102+M103</f>
        <v>-0.27865896666666667</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378.83408278159152</v>
      </c>
    </row>
    <row r="105" spans="2:23" s="9" customFormat="1" hidden="1">
      <c r="B105" s="68"/>
      <c r="E105" s="216">
        <v>42736</v>
      </c>
      <c r="F105" s="216" t="s">
        <v>185</v>
      </c>
      <c r="G105" s="217" t="s">
        <v>65</v>
      </c>
      <c r="H105" s="242">
        <f>$C$39/12</f>
        <v>9.1666666666666665E-4</v>
      </c>
      <c r="I105" s="232">
        <f>(SUM('1.  LRAMVA Summary'!D$52:D$69)+SUM('1.  LRAMVA Summary'!D$70:D$71)*(MONTH($E105)-1)/12)*$H105</f>
        <v>33.124939876603982</v>
      </c>
      <c r="J105" s="232">
        <f>(SUM('1.  LRAMVA Summary'!E$52:E$69)+SUM('1.  LRAMVA Summary'!E$70:E$71)*(MONTH($E105)-1)/12)*$H105</f>
        <v>59.263141231227877</v>
      </c>
      <c r="K105" s="232">
        <f>(SUM('1.  LRAMVA Summary'!F$52:F$69)+SUM('1.  LRAMVA Summary'!F$70:F$71)*(MONTH($E105)-1)/12)*$H105</f>
        <v>-20.749729232390969</v>
      </c>
      <c r="L105" s="232">
        <f>(SUM('1.  LRAMVA Summary'!G$52:G$69)+SUM('1.  LRAMVA Summary'!G$70:G$71)*(MONTH($E105)-1)/12)*$H105</f>
        <v>-2.7087624666666663</v>
      </c>
      <c r="M105" s="232">
        <f>(SUM('1.  LRAMVA Summary'!H$52:H$69)+SUM('1.  LRAMVA Summary'!H$70:H$71)*(MONTH($E105)-1)/12)*$H105</f>
        <v>-5.0665266666666667E-2</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68.87892414210755</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33.124939876603982</v>
      </c>
      <c r="J106" s="232">
        <f>(SUM('1.  LRAMVA Summary'!E$52:E$69)+SUM('1.  LRAMVA Summary'!E$70:E$71)*(MONTH($E106)-1)/12)*$H106</f>
        <v>59.263141231227877</v>
      </c>
      <c r="K106" s="232">
        <f>(SUM('1.  LRAMVA Summary'!F$52:F$69)+SUM('1.  LRAMVA Summary'!F$70:F$71)*(MONTH($E106)-1)/12)*$H106</f>
        <v>-20.749729232390969</v>
      </c>
      <c r="L106" s="232">
        <f>(SUM('1.  LRAMVA Summary'!G$52:G$69)+SUM('1.  LRAMVA Summary'!G$70:G$71)*(MONTH($E106)-1)/12)*$H106</f>
        <v>-2.7087624666666663</v>
      </c>
      <c r="M106" s="232">
        <f>(SUM('1.  LRAMVA Summary'!H$52:H$69)+SUM('1.  LRAMVA Summary'!H$70:H$71)*(MONTH($E106)-1)/12)*$H106</f>
        <v>-5.0665266666666667E-2</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68.87892414210755</v>
      </c>
    </row>
    <row r="107" spans="2:23" s="9" customFormat="1" hidden="1">
      <c r="B107" s="68"/>
      <c r="E107" s="216">
        <v>42795</v>
      </c>
      <c r="F107" s="216" t="s">
        <v>185</v>
      </c>
      <c r="G107" s="217" t="s">
        <v>65</v>
      </c>
      <c r="H107" s="242">
        <f t="shared" si="48"/>
        <v>9.1666666666666665E-4</v>
      </c>
      <c r="I107" s="232">
        <f>(SUM('1.  LRAMVA Summary'!D$52:D$69)+SUM('1.  LRAMVA Summary'!D$70:D$71)*(MONTH($E107)-1)/12)*$H107</f>
        <v>33.124939876603982</v>
      </c>
      <c r="J107" s="232">
        <f>(SUM('1.  LRAMVA Summary'!E$52:E$69)+SUM('1.  LRAMVA Summary'!E$70:E$71)*(MONTH($E107)-1)/12)*$H107</f>
        <v>59.263141231227877</v>
      </c>
      <c r="K107" s="232">
        <f>(SUM('1.  LRAMVA Summary'!F$52:F$69)+SUM('1.  LRAMVA Summary'!F$70:F$71)*(MONTH($E107)-1)/12)*$H107</f>
        <v>-20.749729232390969</v>
      </c>
      <c r="L107" s="232">
        <f>(SUM('1.  LRAMVA Summary'!G$52:G$69)+SUM('1.  LRAMVA Summary'!G$70:G$71)*(MONTH($E107)-1)/12)*$H107</f>
        <v>-2.7087624666666663</v>
      </c>
      <c r="M107" s="232">
        <f>(SUM('1.  LRAMVA Summary'!H$52:H$69)+SUM('1.  LRAMVA Summary'!H$70:H$71)*(MONTH($E107)-1)/12)*$H107</f>
        <v>-5.0665266666666667E-2</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68.87892414210755</v>
      </c>
    </row>
    <row r="108" spans="2:23" s="8" customFormat="1" hidden="1">
      <c r="B108" s="241"/>
      <c r="E108" s="216">
        <v>42826</v>
      </c>
      <c r="F108" s="216" t="s">
        <v>185</v>
      </c>
      <c r="G108" s="217" t="s">
        <v>66</v>
      </c>
      <c r="H108" s="242">
        <f>$C$40/12</f>
        <v>9.1666666666666665E-4</v>
      </c>
      <c r="I108" s="232">
        <f>(SUM('1.  LRAMVA Summary'!D$52:D$69)+SUM('1.  LRAMVA Summary'!D$70:D$71)*(MONTH($E108)-1)/12)*$H108</f>
        <v>33.124939876603982</v>
      </c>
      <c r="J108" s="232">
        <f>(SUM('1.  LRAMVA Summary'!E$52:E$69)+SUM('1.  LRAMVA Summary'!E$70:E$71)*(MONTH($E108)-1)/12)*$H108</f>
        <v>59.263141231227877</v>
      </c>
      <c r="K108" s="232">
        <f>(SUM('1.  LRAMVA Summary'!F$52:F$69)+SUM('1.  LRAMVA Summary'!F$70:F$71)*(MONTH($E108)-1)/12)*$H108</f>
        <v>-20.749729232390969</v>
      </c>
      <c r="L108" s="232">
        <f>(SUM('1.  LRAMVA Summary'!G$52:G$69)+SUM('1.  LRAMVA Summary'!G$70:G$71)*(MONTH($E108)-1)/12)*$H108</f>
        <v>-2.7087624666666663</v>
      </c>
      <c r="M108" s="232">
        <f>(SUM('1.  LRAMVA Summary'!H$52:H$69)+SUM('1.  LRAMVA Summary'!H$70:H$71)*(MONTH($E108)-1)/12)*$H108</f>
        <v>-5.0665266666666667E-2</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68.87892414210755</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33.124939876603982</v>
      </c>
      <c r="J109" s="232">
        <f>(SUM('1.  LRAMVA Summary'!E$52:E$69)+SUM('1.  LRAMVA Summary'!E$70:E$71)*(MONTH($E109)-1)/12)*$H109</f>
        <v>59.263141231227877</v>
      </c>
      <c r="K109" s="232">
        <f>(SUM('1.  LRAMVA Summary'!F$52:F$69)+SUM('1.  LRAMVA Summary'!F$70:F$71)*(MONTH($E109)-1)/12)*$H109</f>
        <v>-20.749729232390969</v>
      </c>
      <c r="L109" s="232">
        <f>(SUM('1.  LRAMVA Summary'!G$52:G$69)+SUM('1.  LRAMVA Summary'!G$70:G$71)*(MONTH($E109)-1)/12)*$H109</f>
        <v>-2.7087624666666663</v>
      </c>
      <c r="M109" s="232">
        <f>(SUM('1.  LRAMVA Summary'!H$52:H$69)+SUM('1.  LRAMVA Summary'!H$70:H$71)*(MONTH($E109)-1)/12)*$H109</f>
        <v>-5.0665266666666667E-2</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68.87892414210755</v>
      </c>
    </row>
    <row r="110" spans="2:23" s="240" customFormat="1" hidden="1">
      <c r="B110" s="239"/>
      <c r="E110" s="216">
        <v>42887</v>
      </c>
      <c r="F110" s="216" t="s">
        <v>185</v>
      </c>
      <c r="G110" s="217" t="s">
        <v>66</v>
      </c>
      <c r="H110" s="242">
        <f t="shared" si="50"/>
        <v>9.1666666666666665E-4</v>
      </c>
      <c r="I110" s="232">
        <f>(SUM('1.  LRAMVA Summary'!D$52:D$69)+SUM('1.  LRAMVA Summary'!D$70:D$71)*(MONTH($E110)-1)/12)*$H110</f>
        <v>33.124939876603982</v>
      </c>
      <c r="J110" s="232">
        <f>(SUM('1.  LRAMVA Summary'!E$52:E$69)+SUM('1.  LRAMVA Summary'!E$70:E$71)*(MONTH($E110)-1)/12)*$H110</f>
        <v>59.263141231227877</v>
      </c>
      <c r="K110" s="232">
        <f>(SUM('1.  LRAMVA Summary'!F$52:F$69)+SUM('1.  LRAMVA Summary'!F$70:F$71)*(MONTH($E110)-1)/12)*$H110</f>
        <v>-20.749729232390969</v>
      </c>
      <c r="L110" s="232">
        <f>(SUM('1.  LRAMVA Summary'!G$52:G$69)+SUM('1.  LRAMVA Summary'!G$70:G$71)*(MONTH($E110)-1)/12)*$H110</f>
        <v>-2.7087624666666663</v>
      </c>
      <c r="M110" s="232">
        <f>(SUM('1.  LRAMVA Summary'!H$52:H$69)+SUM('1.  LRAMVA Summary'!H$70:H$71)*(MONTH($E110)-1)/12)*$H110</f>
        <v>-5.0665266666666667E-2</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68.87892414210755</v>
      </c>
    </row>
    <row r="111" spans="2:23" s="9" customFormat="1" hidden="1">
      <c r="B111" s="68"/>
      <c r="E111" s="216">
        <v>42917</v>
      </c>
      <c r="F111" s="216" t="s">
        <v>185</v>
      </c>
      <c r="G111" s="217" t="s">
        <v>68</v>
      </c>
      <c r="H111" s="242">
        <f>$C$41/12</f>
        <v>9.1666666666666665E-4</v>
      </c>
      <c r="I111" s="232">
        <f>(SUM('1.  LRAMVA Summary'!D$52:D$69)+SUM('1.  LRAMVA Summary'!D$70:D$71)*(MONTH($E111)-1)/12)*$H111</f>
        <v>33.124939876603982</v>
      </c>
      <c r="J111" s="232">
        <f>(SUM('1.  LRAMVA Summary'!E$52:E$69)+SUM('1.  LRAMVA Summary'!E$70:E$71)*(MONTH($E111)-1)/12)*$H111</f>
        <v>59.263141231227877</v>
      </c>
      <c r="K111" s="232">
        <f>(SUM('1.  LRAMVA Summary'!F$52:F$69)+SUM('1.  LRAMVA Summary'!F$70:F$71)*(MONTH($E111)-1)/12)*$H111</f>
        <v>-20.749729232390969</v>
      </c>
      <c r="L111" s="232">
        <f>(SUM('1.  LRAMVA Summary'!G$52:G$69)+SUM('1.  LRAMVA Summary'!G$70:G$71)*(MONTH($E111)-1)/12)*$H111</f>
        <v>-2.7087624666666663</v>
      </c>
      <c r="M111" s="232">
        <f>(SUM('1.  LRAMVA Summary'!H$52:H$69)+SUM('1.  LRAMVA Summary'!H$70:H$71)*(MONTH($E111)-1)/12)*$H111</f>
        <v>-5.0665266666666667E-2</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68.87892414210755</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33.124939876603982</v>
      </c>
      <c r="J112" s="232">
        <f>(SUM('1.  LRAMVA Summary'!E$52:E$69)+SUM('1.  LRAMVA Summary'!E$70:E$71)*(MONTH($E112)-1)/12)*$H112</f>
        <v>59.263141231227877</v>
      </c>
      <c r="K112" s="232">
        <f>(SUM('1.  LRAMVA Summary'!F$52:F$69)+SUM('1.  LRAMVA Summary'!F$70:F$71)*(MONTH($E112)-1)/12)*$H112</f>
        <v>-20.749729232390969</v>
      </c>
      <c r="L112" s="232">
        <f>(SUM('1.  LRAMVA Summary'!G$52:G$69)+SUM('1.  LRAMVA Summary'!G$70:G$71)*(MONTH($E112)-1)/12)*$H112</f>
        <v>-2.7087624666666663</v>
      </c>
      <c r="M112" s="232">
        <f>(SUM('1.  LRAMVA Summary'!H$52:H$69)+SUM('1.  LRAMVA Summary'!H$70:H$71)*(MONTH($E112)-1)/12)*$H112</f>
        <v>-5.0665266666666667E-2</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68.87892414210755</v>
      </c>
    </row>
    <row r="113" spans="2:23" s="9" customFormat="1" hidden="1">
      <c r="B113" s="68"/>
      <c r="E113" s="216">
        <v>42979</v>
      </c>
      <c r="F113" s="216" t="s">
        <v>185</v>
      </c>
      <c r="G113" s="217" t="s">
        <v>68</v>
      </c>
      <c r="H113" s="242">
        <f t="shared" si="51"/>
        <v>9.1666666666666665E-4</v>
      </c>
      <c r="I113" s="232">
        <f>(SUM('1.  LRAMVA Summary'!D$52:D$69)+SUM('1.  LRAMVA Summary'!D$70:D$71)*(MONTH($E113)-1)/12)*$H113</f>
        <v>33.124939876603982</v>
      </c>
      <c r="J113" s="232">
        <f>(SUM('1.  LRAMVA Summary'!E$52:E$69)+SUM('1.  LRAMVA Summary'!E$70:E$71)*(MONTH($E113)-1)/12)*$H113</f>
        <v>59.263141231227877</v>
      </c>
      <c r="K113" s="232">
        <f>(SUM('1.  LRAMVA Summary'!F$52:F$69)+SUM('1.  LRAMVA Summary'!F$70:F$71)*(MONTH($E113)-1)/12)*$H113</f>
        <v>-20.749729232390969</v>
      </c>
      <c r="L113" s="232">
        <f>(SUM('1.  LRAMVA Summary'!G$52:G$69)+SUM('1.  LRAMVA Summary'!G$70:G$71)*(MONTH($E113)-1)/12)*$H113</f>
        <v>-2.7087624666666663</v>
      </c>
      <c r="M113" s="232">
        <f>(SUM('1.  LRAMVA Summary'!H$52:H$69)+SUM('1.  LRAMVA Summary'!H$70:H$71)*(MONTH($E113)-1)/12)*$H113</f>
        <v>-5.0665266666666667E-2</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68.87892414210755</v>
      </c>
    </row>
    <row r="114" spans="2:23" s="9" customFormat="1" hidden="1">
      <c r="B114" s="68"/>
      <c r="E114" s="216">
        <v>43009</v>
      </c>
      <c r="F114" s="216" t="s">
        <v>185</v>
      </c>
      <c r="G114" s="217" t="s">
        <v>69</v>
      </c>
      <c r="H114" s="242">
        <f>$C$42/12</f>
        <v>1.25E-3</v>
      </c>
      <c r="I114" s="232">
        <f>(SUM('1.  LRAMVA Summary'!D$52:D$69)+SUM('1.  LRAMVA Summary'!D$70:D$71)*(MONTH($E114)-1)/12)*$H114</f>
        <v>45.170372559005429</v>
      </c>
      <c r="J114" s="232">
        <f>(SUM('1.  LRAMVA Summary'!E$52:E$69)+SUM('1.  LRAMVA Summary'!E$70:E$71)*(MONTH($E114)-1)/12)*$H114</f>
        <v>80.813374406219836</v>
      </c>
      <c r="K114" s="232">
        <f>(SUM('1.  LRAMVA Summary'!F$52:F$69)+SUM('1.  LRAMVA Summary'!F$70:F$71)*(MONTH($E114)-1)/12)*$H114</f>
        <v>-28.295085316896774</v>
      </c>
      <c r="L114" s="232">
        <f>(SUM('1.  LRAMVA Summary'!G$52:G$69)+SUM('1.  LRAMVA Summary'!G$70:G$71)*(MONTH($E114)-1)/12)*$H114</f>
        <v>-3.6937669999999998</v>
      </c>
      <c r="M114" s="232">
        <f>(SUM('1.  LRAMVA Summary'!H$52:H$69)+SUM('1.  LRAMVA Summary'!H$70:H$71)*(MONTH($E114)-1)/12)*$H114</f>
        <v>-6.9088999999999998E-2</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93.925805648328492</v>
      </c>
    </row>
    <row r="115" spans="2:23" s="9" customFormat="1" hidden="1">
      <c r="B115" s="68"/>
      <c r="E115" s="216">
        <v>43040</v>
      </c>
      <c r="F115" s="216" t="s">
        <v>185</v>
      </c>
      <c r="G115" s="217" t="s">
        <v>69</v>
      </c>
      <c r="H115" s="242">
        <f t="shared" ref="H115:H116" si="52">$C$42/12</f>
        <v>1.25E-3</v>
      </c>
      <c r="I115" s="232">
        <f>(SUM('1.  LRAMVA Summary'!D$52:D$69)+SUM('1.  LRAMVA Summary'!D$70:D$71)*(MONTH($E115)-1)/12)*$H115</f>
        <v>45.170372559005429</v>
      </c>
      <c r="J115" s="232">
        <f>(SUM('1.  LRAMVA Summary'!E$52:E$69)+SUM('1.  LRAMVA Summary'!E$70:E$71)*(MONTH($E115)-1)/12)*$H115</f>
        <v>80.813374406219836</v>
      </c>
      <c r="K115" s="232">
        <f>(SUM('1.  LRAMVA Summary'!F$52:F$69)+SUM('1.  LRAMVA Summary'!F$70:F$71)*(MONTH($E115)-1)/12)*$H115</f>
        <v>-28.295085316896774</v>
      </c>
      <c r="L115" s="232">
        <f>(SUM('1.  LRAMVA Summary'!G$52:G$69)+SUM('1.  LRAMVA Summary'!G$70:G$71)*(MONTH($E115)-1)/12)*$H115</f>
        <v>-3.6937669999999998</v>
      </c>
      <c r="M115" s="232">
        <f>(SUM('1.  LRAMVA Summary'!H$52:H$69)+SUM('1.  LRAMVA Summary'!H$70:H$71)*(MONTH($E115)-1)/12)*$H115</f>
        <v>-6.9088999999999998E-2</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93.925805648328492</v>
      </c>
    </row>
    <row r="116" spans="2:23" s="9" customFormat="1" hidden="1">
      <c r="B116" s="68"/>
      <c r="E116" s="216">
        <v>43070</v>
      </c>
      <c r="F116" s="216" t="s">
        <v>185</v>
      </c>
      <c r="G116" s="217" t="s">
        <v>69</v>
      </c>
      <c r="H116" s="242">
        <f t="shared" si="52"/>
        <v>1.25E-3</v>
      </c>
      <c r="I116" s="232">
        <f>(SUM('1.  LRAMVA Summary'!D$52:D$69)+SUM('1.  LRAMVA Summary'!D$70:D$71)*(MONTH($E116)-1)/12)*$H116</f>
        <v>45.170372559005429</v>
      </c>
      <c r="J116" s="232">
        <f>(SUM('1.  LRAMVA Summary'!E$52:E$69)+SUM('1.  LRAMVA Summary'!E$70:E$71)*(MONTH($E116)-1)/12)*$H116</f>
        <v>80.813374406219836</v>
      </c>
      <c r="K116" s="232">
        <f>(SUM('1.  LRAMVA Summary'!F$52:F$69)+SUM('1.  LRAMVA Summary'!F$70:F$71)*(MONTH($E116)-1)/12)*$H116</f>
        <v>-28.295085316896774</v>
      </c>
      <c r="L116" s="232">
        <f>(SUM('1.  LRAMVA Summary'!G$52:G$69)+SUM('1.  LRAMVA Summary'!G$70:G$71)*(MONTH($E116)-1)/12)*$H116</f>
        <v>-3.6937669999999998</v>
      </c>
      <c r="M116" s="232">
        <f>(SUM('1.  LRAMVA Summary'!H$52:H$69)+SUM('1.  LRAMVA Summary'!H$70:H$71)*(MONTH($E116)-1)/12)*$H116</f>
        <v>-6.9088999999999998E-2</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93.925805648328492</v>
      </c>
    </row>
    <row r="117" spans="2:23" s="9" customFormat="1" ht="15.75" hidden="1" thickBot="1">
      <c r="B117" s="68"/>
      <c r="E117" s="218" t="s">
        <v>470</v>
      </c>
      <c r="F117" s="218"/>
      <c r="G117" s="219"/>
      <c r="H117" s="220"/>
      <c r="I117" s="221">
        <f>SUM(I104:I116)</f>
        <v>615.82274588777398</v>
      </c>
      <c r="J117" s="221">
        <f>SUM(J104:J116)</f>
        <v>1101.7556710714639</v>
      </c>
      <c r="K117" s="221">
        <f t="shared" ref="K117:O117" si="53">SUM(K104:K116)</f>
        <v>-385.75632982035938</v>
      </c>
      <c r="L117" s="221">
        <f t="shared" si="53"/>
        <v>-50.358356766666667</v>
      </c>
      <c r="M117" s="221">
        <f t="shared" si="53"/>
        <v>-0.9419133666666667</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1280.521817005545</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434</v>
      </c>
      <c r="F119" s="227"/>
      <c r="G119" s="228"/>
      <c r="H119" s="229"/>
      <c r="I119" s="230">
        <f>I117+I118</f>
        <v>615.82274588777398</v>
      </c>
      <c r="J119" s="230">
        <f t="shared" ref="J119" si="55">J117+J118</f>
        <v>1101.7556710714639</v>
      </c>
      <c r="K119" s="230">
        <f t="shared" ref="K119" si="56">K117+K118</f>
        <v>-385.75632982035938</v>
      </c>
      <c r="L119" s="230">
        <f t="shared" ref="L119" si="57">L117+L118</f>
        <v>-50.358356766666667</v>
      </c>
      <c r="M119" s="230">
        <f t="shared" ref="M119" si="58">M117+M118</f>
        <v>-0.9419133666666667</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1280.521817005545</v>
      </c>
    </row>
    <row r="120" spans="2:23" s="9" customFormat="1" hidden="1">
      <c r="B120" s="68"/>
      <c r="E120" s="216">
        <v>43101</v>
      </c>
      <c r="F120" s="216" t="s">
        <v>186</v>
      </c>
      <c r="G120" s="217" t="s">
        <v>65</v>
      </c>
      <c r="H120" s="242">
        <f>$C$43/12</f>
        <v>1.25E-3</v>
      </c>
      <c r="I120" s="232">
        <f>(SUM('1.  LRAMVA Summary'!D$52:D$72)+SUM('1.  LRAMVA Summary'!D$73:D$74)*(MONTH($E120)-1)/12)*$H120</f>
        <v>45.170372559005429</v>
      </c>
      <c r="J120" s="232">
        <f>(SUM('1.  LRAMVA Summary'!E$52:E$72)+SUM('1.  LRAMVA Summary'!E$73:E$74)*(MONTH($E120)-1)/12)*$H120</f>
        <v>80.813374406219836</v>
      </c>
      <c r="K120" s="232">
        <f>(SUM('1.  LRAMVA Summary'!F$52:F$72)+SUM('1.  LRAMVA Summary'!F$73:F$74)*(MONTH($E120)-1)/12)*$H120</f>
        <v>-28.295085316896774</v>
      </c>
      <c r="L120" s="232">
        <f>(SUM('1.  LRAMVA Summary'!G$52:G$72)+SUM('1.  LRAMVA Summary'!G$73:G$74)*(MONTH($E120)-1)/12)*$H120</f>
        <v>-3.6937669999999998</v>
      </c>
      <c r="M120" s="232">
        <f>(SUM('1.  LRAMVA Summary'!H$52:H$72)+SUM('1.  LRAMVA Summary'!H$73:H$74)*(MONTH($E120)-1)/12)*$H120</f>
        <v>-6.9088999999999998E-2</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93.925805648328492</v>
      </c>
    </row>
    <row r="121" spans="2:23" s="9" customFormat="1" hidden="1">
      <c r="B121" s="68"/>
      <c r="E121" s="216">
        <v>43132</v>
      </c>
      <c r="F121" s="216" t="s">
        <v>186</v>
      </c>
      <c r="G121" s="217" t="s">
        <v>65</v>
      </c>
      <c r="H121" s="242">
        <f t="shared" ref="H121:H122" si="62">$C$43/12</f>
        <v>1.25E-3</v>
      </c>
      <c r="I121" s="232">
        <f>(SUM('1.  LRAMVA Summary'!D$52:D$72)+SUM('1.  LRAMVA Summary'!D$73:D$74)*(MONTH($E121)-1)/12)*$H121</f>
        <v>45.170372559005429</v>
      </c>
      <c r="J121" s="232">
        <f>(SUM('1.  LRAMVA Summary'!E$52:E$72)+SUM('1.  LRAMVA Summary'!E$73:E$74)*(MONTH($E121)-1)/12)*$H121</f>
        <v>80.813374406219836</v>
      </c>
      <c r="K121" s="232">
        <f>(SUM('1.  LRAMVA Summary'!F$52:F$72)+SUM('1.  LRAMVA Summary'!F$73:F$74)*(MONTH($E121)-1)/12)*$H121</f>
        <v>-28.295085316896774</v>
      </c>
      <c r="L121" s="232">
        <f>(SUM('1.  LRAMVA Summary'!G$52:G$72)+SUM('1.  LRAMVA Summary'!G$73:G$74)*(MONTH($E121)-1)/12)*$H121</f>
        <v>-3.6937669999999998</v>
      </c>
      <c r="M121" s="232">
        <f>(SUM('1.  LRAMVA Summary'!H$52:H$72)+SUM('1.  LRAMVA Summary'!H$73:H$74)*(MONTH($E121)-1)/12)*$H121</f>
        <v>-6.9088999999999998E-2</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93.925805648328492</v>
      </c>
    </row>
    <row r="122" spans="2:23" s="9" customFormat="1" hidden="1">
      <c r="B122" s="68"/>
      <c r="E122" s="216">
        <v>43160</v>
      </c>
      <c r="F122" s="216" t="s">
        <v>186</v>
      </c>
      <c r="G122" s="217" t="s">
        <v>65</v>
      </c>
      <c r="H122" s="242">
        <f t="shared" si="62"/>
        <v>1.25E-3</v>
      </c>
      <c r="I122" s="232">
        <f>(SUM('1.  LRAMVA Summary'!D$52:D$72)+SUM('1.  LRAMVA Summary'!D$73:D$74)*(MONTH($E122)-1)/12)*$H122</f>
        <v>45.170372559005429</v>
      </c>
      <c r="J122" s="232">
        <f>(SUM('1.  LRAMVA Summary'!E$52:E$72)+SUM('1.  LRAMVA Summary'!E$73:E$74)*(MONTH($E122)-1)/12)*$H122</f>
        <v>80.813374406219836</v>
      </c>
      <c r="K122" s="232">
        <f>(SUM('1.  LRAMVA Summary'!F$52:F$72)+SUM('1.  LRAMVA Summary'!F$73:F$74)*(MONTH($E122)-1)/12)*$H122</f>
        <v>-28.295085316896774</v>
      </c>
      <c r="L122" s="232">
        <f>(SUM('1.  LRAMVA Summary'!G$52:G$72)+SUM('1.  LRAMVA Summary'!G$73:G$74)*(MONTH($E122)-1)/12)*$H122</f>
        <v>-3.6937669999999998</v>
      </c>
      <c r="M122" s="232">
        <f>(SUM('1.  LRAMVA Summary'!H$52:H$72)+SUM('1.  LRAMVA Summary'!H$73:H$74)*(MONTH($E122)-1)/12)*$H122</f>
        <v>-6.9088999999999998E-2</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93.925805648328492</v>
      </c>
    </row>
    <row r="123" spans="2:23" s="8" customFormat="1" hidden="1">
      <c r="B123" s="241"/>
      <c r="E123" s="216">
        <v>43191</v>
      </c>
      <c r="F123" s="216" t="s">
        <v>186</v>
      </c>
      <c r="G123" s="217" t="s">
        <v>66</v>
      </c>
      <c r="H123" s="242">
        <f>$C$44/12</f>
        <v>1.575E-3</v>
      </c>
      <c r="I123" s="232">
        <f>(SUM('1.  LRAMVA Summary'!D$52:D$72)+SUM('1.  LRAMVA Summary'!D$73:D$74)*(MONTH($E123)-1)/12)*$H123</f>
        <v>56.91466942434684</v>
      </c>
      <c r="J123" s="232">
        <f>(SUM('1.  LRAMVA Summary'!E$52:E$72)+SUM('1.  LRAMVA Summary'!E$73:E$74)*(MONTH($E123)-1)/12)*$H123</f>
        <v>101.82485175183699</v>
      </c>
      <c r="K123" s="232">
        <f>(SUM('1.  LRAMVA Summary'!F$52:F$72)+SUM('1.  LRAMVA Summary'!F$73:F$74)*(MONTH($E123)-1)/12)*$H123</f>
        <v>-35.651807499289937</v>
      </c>
      <c r="L123" s="232">
        <f>(SUM('1.  LRAMVA Summary'!G$52:G$72)+SUM('1.  LRAMVA Summary'!G$73:G$74)*(MONTH($E123)-1)/12)*$H123</f>
        <v>-4.65414642</v>
      </c>
      <c r="M123" s="232">
        <f>(SUM('1.  LRAMVA Summary'!H$52:H$72)+SUM('1.  LRAMVA Summary'!H$73:H$74)*(MONTH($E123)-1)/12)*$H123</f>
        <v>-8.705214E-2</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118.34651511689388</v>
      </c>
    </row>
    <row r="124" spans="2:23" s="9" customFormat="1" hidden="1">
      <c r="B124" s="68"/>
      <c r="E124" s="216">
        <v>43221</v>
      </c>
      <c r="F124" s="216" t="s">
        <v>186</v>
      </c>
      <c r="G124" s="217" t="s">
        <v>66</v>
      </c>
      <c r="H124" s="242">
        <f t="shared" ref="H124:H125" si="64">$C$44/12</f>
        <v>1.575E-3</v>
      </c>
      <c r="I124" s="232">
        <f>(SUM('1.  LRAMVA Summary'!D$52:D$72)+SUM('1.  LRAMVA Summary'!D$73:D$74)*(MONTH($E124)-1)/12)*$H124</f>
        <v>56.91466942434684</v>
      </c>
      <c r="J124" s="232">
        <f>(SUM('1.  LRAMVA Summary'!E$52:E$72)+SUM('1.  LRAMVA Summary'!E$73:E$74)*(MONTH($E124)-1)/12)*$H124</f>
        <v>101.82485175183699</v>
      </c>
      <c r="K124" s="232">
        <f>(SUM('1.  LRAMVA Summary'!F$52:F$72)+SUM('1.  LRAMVA Summary'!F$73:F$74)*(MONTH($E124)-1)/12)*$H124</f>
        <v>-35.651807499289937</v>
      </c>
      <c r="L124" s="232">
        <f>(SUM('1.  LRAMVA Summary'!G$52:G$72)+SUM('1.  LRAMVA Summary'!G$73:G$74)*(MONTH($E124)-1)/12)*$H124</f>
        <v>-4.65414642</v>
      </c>
      <c r="M124" s="232">
        <f>(SUM('1.  LRAMVA Summary'!H$52:H$72)+SUM('1.  LRAMVA Summary'!H$73:H$74)*(MONTH($E124)-1)/12)*$H124</f>
        <v>-8.705214E-2</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118.34651511689388</v>
      </c>
    </row>
    <row r="125" spans="2:23" s="240" customFormat="1" hidden="1">
      <c r="B125" s="239"/>
      <c r="E125" s="216">
        <v>43252</v>
      </c>
      <c r="F125" s="216" t="s">
        <v>186</v>
      </c>
      <c r="G125" s="217" t="s">
        <v>66</v>
      </c>
      <c r="H125" s="242">
        <f t="shared" si="64"/>
        <v>1.575E-3</v>
      </c>
      <c r="I125" s="232">
        <f>(SUM('1.  LRAMVA Summary'!D$52:D$72)+SUM('1.  LRAMVA Summary'!D$73:D$74)*(MONTH($E125)-1)/12)*$H125</f>
        <v>56.91466942434684</v>
      </c>
      <c r="J125" s="232">
        <f>(SUM('1.  LRAMVA Summary'!E$52:E$72)+SUM('1.  LRAMVA Summary'!E$73:E$74)*(MONTH($E125)-1)/12)*$H125</f>
        <v>101.82485175183699</v>
      </c>
      <c r="K125" s="232">
        <f>(SUM('1.  LRAMVA Summary'!F$52:F$72)+SUM('1.  LRAMVA Summary'!F$73:F$74)*(MONTH($E125)-1)/12)*$H125</f>
        <v>-35.651807499289937</v>
      </c>
      <c r="L125" s="232">
        <f>(SUM('1.  LRAMVA Summary'!G$52:G$72)+SUM('1.  LRAMVA Summary'!G$73:G$74)*(MONTH($E125)-1)/12)*$H125</f>
        <v>-4.65414642</v>
      </c>
      <c r="M125" s="232">
        <f>(SUM('1.  LRAMVA Summary'!H$52:H$72)+SUM('1.  LRAMVA Summary'!H$73:H$74)*(MONTH($E125)-1)/12)*$H125</f>
        <v>-8.705214E-2</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118.34651511689388</v>
      </c>
    </row>
    <row r="126" spans="2:23" s="9" customFormat="1" hidden="1">
      <c r="B126" s="68"/>
      <c r="E126" s="216">
        <v>43282</v>
      </c>
      <c r="F126" s="216" t="s">
        <v>186</v>
      </c>
      <c r="G126" s="217" t="s">
        <v>68</v>
      </c>
      <c r="H126" s="242">
        <f>$C$45/12</f>
        <v>1.575E-3</v>
      </c>
      <c r="I126" s="232">
        <f>(SUM('1.  LRAMVA Summary'!D$52:D$72)+SUM('1.  LRAMVA Summary'!D$73:D$74)*(MONTH($E126)-1)/12)*$H126</f>
        <v>56.91466942434684</v>
      </c>
      <c r="J126" s="232">
        <f>(SUM('1.  LRAMVA Summary'!E$52:E$72)+SUM('1.  LRAMVA Summary'!E$73:E$74)*(MONTH($E126)-1)/12)*$H126</f>
        <v>101.82485175183699</v>
      </c>
      <c r="K126" s="232">
        <f>(SUM('1.  LRAMVA Summary'!F$52:F$72)+SUM('1.  LRAMVA Summary'!F$73:F$74)*(MONTH($E126)-1)/12)*$H126</f>
        <v>-35.651807499289937</v>
      </c>
      <c r="L126" s="232">
        <f>(SUM('1.  LRAMVA Summary'!G$52:G$72)+SUM('1.  LRAMVA Summary'!G$73:G$74)*(MONTH($E126)-1)/12)*$H126</f>
        <v>-4.65414642</v>
      </c>
      <c r="M126" s="232">
        <f>(SUM('1.  LRAMVA Summary'!H$52:H$72)+SUM('1.  LRAMVA Summary'!H$73:H$74)*(MONTH($E126)-1)/12)*$H126</f>
        <v>-8.705214E-2</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118.34651511689388</v>
      </c>
    </row>
    <row r="127" spans="2:23" s="9" customFormat="1" hidden="1">
      <c r="B127" s="68"/>
      <c r="E127" s="216">
        <v>43313</v>
      </c>
      <c r="F127" s="216" t="s">
        <v>186</v>
      </c>
      <c r="G127" s="217" t="s">
        <v>68</v>
      </c>
      <c r="H127" s="242">
        <f t="shared" ref="H127:H128" si="65">$C$45/12</f>
        <v>1.575E-3</v>
      </c>
      <c r="I127" s="232">
        <f>(SUM('1.  LRAMVA Summary'!D$52:D$72)+SUM('1.  LRAMVA Summary'!D$73:D$74)*(MONTH($E127)-1)/12)*$H127</f>
        <v>56.91466942434684</v>
      </c>
      <c r="J127" s="232">
        <f>(SUM('1.  LRAMVA Summary'!E$52:E$72)+SUM('1.  LRAMVA Summary'!E$73:E$74)*(MONTH($E127)-1)/12)*$H127</f>
        <v>101.82485175183699</v>
      </c>
      <c r="K127" s="232">
        <f>(SUM('1.  LRAMVA Summary'!F$52:F$72)+SUM('1.  LRAMVA Summary'!F$73:F$74)*(MONTH($E127)-1)/12)*$H127</f>
        <v>-35.651807499289937</v>
      </c>
      <c r="L127" s="232">
        <f>(SUM('1.  LRAMVA Summary'!G$52:G$72)+SUM('1.  LRAMVA Summary'!G$73:G$74)*(MONTH($E127)-1)/12)*$H127</f>
        <v>-4.65414642</v>
      </c>
      <c r="M127" s="232">
        <f>(SUM('1.  LRAMVA Summary'!H$52:H$72)+SUM('1.  LRAMVA Summary'!H$73:H$74)*(MONTH($E127)-1)/12)*$H127</f>
        <v>-8.705214E-2</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118.34651511689388</v>
      </c>
    </row>
    <row r="128" spans="2:23" s="9" customFormat="1" hidden="1">
      <c r="B128" s="68"/>
      <c r="E128" s="216">
        <v>43344</v>
      </c>
      <c r="F128" s="216" t="s">
        <v>186</v>
      </c>
      <c r="G128" s="217" t="s">
        <v>68</v>
      </c>
      <c r="H128" s="242">
        <f t="shared" si="65"/>
        <v>1.575E-3</v>
      </c>
      <c r="I128" s="232">
        <f>(SUM('1.  LRAMVA Summary'!D$52:D$72)+SUM('1.  LRAMVA Summary'!D$73:D$74)*(MONTH($E128)-1)/12)*$H128</f>
        <v>56.91466942434684</v>
      </c>
      <c r="J128" s="232">
        <f>(SUM('1.  LRAMVA Summary'!E$52:E$72)+SUM('1.  LRAMVA Summary'!E$73:E$74)*(MONTH($E128)-1)/12)*$H128</f>
        <v>101.82485175183699</v>
      </c>
      <c r="K128" s="232">
        <f>(SUM('1.  LRAMVA Summary'!F$52:F$72)+SUM('1.  LRAMVA Summary'!F$73:F$74)*(MONTH($E128)-1)/12)*$H128</f>
        <v>-35.651807499289937</v>
      </c>
      <c r="L128" s="232">
        <f>(SUM('1.  LRAMVA Summary'!G$52:G$72)+SUM('1.  LRAMVA Summary'!G$73:G$74)*(MONTH($E128)-1)/12)*$H128</f>
        <v>-4.65414642</v>
      </c>
      <c r="M128" s="232">
        <f>(SUM('1.  LRAMVA Summary'!H$52:H$72)+SUM('1.  LRAMVA Summary'!H$73:H$74)*(MONTH($E128)-1)/12)*$H128</f>
        <v>-8.705214E-2</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118.34651511689388</v>
      </c>
    </row>
    <row r="129" spans="2:23" s="9" customFormat="1" hidden="1">
      <c r="B129" s="68"/>
      <c r="E129" s="216">
        <v>43374</v>
      </c>
      <c r="F129" s="216" t="s">
        <v>186</v>
      </c>
      <c r="G129" s="217" t="s">
        <v>69</v>
      </c>
      <c r="H129" s="242">
        <f>$C$46/12</f>
        <v>1.8083333333333335E-3</v>
      </c>
      <c r="I129" s="232">
        <f>(SUM('1.  LRAMVA Summary'!D$52:D$72)+SUM('1.  LRAMVA Summary'!D$73:D$74)*(MONTH($E129)-1)/12)*$H129</f>
        <v>65.346472302027863</v>
      </c>
      <c r="J129" s="232">
        <f>(SUM('1.  LRAMVA Summary'!E$52:E$72)+SUM('1.  LRAMVA Summary'!E$73:E$74)*(MONTH($E129)-1)/12)*$H129</f>
        <v>116.91001497433138</v>
      </c>
      <c r="K129" s="232">
        <f>(SUM('1.  LRAMVA Summary'!F$52:F$72)+SUM('1.  LRAMVA Summary'!F$73:F$74)*(MONTH($E129)-1)/12)*$H129</f>
        <v>-40.933556758444006</v>
      </c>
      <c r="L129" s="232">
        <f>(SUM('1.  LRAMVA Summary'!G$52:G$72)+SUM('1.  LRAMVA Summary'!G$73:G$74)*(MONTH($E129)-1)/12)*$H129</f>
        <v>-5.3436495933333337</v>
      </c>
      <c r="M129" s="232">
        <f>(SUM('1.  LRAMVA Summary'!H$52:H$72)+SUM('1.  LRAMVA Summary'!H$73:H$74)*(MONTH($E129)-1)/12)*$H129</f>
        <v>-9.9948753333333334E-2</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135.87933217124854</v>
      </c>
    </row>
    <row r="130" spans="2:23" s="9" customFormat="1" hidden="1">
      <c r="B130" s="68"/>
      <c r="E130" s="216">
        <v>43405</v>
      </c>
      <c r="F130" s="216" t="s">
        <v>186</v>
      </c>
      <c r="G130" s="217" t="s">
        <v>69</v>
      </c>
      <c r="H130" s="242">
        <f t="shared" ref="H130:H131" si="66">$C$46/12</f>
        <v>1.8083333333333335E-3</v>
      </c>
      <c r="I130" s="232">
        <f>(SUM('1.  LRAMVA Summary'!D$52:D$72)+SUM('1.  LRAMVA Summary'!D$73:D$74)*(MONTH($E130)-1)/12)*$H130</f>
        <v>65.346472302027863</v>
      </c>
      <c r="J130" s="232">
        <f>(SUM('1.  LRAMVA Summary'!E$52:E$72)+SUM('1.  LRAMVA Summary'!E$73:E$74)*(MONTH($E130)-1)/12)*$H130</f>
        <v>116.91001497433138</v>
      </c>
      <c r="K130" s="232">
        <f>(SUM('1.  LRAMVA Summary'!F$52:F$72)+SUM('1.  LRAMVA Summary'!F$73:F$74)*(MONTH($E130)-1)/12)*$H130</f>
        <v>-40.933556758444006</v>
      </c>
      <c r="L130" s="232">
        <f>(SUM('1.  LRAMVA Summary'!G$52:G$72)+SUM('1.  LRAMVA Summary'!G$73:G$74)*(MONTH($E130)-1)/12)*$H130</f>
        <v>-5.3436495933333337</v>
      </c>
      <c r="M130" s="232">
        <f>(SUM('1.  LRAMVA Summary'!H$52:H$72)+SUM('1.  LRAMVA Summary'!H$73:H$74)*(MONTH($E130)-1)/12)*$H130</f>
        <v>-9.9948753333333334E-2</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135.87933217124854</v>
      </c>
    </row>
    <row r="131" spans="2:23" s="9" customFormat="1" hidden="1">
      <c r="B131" s="68"/>
      <c r="E131" s="216">
        <v>43435</v>
      </c>
      <c r="F131" s="216" t="s">
        <v>186</v>
      </c>
      <c r="G131" s="217" t="s">
        <v>69</v>
      </c>
      <c r="H131" s="242">
        <f t="shared" si="66"/>
        <v>1.8083333333333335E-3</v>
      </c>
      <c r="I131" s="232">
        <f>(SUM('1.  LRAMVA Summary'!D$52:D$72)+SUM('1.  LRAMVA Summary'!D$73:D$74)*(MONTH($E131)-1)/12)*$H131</f>
        <v>65.346472302027863</v>
      </c>
      <c r="J131" s="232">
        <f>(SUM('1.  LRAMVA Summary'!E$52:E$72)+SUM('1.  LRAMVA Summary'!E$73:E$74)*(MONTH($E131)-1)/12)*$H131</f>
        <v>116.91001497433138</v>
      </c>
      <c r="K131" s="232">
        <f>(SUM('1.  LRAMVA Summary'!F$52:F$72)+SUM('1.  LRAMVA Summary'!F$73:F$74)*(MONTH($E131)-1)/12)*$H131</f>
        <v>-40.933556758444006</v>
      </c>
      <c r="L131" s="232">
        <f>(SUM('1.  LRAMVA Summary'!G$52:G$72)+SUM('1.  LRAMVA Summary'!G$73:G$74)*(MONTH($E131)-1)/12)*$H131</f>
        <v>-5.3436495933333337</v>
      </c>
      <c r="M131" s="232">
        <f>(SUM('1.  LRAMVA Summary'!H$52:H$72)+SUM('1.  LRAMVA Summary'!H$73:H$74)*(MONTH($E131)-1)/12)*$H131</f>
        <v>-9.9948753333333334E-2</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135.87933217124854</v>
      </c>
    </row>
    <row r="132" spans="2:23" s="9" customFormat="1" ht="15.75" hidden="1" thickBot="1">
      <c r="B132" s="68"/>
      <c r="E132" s="218" t="s">
        <v>471</v>
      </c>
      <c r="F132" s="218"/>
      <c r="G132" s="219"/>
      <c r="H132" s="220"/>
      <c r="I132" s="221">
        <f>SUM(I119:I131)</f>
        <v>1288.8612970169547</v>
      </c>
      <c r="J132" s="221">
        <f>SUM(J119:J131)</f>
        <v>2305.8749497241392</v>
      </c>
      <c r="K132" s="221">
        <f t="shared" ref="K132:O132" si="67">SUM(K119:K131)</f>
        <v>-807.35310104212124</v>
      </c>
      <c r="L132" s="221">
        <f t="shared" si="67"/>
        <v>-105.39548506666671</v>
      </c>
      <c r="M132" s="221">
        <f t="shared" si="67"/>
        <v>-1.9713394666666666</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2680.0163211656404</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435</v>
      </c>
      <c r="F134" s="227"/>
      <c r="G134" s="228"/>
      <c r="H134" s="229"/>
      <c r="I134" s="230">
        <f>I132+I133</f>
        <v>1288.8612970169547</v>
      </c>
      <c r="J134" s="230">
        <f t="shared" ref="J134" si="69">J132+J133</f>
        <v>2305.8749497241392</v>
      </c>
      <c r="K134" s="230">
        <f t="shared" ref="K134" si="70">K132+K133</f>
        <v>-807.35310104212124</v>
      </c>
      <c r="L134" s="230">
        <f t="shared" ref="L134" si="71">L132+L133</f>
        <v>-105.39548506666671</v>
      </c>
      <c r="M134" s="230">
        <f t="shared" ref="M134" si="72">M132+M133</f>
        <v>-1.9713394666666666</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2680.0163211656404</v>
      </c>
    </row>
    <row r="135" spans="2:23" s="9" customFormat="1" hidden="1">
      <c r="B135" s="68"/>
      <c r="E135" s="216">
        <v>43466</v>
      </c>
      <c r="F135" s="216" t="s">
        <v>187</v>
      </c>
      <c r="G135" s="217" t="s">
        <v>65</v>
      </c>
      <c r="H135" s="242">
        <f>$C$47/12</f>
        <v>1.8083333333333335E-3</v>
      </c>
      <c r="I135" s="232">
        <f>(SUM('1.  LRAMVA Summary'!D$52:D$75)+SUM('1.  LRAMVA Summary'!D$76:D$77)*(MONTH($E135)-1)/12)*$H135</f>
        <v>65.346472302027863</v>
      </c>
      <c r="J135" s="232">
        <f>(SUM('1.  LRAMVA Summary'!E$52:E$75)+SUM('1.  LRAMVA Summary'!E$76:E$77)*(MONTH($E135)-1)/12)*$H135</f>
        <v>116.91001497433138</v>
      </c>
      <c r="K135" s="232">
        <f>(SUM('1.  LRAMVA Summary'!F$52:F$75)+SUM('1.  LRAMVA Summary'!F$76:F$77)*(MONTH($E135)-1)/12)*$H135</f>
        <v>-40.933556758444006</v>
      </c>
      <c r="L135" s="232">
        <f>(SUM('1.  LRAMVA Summary'!G$52:G$75)+SUM('1.  LRAMVA Summary'!G$76:G$77)*(MONTH($E135)-1)/12)*$H135</f>
        <v>-5.3436495933333337</v>
      </c>
      <c r="M135" s="232">
        <f>(SUM('1.  LRAMVA Summary'!H$52:H$75)+SUM('1.  LRAMVA Summary'!H$76:H$77)*(MONTH($E135)-1)/12)*$H135</f>
        <v>-9.9948753333333334E-2</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135.87933217124854</v>
      </c>
    </row>
    <row r="136" spans="2:23" s="9" customFormat="1" hidden="1">
      <c r="B136" s="68"/>
      <c r="E136" s="216">
        <v>43497</v>
      </c>
      <c r="F136" s="216" t="s">
        <v>187</v>
      </c>
      <c r="G136" s="217" t="s">
        <v>65</v>
      </c>
      <c r="H136" s="242">
        <f t="shared" ref="H136:H137" si="75">$C$47/12</f>
        <v>1.8083333333333335E-3</v>
      </c>
      <c r="I136" s="232">
        <f>(SUM('1.  LRAMVA Summary'!D$52:D$75)+SUM('1.  LRAMVA Summary'!D$76:D$77)*(MONTH($E136)-1)/12)*$H136</f>
        <v>65.346472302027863</v>
      </c>
      <c r="J136" s="232">
        <f>(SUM('1.  LRAMVA Summary'!E$52:E$75)+SUM('1.  LRAMVA Summary'!E$76:E$77)*(MONTH($E136)-1)/12)*$H136</f>
        <v>116.91001497433138</v>
      </c>
      <c r="K136" s="232">
        <f>(SUM('1.  LRAMVA Summary'!F$52:F$75)+SUM('1.  LRAMVA Summary'!F$76:F$77)*(MONTH($E136)-1)/12)*$H136</f>
        <v>-40.933556758444006</v>
      </c>
      <c r="L136" s="232">
        <f>(SUM('1.  LRAMVA Summary'!G$52:G$75)+SUM('1.  LRAMVA Summary'!G$76:G$77)*(MONTH($E136)-1)/12)*$H136</f>
        <v>-5.3436495933333337</v>
      </c>
      <c r="M136" s="232">
        <f>(SUM('1.  LRAMVA Summary'!H$52:H$75)+SUM('1.  LRAMVA Summary'!H$76:H$77)*(MONTH($E136)-1)/12)*$H136</f>
        <v>-9.9948753333333334E-2</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135.87933217124854</v>
      </c>
    </row>
    <row r="137" spans="2:23" s="9" customFormat="1" hidden="1">
      <c r="B137" s="68"/>
      <c r="E137" s="216">
        <v>43525</v>
      </c>
      <c r="F137" s="216" t="s">
        <v>187</v>
      </c>
      <c r="G137" s="217" t="s">
        <v>65</v>
      </c>
      <c r="H137" s="242">
        <f t="shared" si="75"/>
        <v>1.8083333333333335E-3</v>
      </c>
      <c r="I137" s="232">
        <f>(SUM('1.  LRAMVA Summary'!D$52:D$75)+SUM('1.  LRAMVA Summary'!D$76:D$77)*(MONTH($E137)-1)/12)*$H137</f>
        <v>65.346472302027863</v>
      </c>
      <c r="J137" s="232">
        <f>(SUM('1.  LRAMVA Summary'!E$52:E$75)+SUM('1.  LRAMVA Summary'!E$76:E$77)*(MONTH($E137)-1)/12)*$H137</f>
        <v>116.91001497433138</v>
      </c>
      <c r="K137" s="232">
        <f>(SUM('1.  LRAMVA Summary'!F$52:F$75)+SUM('1.  LRAMVA Summary'!F$76:F$77)*(MONTH($E137)-1)/12)*$H137</f>
        <v>-40.933556758444006</v>
      </c>
      <c r="L137" s="232">
        <f>(SUM('1.  LRAMVA Summary'!G$52:G$75)+SUM('1.  LRAMVA Summary'!G$76:G$77)*(MONTH($E137)-1)/12)*$H137</f>
        <v>-5.3436495933333337</v>
      </c>
      <c r="M137" s="232">
        <f>(SUM('1.  LRAMVA Summary'!H$52:H$75)+SUM('1.  LRAMVA Summary'!H$76:H$77)*(MONTH($E137)-1)/12)*$H137</f>
        <v>-9.9948753333333334E-2</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135.87933217124854</v>
      </c>
    </row>
    <row r="138" spans="2:23" s="8" customFormat="1" hidden="1">
      <c r="B138" s="241"/>
      <c r="E138" s="216">
        <v>43556</v>
      </c>
      <c r="F138" s="216" t="s">
        <v>187</v>
      </c>
      <c r="G138" s="217" t="s">
        <v>66</v>
      </c>
      <c r="H138" s="242">
        <f>$C$48/12</f>
        <v>1.8083333333333335E-3</v>
      </c>
      <c r="I138" s="232">
        <f>(SUM('1.  LRAMVA Summary'!D$52:D$75)+SUM('1.  LRAMVA Summary'!D$76:D$77)*(MONTH($E138)-1)/12)*$H138</f>
        <v>65.346472302027863</v>
      </c>
      <c r="J138" s="232">
        <f>(SUM('1.  LRAMVA Summary'!E$52:E$75)+SUM('1.  LRAMVA Summary'!E$76:E$77)*(MONTH($E138)-1)/12)*$H138</f>
        <v>116.91001497433138</v>
      </c>
      <c r="K138" s="232">
        <f>(SUM('1.  LRAMVA Summary'!F$52:F$75)+SUM('1.  LRAMVA Summary'!F$76:F$77)*(MONTH($E138)-1)/12)*$H138</f>
        <v>-40.933556758444006</v>
      </c>
      <c r="L138" s="232">
        <f>(SUM('1.  LRAMVA Summary'!G$52:G$75)+SUM('1.  LRAMVA Summary'!G$76:G$77)*(MONTH($E138)-1)/12)*$H138</f>
        <v>-5.3436495933333337</v>
      </c>
      <c r="M138" s="232">
        <f>(SUM('1.  LRAMVA Summary'!H$52:H$75)+SUM('1.  LRAMVA Summary'!H$76:H$77)*(MONTH($E138)-1)/12)*$H138</f>
        <v>-9.9948753333333334E-2</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135.87933217124854</v>
      </c>
    </row>
    <row r="139" spans="2:23" s="9" customFormat="1" hidden="1">
      <c r="B139" s="68"/>
      <c r="E139" s="216">
        <v>43586</v>
      </c>
      <c r="F139" s="216" t="s">
        <v>187</v>
      </c>
      <c r="G139" s="217" t="s">
        <v>66</v>
      </c>
      <c r="H139" s="242">
        <f>$C$48/12</f>
        <v>1.8083333333333335E-3</v>
      </c>
      <c r="I139" s="232">
        <f>(SUM('1.  LRAMVA Summary'!D$52:D$75)+SUM('1.  LRAMVA Summary'!D$76:D$77)*(MONTH($E139)-1)/12)*$H139</f>
        <v>65.346472302027863</v>
      </c>
      <c r="J139" s="232">
        <f>(SUM('1.  LRAMVA Summary'!E$52:E$75)+SUM('1.  LRAMVA Summary'!E$76:E$77)*(MONTH($E139)-1)/12)*$H139</f>
        <v>116.91001497433138</v>
      </c>
      <c r="K139" s="232">
        <f>(SUM('1.  LRAMVA Summary'!F$52:F$75)+SUM('1.  LRAMVA Summary'!F$76:F$77)*(MONTH($E139)-1)/12)*$H139</f>
        <v>-40.933556758444006</v>
      </c>
      <c r="L139" s="232">
        <f>(SUM('1.  LRAMVA Summary'!G$52:G$75)+SUM('1.  LRAMVA Summary'!G$76:G$77)*(MONTH($E139)-1)/12)*$H139</f>
        <v>-5.3436495933333337</v>
      </c>
      <c r="M139" s="232">
        <f>(SUM('1.  LRAMVA Summary'!H$52:H$75)+SUM('1.  LRAMVA Summary'!H$76:H$77)*(MONTH($E139)-1)/12)*$H139</f>
        <v>-9.9948753333333334E-2</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135.87933217124854</v>
      </c>
    </row>
    <row r="140" spans="2:23" s="9" customFormat="1" hidden="1">
      <c r="B140" s="68"/>
      <c r="E140" s="216">
        <v>43617</v>
      </c>
      <c r="F140" s="216" t="s">
        <v>187</v>
      </c>
      <c r="G140" s="217" t="s">
        <v>66</v>
      </c>
      <c r="H140" s="242">
        <f t="shared" ref="H140" si="77">$C$48/12</f>
        <v>1.8083333333333335E-3</v>
      </c>
      <c r="I140" s="232">
        <f>(SUM('1.  LRAMVA Summary'!D$52:D$75)+SUM('1.  LRAMVA Summary'!D$76:D$77)*(MONTH($E140)-1)/12)*$H140</f>
        <v>65.346472302027863</v>
      </c>
      <c r="J140" s="232">
        <f>(SUM('1.  LRAMVA Summary'!E$52:E$75)+SUM('1.  LRAMVA Summary'!E$76:E$77)*(MONTH($E140)-1)/12)*$H140</f>
        <v>116.91001497433138</v>
      </c>
      <c r="K140" s="232">
        <f>(SUM('1.  LRAMVA Summary'!F$52:F$75)+SUM('1.  LRAMVA Summary'!F$76:F$77)*(MONTH($E140)-1)/12)*$H140</f>
        <v>-40.933556758444006</v>
      </c>
      <c r="L140" s="232">
        <f>(SUM('1.  LRAMVA Summary'!G$52:G$75)+SUM('1.  LRAMVA Summary'!G$76:G$77)*(MONTH($E140)-1)/12)*$H140</f>
        <v>-5.3436495933333337</v>
      </c>
      <c r="M140" s="232">
        <f>(SUM('1.  LRAMVA Summary'!H$52:H$75)+SUM('1.  LRAMVA Summary'!H$76:H$77)*(MONTH($E140)-1)/12)*$H140</f>
        <v>-9.9948753333333334E-2</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135.87933217124854</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472</v>
      </c>
      <c r="F147" s="218"/>
      <c r="G147" s="219"/>
      <c r="H147" s="220"/>
      <c r="I147" s="221">
        <f>SUM(I134:I146)</f>
        <v>1680.9401308291222</v>
      </c>
      <c r="J147" s="221">
        <f>SUM(J134:J146)</f>
        <v>3007.3350395701268</v>
      </c>
      <c r="K147" s="221">
        <f t="shared" ref="K147:O147" si="80">SUM(K134:K146)</f>
        <v>-1052.9544415927851</v>
      </c>
      <c r="L147" s="221">
        <f t="shared" si="80"/>
        <v>-137.45738262666674</v>
      </c>
      <c r="M147" s="221">
        <f t="shared" si="80"/>
        <v>-2.5710319866666671</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3495.2923141931328</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436</v>
      </c>
      <c r="F149" s="227"/>
      <c r="G149" s="228"/>
      <c r="H149" s="229"/>
      <c r="I149" s="230">
        <f>I147+I148</f>
        <v>1680.9401308291222</v>
      </c>
      <c r="J149" s="230">
        <f t="shared" ref="J149" si="82">J147+J148</f>
        <v>3007.3350395701268</v>
      </c>
      <c r="K149" s="230">
        <f t="shared" ref="K149" si="83">K147+K148</f>
        <v>-1052.9544415927851</v>
      </c>
      <c r="L149" s="230">
        <f t="shared" ref="L149" si="84">L147+L148</f>
        <v>-137.45738262666674</v>
      </c>
      <c r="M149" s="230">
        <f t="shared" ref="M149" si="85">M147+M148</f>
        <v>-2.5710319866666671</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3495.2923141931328</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473</v>
      </c>
      <c r="F162" s="218"/>
      <c r="G162" s="219"/>
      <c r="H162" s="220"/>
      <c r="I162" s="221">
        <f>SUM(I149:I161)</f>
        <v>1680.9401308291222</v>
      </c>
      <c r="J162" s="221">
        <f>SUM(J149:J161)</f>
        <v>3007.3350395701268</v>
      </c>
      <c r="K162" s="221">
        <f t="shared" ref="K162:O162" si="93">SUM(K149:K161)</f>
        <v>-1052.9544415927851</v>
      </c>
      <c r="L162" s="221">
        <f t="shared" si="93"/>
        <v>-137.45738262666674</v>
      </c>
      <c r="M162" s="221">
        <f t="shared" si="93"/>
        <v>-2.5710319866666671</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3495.2923141931328</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hidden="1">
      <c r="B164" s="68"/>
      <c r="H164" s="18"/>
    </row>
    <row r="165" spans="2:23" hidden="1">
      <c r="E165" s="589" t="s">
        <v>530</v>
      </c>
    </row>
    <row r="166" spans="2:23" hidden="1"/>
    <row r="167" spans="2:23" hidden="1"/>
    <row r="168" spans="2:23" ht="15.75" thickTop="1"/>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0866141732283472" right="0.70866141732283472" top="0.74803149606299213" bottom="0.74803149606299213" header="0.31496062992125984" footer="0.31496062992125984"/>
  <pageSetup scale="35" fitToHeight="0" orientation="landscape" r:id="rId2"/>
  <headerFooter>
    <oddFooter>&amp;R&amp;P of &amp;N</oddFooter>
  </headerFooter>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U122"/>
  <sheetViews>
    <sheetView topLeftCell="AK55" zoomScale="55" zoomScaleNormal="55" workbookViewId="0">
      <selection activeCell="C21" sqref="C21"/>
    </sheetView>
  </sheetViews>
  <sheetFormatPr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1"/>
      <c r="D13" s="637" t="s">
        <v>409</v>
      </c>
      <c r="E13" s="17"/>
      <c r="F13" s="179"/>
      <c r="G13" s="180"/>
      <c r="H13" s="181"/>
      <c r="K13" s="181"/>
      <c r="L13" s="179"/>
      <c r="M13" s="179"/>
      <c r="N13" s="179"/>
      <c r="O13" s="179"/>
      <c r="P13" s="179"/>
      <c r="Q13" s="182"/>
    </row>
    <row r="14" spans="2:73" ht="30" customHeight="1" outlineLevel="1" thickBot="1">
      <c r="B14" s="92"/>
      <c r="D14" s="610" t="s">
        <v>555</v>
      </c>
      <c r="I14" s="12"/>
      <c r="J14" s="12"/>
      <c r="BU14" s="12"/>
    </row>
    <row r="15" spans="2:73" ht="26.25" customHeight="1" outlineLevel="1">
      <c r="C15" s="92"/>
      <c r="I15" s="12"/>
      <c r="J15" s="12"/>
    </row>
    <row r="16" spans="2:73" ht="23.25" customHeight="1" outlineLevel="1">
      <c r="B16" s="118" t="s">
        <v>509</v>
      </c>
      <c r="C16" s="92"/>
      <c r="D16" s="615" t="s">
        <v>621</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615</v>
      </c>
      <c r="C17" s="92"/>
      <c r="D17" s="611" t="s">
        <v>593</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2"/>
      <c r="D18" s="611" t="s">
        <v>630</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2"/>
      <c r="D19" s="611" t="s">
        <v>629</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2"/>
      <c r="D20" s="611" t="s">
        <v>631</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2"/>
      <c r="D21" s="718" t="s">
        <v>643</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4" t="s">
        <v>598</v>
      </c>
      <c r="H23" s="10"/>
      <c r="I23" s="10"/>
      <c r="J23" s="10"/>
    </row>
    <row r="24" spans="2:73" s="670" customFormat="1" ht="21" customHeight="1">
      <c r="B24" s="701" t="s">
        <v>602</v>
      </c>
      <c r="C24" s="882" t="s">
        <v>603</v>
      </c>
      <c r="D24" s="882"/>
      <c r="E24" s="882"/>
      <c r="F24" s="882"/>
      <c r="G24" s="882"/>
      <c r="H24" s="678" t="s">
        <v>600</v>
      </c>
      <c r="I24" s="678" t="s">
        <v>599</v>
      </c>
      <c r="J24" s="678" t="s">
        <v>601</v>
      </c>
      <c r="K24" s="669"/>
      <c r="L24" s="670" t="s">
        <v>603</v>
      </c>
      <c r="AQ24" s="670" t="s">
        <v>603</v>
      </c>
      <c r="BU24" s="669"/>
    </row>
    <row r="25" spans="2:73" s="252" customFormat="1" ht="49.5" customHeight="1">
      <c r="B25" s="247" t="s">
        <v>476</v>
      </c>
      <c r="C25" s="247" t="s">
        <v>212</v>
      </c>
      <c r="D25" s="628" t="s">
        <v>477</v>
      </c>
      <c r="E25" s="247" t="s">
        <v>209</v>
      </c>
      <c r="F25" s="247" t="s">
        <v>478</v>
      </c>
      <c r="G25" s="247" t="s">
        <v>479</v>
      </c>
      <c r="H25" s="628" t="s">
        <v>480</v>
      </c>
      <c r="I25" s="636" t="s">
        <v>591</v>
      </c>
      <c r="J25" s="643" t="s">
        <v>592</v>
      </c>
      <c r="K25" s="641"/>
      <c r="L25" s="248" t="s">
        <v>481</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482</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34"/>
      <c r="I26" s="634"/>
      <c r="J26" s="634"/>
      <c r="K26" s="642"/>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1"/>
      <c r="C27" s="691" t="s">
        <v>2</v>
      </c>
      <c r="D27" s="691"/>
      <c r="E27" s="691" t="s">
        <v>690</v>
      </c>
      <c r="F27" s="691" t="s">
        <v>29</v>
      </c>
      <c r="G27" s="691"/>
      <c r="H27" s="691">
        <v>2011</v>
      </c>
      <c r="I27" s="644" t="s">
        <v>579</v>
      </c>
      <c r="J27" s="644" t="s">
        <v>597</v>
      </c>
      <c r="K27" s="633"/>
      <c r="L27" s="695">
        <v>1.1879073687414818</v>
      </c>
      <c r="M27" s="696">
        <v>1.1879073687414818</v>
      </c>
      <c r="N27" s="696">
        <v>1.1879073687414818</v>
      </c>
      <c r="O27" s="696">
        <v>0.68541338247813122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3"/>
      <c r="AQ27" s="702">
        <v>1671.4918706195494</v>
      </c>
      <c r="AR27" s="703">
        <v>1671.4918706195494</v>
      </c>
      <c r="AS27" s="704">
        <v>1671.4918706195494</v>
      </c>
      <c r="AT27" s="703">
        <v>1222.1344022192445</v>
      </c>
      <c r="AU27" s="704">
        <v>0</v>
      </c>
      <c r="AV27" s="703">
        <v>0</v>
      </c>
      <c r="AW27" s="704">
        <v>0</v>
      </c>
      <c r="AX27" s="703">
        <v>0</v>
      </c>
      <c r="AY27" s="704">
        <v>0</v>
      </c>
      <c r="AZ27" s="703">
        <v>0</v>
      </c>
      <c r="BA27" s="704">
        <v>0</v>
      </c>
      <c r="BB27" s="703">
        <v>0</v>
      </c>
      <c r="BC27" s="704">
        <v>0</v>
      </c>
      <c r="BD27" s="703">
        <v>0</v>
      </c>
      <c r="BE27" s="704">
        <v>0</v>
      </c>
      <c r="BF27" s="703">
        <v>0</v>
      </c>
      <c r="BG27" s="704">
        <v>0</v>
      </c>
      <c r="BH27" s="703">
        <v>0</v>
      </c>
      <c r="BI27" s="704">
        <v>0</v>
      </c>
      <c r="BJ27" s="703">
        <v>0</v>
      </c>
      <c r="BK27" s="704">
        <v>0</v>
      </c>
      <c r="BL27" s="703">
        <v>0</v>
      </c>
      <c r="BM27" s="704">
        <v>0</v>
      </c>
      <c r="BN27" s="703">
        <v>0</v>
      </c>
      <c r="BO27" s="704">
        <v>0</v>
      </c>
      <c r="BP27" s="703">
        <v>0</v>
      </c>
      <c r="BQ27" s="704">
        <v>0</v>
      </c>
      <c r="BR27" s="703">
        <v>0</v>
      </c>
      <c r="BS27" s="704">
        <v>0</v>
      </c>
      <c r="BT27" s="705">
        <v>0</v>
      </c>
      <c r="BU27" s="16"/>
    </row>
    <row r="28" spans="2:73" s="17" customFormat="1" ht="15.75">
      <c r="B28" s="691"/>
      <c r="C28" s="691" t="s">
        <v>1</v>
      </c>
      <c r="D28" s="691"/>
      <c r="E28" s="691" t="s">
        <v>690</v>
      </c>
      <c r="F28" s="691" t="s">
        <v>29</v>
      </c>
      <c r="G28" s="691"/>
      <c r="H28" s="691">
        <v>2011</v>
      </c>
      <c r="I28" s="644" t="s">
        <v>579</v>
      </c>
      <c r="J28" s="644" t="s">
        <v>597</v>
      </c>
      <c r="K28" s="633"/>
      <c r="L28" s="695">
        <v>7.626611228809197</v>
      </c>
      <c r="M28" s="696">
        <v>7.626611228809197</v>
      </c>
      <c r="N28" s="696">
        <v>7.626611228809197</v>
      </c>
      <c r="O28" s="696">
        <v>7.2875408183543122</v>
      </c>
      <c r="P28" s="696">
        <v>5.193470906745727</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3"/>
      <c r="AQ28" s="706">
        <v>52746.940326103329</v>
      </c>
      <c r="AR28" s="707">
        <v>52746.940326103329</v>
      </c>
      <c r="AS28" s="708">
        <v>52746.940326103329</v>
      </c>
      <c r="AT28" s="707">
        <v>52443.725112754277</v>
      </c>
      <c r="AU28" s="708">
        <v>39500.16606746184</v>
      </c>
      <c r="AV28" s="707">
        <v>0</v>
      </c>
      <c r="AW28" s="708">
        <v>0</v>
      </c>
      <c r="AX28" s="707">
        <v>0</v>
      </c>
      <c r="AY28" s="708">
        <v>0</v>
      </c>
      <c r="AZ28" s="707">
        <v>0</v>
      </c>
      <c r="BA28" s="708">
        <v>0</v>
      </c>
      <c r="BB28" s="707">
        <v>0</v>
      </c>
      <c r="BC28" s="708">
        <v>0</v>
      </c>
      <c r="BD28" s="707">
        <v>0</v>
      </c>
      <c r="BE28" s="708">
        <v>0</v>
      </c>
      <c r="BF28" s="707">
        <v>0</v>
      </c>
      <c r="BG28" s="708">
        <v>0</v>
      </c>
      <c r="BH28" s="707">
        <v>0</v>
      </c>
      <c r="BI28" s="708">
        <v>0</v>
      </c>
      <c r="BJ28" s="707">
        <v>0</v>
      </c>
      <c r="BK28" s="708">
        <v>0</v>
      </c>
      <c r="BL28" s="707">
        <v>0</v>
      </c>
      <c r="BM28" s="708">
        <v>0</v>
      </c>
      <c r="BN28" s="707">
        <v>0</v>
      </c>
      <c r="BO28" s="708">
        <v>0</v>
      </c>
      <c r="BP28" s="707">
        <v>0</v>
      </c>
      <c r="BQ28" s="708">
        <v>0</v>
      </c>
      <c r="BR28" s="707">
        <v>0</v>
      </c>
      <c r="BS28" s="708">
        <v>0</v>
      </c>
      <c r="BT28" s="709">
        <v>0</v>
      </c>
      <c r="BU28" s="16"/>
    </row>
    <row r="29" spans="2:73" s="17" customFormat="1" ht="16.5" customHeight="1">
      <c r="B29" s="691"/>
      <c r="C29" s="691" t="s">
        <v>5</v>
      </c>
      <c r="D29" s="691"/>
      <c r="E29" s="691" t="s">
        <v>690</v>
      </c>
      <c r="F29" s="691" t="s">
        <v>29</v>
      </c>
      <c r="G29" s="691"/>
      <c r="H29" s="691">
        <v>2011</v>
      </c>
      <c r="I29" s="644" t="s">
        <v>579</v>
      </c>
      <c r="J29" s="644" t="s">
        <v>597</v>
      </c>
      <c r="K29" s="633"/>
      <c r="L29" s="695">
        <v>5.113504196502344</v>
      </c>
      <c r="M29" s="696">
        <v>5.113504196502344</v>
      </c>
      <c r="N29" s="696">
        <v>5.113504196502344</v>
      </c>
      <c r="O29" s="696">
        <v>5.113504196502344</v>
      </c>
      <c r="P29" s="696">
        <v>4.7787960737020345</v>
      </c>
      <c r="Q29" s="696">
        <v>4.3867677576883164</v>
      </c>
      <c r="R29" s="696">
        <v>3.4814553771866423</v>
      </c>
      <c r="S29" s="696">
        <v>3.4597656657572338</v>
      </c>
      <c r="T29" s="696">
        <v>4.1601283138244458</v>
      </c>
      <c r="U29" s="696">
        <v>1.9476059839550437</v>
      </c>
      <c r="V29" s="696">
        <v>0.2907845271584053</v>
      </c>
      <c r="W29" s="696">
        <v>0.29066668925496181</v>
      </c>
      <c r="X29" s="696">
        <v>0.29066668925496181</v>
      </c>
      <c r="Y29" s="696">
        <v>0.27033290928126669</v>
      </c>
      <c r="Z29" s="696">
        <v>0.27033290928126669</v>
      </c>
      <c r="AA29" s="696">
        <v>0.23125149867840283</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3"/>
      <c r="AQ29" s="710">
        <v>90221.827974615051</v>
      </c>
      <c r="AR29" s="711">
        <v>90221.827974615051</v>
      </c>
      <c r="AS29" s="712">
        <v>90221.827974615051</v>
      </c>
      <c r="AT29" s="711">
        <v>90221.827974615051</v>
      </c>
      <c r="AU29" s="712">
        <v>82993.171440725331</v>
      </c>
      <c r="AV29" s="711">
        <v>74526.576652665623</v>
      </c>
      <c r="AW29" s="712">
        <v>54974.639281761061</v>
      </c>
      <c r="AX29" s="711">
        <v>54784.637409639443</v>
      </c>
      <c r="AY29" s="712">
        <v>69910.296714489392</v>
      </c>
      <c r="AZ29" s="711">
        <v>22126.681956716464</v>
      </c>
      <c r="BA29" s="712">
        <v>8291.2189190348872</v>
      </c>
      <c r="BB29" s="711">
        <v>7320.0997923125451</v>
      </c>
      <c r="BC29" s="712">
        <v>7320.0997923125451</v>
      </c>
      <c r="BD29" s="711">
        <v>5453.7633173602062</v>
      </c>
      <c r="BE29" s="712">
        <v>5453.7633173602062</v>
      </c>
      <c r="BF29" s="711">
        <v>4994.3145774527284</v>
      </c>
      <c r="BG29" s="712">
        <v>0</v>
      </c>
      <c r="BH29" s="711">
        <v>0</v>
      </c>
      <c r="BI29" s="712">
        <v>0</v>
      </c>
      <c r="BJ29" s="711">
        <v>0</v>
      </c>
      <c r="BK29" s="712">
        <v>0</v>
      </c>
      <c r="BL29" s="711">
        <v>0</v>
      </c>
      <c r="BM29" s="712">
        <v>0</v>
      </c>
      <c r="BN29" s="711">
        <v>0</v>
      </c>
      <c r="BO29" s="712">
        <v>0</v>
      </c>
      <c r="BP29" s="711">
        <v>0</v>
      </c>
      <c r="BQ29" s="712">
        <v>0</v>
      </c>
      <c r="BR29" s="711">
        <v>0</v>
      </c>
      <c r="BS29" s="712">
        <v>0</v>
      </c>
      <c r="BT29" s="713">
        <v>0</v>
      </c>
      <c r="BU29" s="16"/>
    </row>
    <row r="30" spans="2:73" s="17" customFormat="1" ht="15.75">
      <c r="B30" s="691"/>
      <c r="C30" s="691" t="s">
        <v>4</v>
      </c>
      <c r="D30" s="691"/>
      <c r="E30" s="691" t="s">
        <v>690</v>
      </c>
      <c r="F30" s="691" t="s">
        <v>29</v>
      </c>
      <c r="G30" s="691"/>
      <c r="H30" s="691">
        <v>2011</v>
      </c>
      <c r="I30" s="644" t="s">
        <v>579</v>
      </c>
      <c r="J30" s="644" t="s">
        <v>597</v>
      </c>
      <c r="K30" s="633"/>
      <c r="L30" s="695">
        <v>3.3392644783408905</v>
      </c>
      <c r="M30" s="696">
        <v>3.3392644783408905</v>
      </c>
      <c r="N30" s="696">
        <v>3.3392644783408905</v>
      </c>
      <c r="O30" s="696">
        <v>3.3392644783408905</v>
      </c>
      <c r="P30" s="696">
        <v>3.1404539460095009</v>
      </c>
      <c r="Q30" s="696">
        <v>2.9201132864753054</v>
      </c>
      <c r="R30" s="696">
        <v>2.4554944452741139</v>
      </c>
      <c r="S30" s="696">
        <v>2.4298267421884345</v>
      </c>
      <c r="T30" s="696">
        <v>2.8458294066063994</v>
      </c>
      <c r="U30" s="696">
        <v>1.5840509331139143</v>
      </c>
      <c r="V30" s="696">
        <v>0.19692729550807764</v>
      </c>
      <c r="W30" s="696">
        <v>0.19680485294481984</v>
      </c>
      <c r="X30" s="696">
        <v>0.19680485294481984</v>
      </c>
      <c r="Y30" s="696">
        <v>0.19313590071147713</v>
      </c>
      <c r="Z30" s="696">
        <v>0.19313590071147713</v>
      </c>
      <c r="AA30" s="696">
        <v>0.18349789607872</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3"/>
      <c r="AQ30" s="706">
        <v>54256.762724071887</v>
      </c>
      <c r="AR30" s="707">
        <v>54256.762724071887</v>
      </c>
      <c r="AS30" s="708">
        <v>54256.762724071887</v>
      </c>
      <c r="AT30" s="707">
        <v>54256.762724071887</v>
      </c>
      <c r="AU30" s="708">
        <v>49963.072324449298</v>
      </c>
      <c r="AV30" s="707">
        <v>45204.398005769297</v>
      </c>
      <c r="AW30" s="708">
        <v>35170.073191306939</v>
      </c>
      <c r="AX30" s="707">
        <v>34945.224112276381</v>
      </c>
      <c r="AY30" s="708">
        <v>43929.590410594581</v>
      </c>
      <c r="AZ30" s="707">
        <v>16679.091885422826</v>
      </c>
      <c r="BA30" s="708">
        <v>5422.1129204794643</v>
      </c>
      <c r="BB30" s="707">
        <v>4413.0461293217068</v>
      </c>
      <c r="BC30" s="708">
        <v>4413.0461293217068</v>
      </c>
      <c r="BD30" s="707">
        <v>4076.2912619628746</v>
      </c>
      <c r="BE30" s="708">
        <v>4076.2912619628746</v>
      </c>
      <c r="BF30" s="707">
        <v>3962.9849862825849</v>
      </c>
      <c r="BG30" s="708">
        <v>0</v>
      </c>
      <c r="BH30" s="707">
        <v>0</v>
      </c>
      <c r="BI30" s="708">
        <v>0</v>
      </c>
      <c r="BJ30" s="707">
        <v>0</v>
      </c>
      <c r="BK30" s="708">
        <v>0</v>
      </c>
      <c r="BL30" s="707">
        <v>0</v>
      </c>
      <c r="BM30" s="708">
        <v>0</v>
      </c>
      <c r="BN30" s="707">
        <v>0</v>
      </c>
      <c r="BO30" s="708">
        <v>0</v>
      </c>
      <c r="BP30" s="707">
        <v>0</v>
      </c>
      <c r="BQ30" s="708">
        <v>0</v>
      </c>
      <c r="BR30" s="707">
        <v>0</v>
      </c>
      <c r="BS30" s="708">
        <v>0</v>
      </c>
      <c r="BT30" s="709">
        <v>0</v>
      </c>
      <c r="BU30" s="16"/>
    </row>
    <row r="31" spans="2:73" s="17" customFormat="1" ht="15.75">
      <c r="B31" s="691"/>
      <c r="C31" s="691" t="s">
        <v>3</v>
      </c>
      <c r="D31" s="691"/>
      <c r="E31" s="691" t="s">
        <v>690</v>
      </c>
      <c r="F31" s="691" t="s">
        <v>29</v>
      </c>
      <c r="G31" s="691"/>
      <c r="H31" s="691">
        <v>2011</v>
      </c>
      <c r="I31" s="644" t="s">
        <v>579</v>
      </c>
      <c r="J31" s="644" t="s">
        <v>597</v>
      </c>
      <c r="K31" s="633"/>
      <c r="L31" s="695">
        <v>31.598265159682093</v>
      </c>
      <c r="M31" s="696">
        <v>31.598265159682093</v>
      </c>
      <c r="N31" s="696">
        <v>31.598265159682093</v>
      </c>
      <c r="O31" s="696">
        <v>31.598265159682093</v>
      </c>
      <c r="P31" s="696">
        <v>31.598265159682093</v>
      </c>
      <c r="Q31" s="696">
        <v>31.598265159682093</v>
      </c>
      <c r="R31" s="696">
        <v>31.598265159682093</v>
      </c>
      <c r="S31" s="696">
        <v>31.598265159682093</v>
      </c>
      <c r="T31" s="696">
        <v>31.598265159682093</v>
      </c>
      <c r="U31" s="696">
        <v>31.598265159682093</v>
      </c>
      <c r="V31" s="696">
        <v>31.598265159682093</v>
      </c>
      <c r="W31" s="696">
        <v>31.598265159682093</v>
      </c>
      <c r="X31" s="696">
        <v>31.598265159682093</v>
      </c>
      <c r="Y31" s="696">
        <v>31.598265159682093</v>
      </c>
      <c r="Z31" s="696">
        <v>31.598265159682093</v>
      </c>
      <c r="AA31" s="696">
        <v>31.598265159682093</v>
      </c>
      <c r="AB31" s="696">
        <v>31.598265159682093</v>
      </c>
      <c r="AC31" s="696">
        <v>31.598265159682093</v>
      </c>
      <c r="AD31" s="696">
        <v>28.138551446106131</v>
      </c>
      <c r="AE31" s="696">
        <v>0</v>
      </c>
      <c r="AF31" s="696">
        <v>0</v>
      </c>
      <c r="AG31" s="696">
        <v>0</v>
      </c>
      <c r="AH31" s="696">
        <v>0</v>
      </c>
      <c r="AI31" s="696">
        <v>0</v>
      </c>
      <c r="AJ31" s="696">
        <v>0</v>
      </c>
      <c r="AK31" s="696">
        <v>0</v>
      </c>
      <c r="AL31" s="696">
        <v>0</v>
      </c>
      <c r="AM31" s="696">
        <v>0</v>
      </c>
      <c r="AN31" s="696">
        <v>0</v>
      </c>
      <c r="AO31" s="697">
        <v>0</v>
      </c>
      <c r="AP31" s="633"/>
      <c r="AQ31" s="710">
        <v>60902.619333977389</v>
      </c>
      <c r="AR31" s="711">
        <v>60902.619333977389</v>
      </c>
      <c r="AS31" s="712">
        <v>60902.619333977389</v>
      </c>
      <c r="AT31" s="711">
        <v>60902.619333977389</v>
      </c>
      <c r="AU31" s="712">
        <v>60902.619333977389</v>
      </c>
      <c r="AV31" s="711">
        <v>60902.619333977389</v>
      </c>
      <c r="AW31" s="712">
        <v>60902.619333977389</v>
      </c>
      <c r="AX31" s="711">
        <v>60902.619333977389</v>
      </c>
      <c r="AY31" s="712">
        <v>60902.619333977389</v>
      </c>
      <c r="AZ31" s="711">
        <v>60902.619333977389</v>
      </c>
      <c r="BA31" s="712">
        <v>60902.619333977389</v>
      </c>
      <c r="BB31" s="711">
        <v>60902.619333977389</v>
      </c>
      <c r="BC31" s="712">
        <v>60902.619333977389</v>
      </c>
      <c r="BD31" s="711">
        <v>60902.619333977389</v>
      </c>
      <c r="BE31" s="712">
        <v>60902.619333977389</v>
      </c>
      <c r="BF31" s="711">
        <v>60902.619333977389</v>
      </c>
      <c r="BG31" s="712">
        <v>60902.619333977389</v>
      </c>
      <c r="BH31" s="711">
        <v>60902.619333977389</v>
      </c>
      <c r="BI31" s="712">
        <v>57804.635692722048</v>
      </c>
      <c r="BJ31" s="711">
        <v>0</v>
      </c>
      <c r="BK31" s="712">
        <v>0</v>
      </c>
      <c r="BL31" s="711">
        <v>0</v>
      </c>
      <c r="BM31" s="712">
        <v>0</v>
      </c>
      <c r="BN31" s="711">
        <v>0</v>
      </c>
      <c r="BO31" s="712">
        <v>0</v>
      </c>
      <c r="BP31" s="711">
        <v>0</v>
      </c>
      <c r="BQ31" s="712">
        <v>0</v>
      </c>
      <c r="BR31" s="711">
        <v>0</v>
      </c>
      <c r="BS31" s="712">
        <v>0</v>
      </c>
      <c r="BT31" s="713">
        <v>0</v>
      </c>
      <c r="BU31" s="16"/>
    </row>
    <row r="32" spans="2:73" s="17" customFormat="1" ht="15.75">
      <c r="B32" s="691"/>
      <c r="C32" s="691" t="s">
        <v>9</v>
      </c>
      <c r="D32" s="691"/>
      <c r="E32" s="691" t="s">
        <v>690</v>
      </c>
      <c r="F32" s="691" t="s">
        <v>691</v>
      </c>
      <c r="G32" s="691"/>
      <c r="H32" s="691">
        <v>2011</v>
      </c>
      <c r="I32" s="644" t="s">
        <v>579</v>
      </c>
      <c r="J32" s="644" t="s">
        <v>597</v>
      </c>
      <c r="K32" s="633"/>
      <c r="L32" s="695">
        <v>37.164999999999999</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3"/>
      <c r="AQ32" s="714">
        <v>1451.0339999999999</v>
      </c>
      <c r="AR32" s="715">
        <v>0</v>
      </c>
      <c r="AS32" s="716">
        <v>0</v>
      </c>
      <c r="AT32" s="715">
        <v>0</v>
      </c>
      <c r="AU32" s="716">
        <v>0</v>
      </c>
      <c r="AV32" s="715">
        <v>0</v>
      </c>
      <c r="AW32" s="716">
        <v>0</v>
      </c>
      <c r="AX32" s="715">
        <v>0</v>
      </c>
      <c r="AY32" s="716">
        <v>0</v>
      </c>
      <c r="AZ32" s="715">
        <v>0</v>
      </c>
      <c r="BA32" s="716">
        <v>0</v>
      </c>
      <c r="BB32" s="715">
        <v>0</v>
      </c>
      <c r="BC32" s="716">
        <v>0</v>
      </c>
      <c r="BD32" s="715">
        <v>0</v>
      </c>
      <c r="BE32" s="716">
        <v>0</v>
      </c>
      <c r="BF32" s="715">
        <v>0</v>
      </c>
      <c r="BG32" s="716">
        <v>0</v>
      </c>
      <c r="BH32" s="715">
        <v>0</v>
      </c>
      <c r="BI32" s="716">
        <v>0</v>
      </c>
      <c r="BJ32" s="715">
        <v>0</v>
      </c>
      <c r="BK32" s="716">
        <v>0</v>
      </c>
      <c r="BL32" s="715">
        <v>0</v>
      </c>
      <c r="BM32" s="716">
        <v>0</v>
      </c>
      <c r="BN32" s="715">
        <v>0</v>
      </c>
      <c r="BO32" s="716">
        <v>0</v>
      </c>
      <c r="BP32" s="715">
        <v>0</v>
      </c>
      <c r="BQ32" s="716">
        <v>0</v>
      </c>
      <c r="BR32" s="715">
        <v>0</v>
      </c>
      <c r="BS32" s="716">
        <v>0</v>
      </c>
      <c r="BT32" s="717">
        <v>0</v>
      </c>
      <c r="BU32" s="16"/>
    </row>
    <row r="33" spans="2:73" s="17" customFormat="1" ht="15.75">
      <c r="B33" s="691"/>
      <c r="C33" s="691" t="s">
        <v>21</v>
      </c>
      <c r="D33" s="691"/>
      <c r="E33" s="691" t="s">
        <v>690</v>
      </c>
      <c r="F33" s="691" t="s">
        <v>689</v>
      </c>
      <c r="G33" s="691"/>
      <c r="H33" s="691">
        <v>2011</v>
      </c>
      <c r="I33" s="644" t="s">
        <v>579</v>
      </c>
      <c r="J33" s="644" t="s">
        <v>597</v>
      </c>
      <c r="K33" s="633"/>
      <c r="L33" s="695">
        <v>60.788904907489417</v>
      </c>
      <c r="M33" s="696">
        <v>60.788904907489417</v>
      </c>
      <c r="N33" s="696">
        <v>60.788904907489417</v>
      </c>
      <c r="O33" s="696">
        <v>31.725768759739751</v>
      </c>
      <c r="P33" s="696">
        <v>31.725768759739751</v>
      </c>
      <c r="Q33" s="696">
        <v>31.725768759739751</v>
      </c>
      <c r="R33" s="696">
        <v>6.0568843103556</v>
      </c>
      <c r="S33" s="696">
        <v>6.0568843103556</v>
      </c>
      <c r="T33" s="696">
        <v>6.0568843103556</v>
      </c>
      <c r="U33" s="696">
        <v>6.0568843103556</v>
      </c>
      <c r="V33" s="696">
        <v>5.4658282610475499</v>
      </c>
      <c r="W33" s="696">
        <v>5.4658282610475499</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3"/>
      <c r="AQ33" s="702">
        <v>161529.24697593649</v>
      </c>
      <c r="AR33" s="703">
        <v>161529.24697593649</v>
      </c>
      <c r="AS33" s="704">
        <v>161529.24697593649</v>
      </c>
      <c r="AT33" s="703">
        <v>79595.894640730126</v>
      </c>
      <c r="AU33" s="704">
        <v>79595.894640730126</v>
      </c>
      <c r="AV33" s="703">
        <v>79595.894640730126</v>
      </c>
      <c r="AW33" s="704">
        <v>17296.754687108401</v>
      </c>
      <c r="AX33" s="703">
        <v>17296.754687108401</v>
      </c>
      <c r="AY33" s="704">
        <v>17296.754687108401</v>
      </c>
      <c r="AZ33" s="703">
        <v>17296.754687108401</v>
      </c>
      <c r="BA33" s="704">
        <v>13410.22269501558</v>
      </c>
      <c r="BB33" s="703">
        <v>13410.22269501558</v>
      </c>
      <c r="BC33" s="704">
        <v>0</v>
      </c>
      <c r="BD33" s="703">
        <v>0</v>
      </c>
      <c r="BE33" s="704">
        <v>0</v>
      </c>
      <c r="BF33" s="703">
        <v>0</v>
      </c>
      <c r="BG33" s="704">
        <v>0</v>
      </c>
      <c r="BH33" s="703">
        <v>0</v>
      </c>
      <c r="BI33" s="704">
        <v>0</v>
      </c>
      <c r="BJ33" s="703">
        <v>0</v>
      </c>
      <c r="BK33" s="704">
        <v>0</v>
      </c>
      <c r="BL33" s="703">
        <v>0</v>
      </c>
      <c r="BM33" s="704">
        <v>0</v>
      </c>
      <c r="BN33" s="703">
        <v>0</v>
      </c>
      <c r="BO33" s="704">
        <v>0</v>
      </c>
      <c r="BP33" s="703">
        <v>0</v>
      </c>
      <c r="BQ33" s="704">
        <v>0</v>
      </c>
      <c r="BR33" s="703">
        <v>0</v>
      </c>
      <c r="BS33" s="704">
        <v>0</v>
      </c>
      <c r="BT33" s="705">
        <v>0</v>
      </c>
      <c r="BU33" s="16"/>
    </row>
    <row r="34" spans="2:73" s="17" customFormat="1" ht="15.75">
      <c r="B34" s="691"/>
      <c r="C34" s="691" t="s">
        <v>687</v>
      </c>
      <c r="D34" s="691"/>
      <c r="E34" s="691" t="s">
        <v>690</v>
      </c>
      <c r="F34" s="691" t="s">
        <v>688</v>
      </c>
      <c r="G34" s="691"/>
      <c r="H34" s="691">
        <v>2011</v>
      </c>
      <c r="I34" s="644" t="s">
        <v>579</v>
      </c>
      <c r="J34" s="644" t="s">
        <v>597</v>
      </c>
      <c r="K34" s="633"/>
      <c r="L34" s="695">
        <v>3</v>
      </c>
      <c r="M34" s="696">
        <v>3</v>
      </c>
      <c r="N34" s="696">
        <v>3</v>
      </c>
      <c r="O34" s="696">
        <v>3</v>
      </c>
      <c r="P34" s="696">
        <v>3</v>
      </c>
      <c r="Q34" s="696">
        <v>3</v>
      </c>
      <c r="R34" s="696">
        <v>3</v>
      </c>
      <c r="S34" s="696">
        <v>3</v>
      </c>
      <c r="T34" s="696">
        <v>3</v>
      </c>
      <c r="U34" s="696">
        <v>3</v>
      </c>
      <c r="V34" s="696">
        <v>3</v>
      </c>
      <c r="W34" s="696">
        <v>0</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3"/>
      <c r="AQ34" s="706">
        <v>20486.999999999949</v>
      </c>
      <c r="AR34" s="707">
        <v>20486.999999999949</v>
      </c>
      <c r="AS34" s="708">
        <v>20486.999999999949</v>
      </c>
      <c r="AT34" s="707">
        <v>20486.999999999949</v>
      </c>
      <c r="AU34" s="708">
        <v>20486.999999999949</v>
      </c>
      <c r="AV34" s="707">
        <v>20486.999999999949</v>
      </c>
      <c r="AW34" s="708">
        <v>20486.999999999949</v>
      </c>
      <c r="AX34" s="707">
        <v>20486.999999999949</v>
      </c>
      <c r="AY34" s="708">
        <v>20486.999999999949</v>
      </c>
      <c r="AZ34" s="707">
        <v>20486.999999999949</v>
      </c>
      <c r="BA34" s="708">
        <v>20486.999999999949</v>
      </c>
      <c r="BB34" s="707">
        <v>9434.5206817586113</v>
      </c>
      <c r="BC34" s="708">
        <v>9434.5206817586113</v>
      </c>
      <c r="BD34" s="707">
        <v>9434.5206817586113</v>
      </c>
      <c r="BE34" s="708">
        <v>9434.5206817586113</v>
      </c>
      <c r="BF34" s="707">
        <v>9434.5206817586113</v>
      </c>
      <c r="BG34" s="708">
        <v>9434.5206817586113</v>
      </c>
      <c r="BH34" s="707">
        <v>0</v>
      </c>
      <c r="BI34" s="708">
        <v>0</v>
      </c>
      <c r="BJ34" s="707">
        <v>0</v>
      </c>
      <c r="BK34" s="708">
        <v>0</v>
      </c>
      <c r="BL34" s="707">
        <v>0</v>
      </c>
      <c r="BM34" s="708">
        <v>0</v>
      </c>
      <c r="BN34" s="707">
        <v>0</v>
      </c>
      <c r="BO34" s="708">
        <v>0</v>
      </c>
      <c r="BP34" s="707">
        <v>0</v>
      </c>
      <c r="BQ34" s="708">
        <v>0</v>
      </c>
      <c r="BR34" s="707">
        <v>0</v>
      </c>
      <c r="BS34" s="708">
        <v>0</v>
      </c>
      <c r="BT34" s="709">
        <v>0</v>
      </c>
      <c r="BU34" s="16"/>
    </row>
    <row r="35" spans="2:73" s="17" customFormat="1" ht="15.75">
      <c r="B35" s="691"/>
      <c r="C35" s="691" t="s">
        <v>22</v>
      </c>
      <c r="D35" s="691"/>
      <c r="E35" s="691" t="s">
        <v>690</v>
      </c>
      <c r="F35" s="691" t="s">
        <v>689</v>
      </c>
      <c r="G35" s="691"/>
      <c r="H35" s="691">
        <v>2011</v>
      </c>
      <c r="I35" s="644" t="s">
        <v>579</v>
      </c>
      <c r="J35" s="644" t="s">
        <v>597</v>
      </c>
      <c r="K35" s="633"/>
      <c r="L35" s="695">
        <v>15.542213275204141</v>
      </c>
      <c r="M35" s="696">
        <v>15.542213275204141</v>
      </c>
      <c r="N35" s="696">
        <v>15.542213275204141</v>
      </c>
      <c r="O35" s="696">
        <v>15.542213275204141</v>
      </c>
      <c r="P35" s="696">
        <v>15.542213275204141</v>
      </c>
      <c r="Q35" s="696">
        <v>15.542213275204141</v>
      </c>
      <c r="R35" s="696">
        <v>15.542213275204141</v>
      </c>
      <c r="S35" s="696">
        <v>15.542213275204141</v>
      </c>
      <c r="T35" s="696">
        <v>15.542213275204141</v>
      </c>
      <c r="U35" s="696">
        <v>15.542213275204141</v>
      </c>
      <c r="V35" s="696">
        <v>15.542213275204141</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3"/>
      <c r="AQ35" s="710">
        <v>116644.15013152071</v>
      </c>
      <c r="AR35" s="711">
        <v>116644.15013152071</v>
      </c>
      <c r="AS35" s="712">
        <v>116644.15013152071</v>
      </c>
      <c r="AT35" s="711">
        <v>116644.15013152071</v>
      </c>
      <c r="AU35" s="712">
        <v>116644.15013152071</v>
      </c>
      <c r="AV35" s="711">
        <v>116644.15013152071</v>
      </c>
      <c r="AW35" s="712">
        <v>116644.15013152071</v>
      </c>
      <c r="AX35" s="711">
        <v>116644.15013152071</v>
      </c>
      <c r="AY35" s="712">
        <v>116644.15013152071</v>
      </c>
      <c r="AZ35" s="711">
        <v>116644.15013152071</v>
      </c>
      <c r="BA35" s="712">
        <v>116644.15013152071</v>
      </c>
      <c r="BB35" s="711">
        <v>19494.966676362565</v>
      </c>
      <c r="BC35" s="712">
        <v>19494.966676362565</v>
      </c>
      <c r="BD35" s="711">
        <v>19494.966676362565</v>
      </c>
      <c r="BE35" s="712">
        <v>19494.966676362565</v>
      </c>
      <c r="BF35" s="711">
        <v>19494.966676362565</v>
      </c>
      <c r="BG35" s="712">
        <v>19494.966676362565</v>
      </c>
      <c r="BH35" s="711">
        <v>0</v>
      </c>
      <c r="BI35" s="712">
        <v>0</v>
      </c>
      <c r="BJ35" s="711">
        <v>0</v>
      </c>
      <c r="BK35" s="712">
        <v>0</v>
      </c>
      <c r="BL35" s="711">
        <v>0</v>
      </c>
      <c r="BM35" s="712">
        <v>0</v>
      </c>
      <c r="BN35" s="711">
        <v>0</v>
      </c>
      <c r="BO35" s="712">
        <v>0</v>
      </c>
      <c r="BP35" s="711">
        <v>0</v>
      </c>
      <c r="BQ35" s="712">
        <v>0</v>
      </c>
      <c r="BR35" s="711">
        <v>0</v>
      </c>
      <c r="BS35" s="712">
        <v>0</v>
      </c>
      <c r="BT35" s="713">
        <v>0</v>
      </c>
      <c r="BU35" s="16"/>
    </row>
    <row r="36" spans="2:73" s="17" customFormat="1" ht="15.75">
      <c r="B36" s="691"/>
      <c r="C36" s="691" t="s">
        <v>16</v>
      </c>
      <c r="D36" s="691"/>
      <c r="E36" s="691" t="s">
        <v>690</v>
      </c>
      <c r="F36" s="691" t="s">
        <v>689</v>
      </c>
      <c r="G36" s="691"/>
      <c r="H36" s="691">
        <v>2011</v>
      </c>
      <c r="I36" s="644" t="s">
        <v>579</v>
      </c>
      <c r="J36" s="644" t="s">
        <v>597</v>
      </c>
      <c r="K36" s="633"/>
      <c r="L36" s="695">
        <v>2.7203176000000004</v>
      </c>
      <c r="M36" s="696">
        <v>2.7203176000000004</v>
      </c>
      <c r="N36" s="696">
        <v>2.7203176000000004</v>
      </c>
      <c r="O36" s="696">
        <v>2.7203176000000004</v>
      </c>
      <c r="P36" s="696">
        <v>2.7203176000000004</v>
      </c>
      <c r="Q36" s="696">
        <v>2.7203176000000004</v>
      </c>
      <c r="R36" s="696">
        <v>2.7203176000000004</v>
      </c>
      <c r="S36" s="696">
        <v>2.7203176000000004</v>
      </c>
      <c r="T36" s="696">
        <v>2.7203176000000004</v>
      </c>
      <c r="U36" s="696">
        <v>2.7203176000000004</v>
      </c>
      <c r="V36" s="696">
        <v>2.7203176000000004</v>
      </c>
      <c r="W36" s="696">
        <v>2.7203176000000004</v>
      </c>
      <c r="X36" s="696">
        <v>2.7203176000000004</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3"/>
      <c r="AQ36" s="710">
        <v>15806.949478319999</v>
      </c>
      <c r="AR36" s="711">
        <v>15806.949478319999</v>
      </c>
      <c r="AS36" s="712">
        <v>15806.949478319999</v>
      </c>
      <c r="AT36" s="711">
        <v>15806.949478319999</v>
      </c>
      <c r="AU36" s="712">
        <v>15806.949478319999</v>
      </c>
      <c r="AV36" s="711">
        <v>15806.949478319999</v>
      </c>
      <c r="AW36" s="712">
        <v>15806.949478319999</v>
      </c>
      <c r="AX36" s="711">
        <v>15806.949478319999</v>
      </c>
      <c r="AY36" s="712">
        <v>15806.949478319999</v>
      </c>
      <c r="AZ36" s="711">
        <v>15806.949478319999</v>
      </c>
      <c r="BA36" s="712">
        <v>15806.949478319999</v>
      </c>
      <c r="BB36" s="711">
        <v>15806.949478319999</v>
      </c>
      <c r="BC36" s="712">
        <v>15806.949478319999</v>
      </c>
      <c r="BD36" s="711">
        <v>0</v>
      </c>
      <c r="BE36" s="712">
        <v>0</v>
      </c>
      <c r="BF36" s="711">
        <v>0</v>
      </c>
      <c r="BG36" s="712">
        <v>0</v>
      </c>
      <c r="BH36" s="711">
        <v>0</v>
      </c>
      <c r="BI36" s="712">
        <v>0</v>
      </c>
      <c r="BJ36" s="711">
        <v>0</v>
      </c>
      <c r="BK36" s="712">
        <v>0</v>
      </c>
      <c r="BL36" s="711">
        <v>0</v>
      </c>
      <c r="BM36" s="712">
        <v>0</v>
      </c>
      <c r="BN36" s="711">
        <v>0</v>
      </c>
      <c r="BO36" s="712">
        <v>0</v>
      </c>
      <c r="BP36" s="711">
        <v>0</v>
      </c>
      <c r="BQ36" s="712">
        <v>0</v>
      </c>
      <c r="BR36" s="711">
        <v>0</v>
      </c>
      <c r="BS36" s="712">
        <v>0</v>
      </c>
      <c r="BT36" s="713">
        <v>0</v>
      </c>
      <c r="BU36" s="16"/>
    </row>
    <row r="37" spans="2:73" s="17" customFormat="1" ht="15.75">
      <c r="B37" s="691"/>
      <c r="C37" s="691" t="s">
        <v>17</v>
      </c>
      <c r="D37" s="691"/>
      <c r="E37" s="691" t="s">
        <v>690</v>
      </c>
      <c r="F37" s="691" t="s">
        <v>689</v>
      </c>
      <c r="G37" s="691"/>
      <c r="H37" s="691">
        <v>2011</v>
      </c>
      <c r="I37" s="644" t="s">
        <v>579</v>
      </c>
      <c r="J37" s="644" t="s">
        <v>597</v>
      </c>
      <c r="K37" s="633"/>
      <c r="L37" s="695">
        <v>43.656999999999996</v>
      </c>
      <c r="M37" s="696">
        <v>43.656999999999996</v>
      </c>
      <c r="N37" s="696">
        <v>43.656999999999996</v>
      </c>
      <c r="O37" s="696">
        <v>43.656999999999996</v>
      </c>
      <c r="P37" s="696">
        <v>43.657000000000004</v>
      </c>
      <c r="Q37" s="696">
        <v>43.657000000000004</v>
      </c>
      <c r="R37" s="696">
        <v>43.657000000000004</v>
      </c>
      <c r="S37" s="696">
        <v>43.657000000000004</v>
      </c>
      <c r="T37" s="696">
        <v>43.657000000000004</v>
      </c>
      <c r="U37" s="696">
        <v>43.657000000000004</v>
      </c>
      <c r="V37" s="696">
        <v>43.657000000000004</v>
      </c>
      <c r="W37" s="696">
        <v>43.657000000000004</v>
      </c>
      <c r="X37" s="696">
        <v>43.657000000000004</v>
      </c>
      <c r="Y37" s="696">
        <v>43.657000000000004</v>
      </c>
      <c r="Z37" s="696">
        <v>43.657000000000004</v>
      </c>
      <c r="AA37" s="696">
        <v>39.765996405997242</v>
      </c>
      <c r="AB37" s="696">
        <v>39.765996405997242</v>
      </c>
      <c r="AC37" s="696">
        <v>39.765996405997242</v>
      </c>
      <c r="AD37" s="696">
        <v>39.765996405997242</v>
      </c>
      <c r="AE37" s="696">
        <v>39.765996405997242</v>
      </c>
      <c r="AF37" s="696">
        <v>39.765996405997242</v>
      </c>
      <c r="AG37" s="696">
        <v>39.765996405997242</v>
      </c>
      <c r="AH37" s="696">
        <v>39.765996405997242</v>
      </c>
      <c r="AI37" s="696">
        <v>39.765996405997242</v>
      </c>
      <c r="AJ37" s="696">
        <v>39.765996405997242</v>
      </c>
      <c r="AK37" s="696">
        <v>39.765996405997242</v>
      </c>
      <c r="AL37" s="696">
        <v>0</v>
      </c>
      <c r="AM37" s="696">
        <v>0</v>
      </c>
      <c r="AN37" s="696">
        <v>0</v>
      </c>
      <c r="AO37" s="697">
        <v>0</v>
      </c>
      <c r="AP37" s="633"/>
      <c r="AQ37" s="706">
        <v>157827.75200000001</v>
      </c>
      <c r="AR37" s="707">
        <v>157827.75200000001</v>
      </c>
      <c r="AS37" s="708">
        <v>157827.75200000001</v>
      </c>
      <c r="AT37" s="707">
        <v>157827.75200000001</v>
      </c>
      <c r="AU37" s="708">
        <v>157827.75200000001</v>
      </c>
      <c r="AV37" s="707">
        <v>157827.75200000001</v>
      </c>
      <c r="AW37" s="708">
        <v>157827.75200000001</v>
      </c>
      <c r="AX37" s="707">
        <v>157827.75200000001</v>
      </c>
      <c r="AY37" s="708">
        <v>157827.75200000001</v>
      </c>
      <c r="AZ37" s="707">
        <v>157827.75200000001</v>
      </c>
      <c r="BA37" s="708">
        <v>157827.75200000001</v>
      </c>
      <c r="BB37" s="707">
        <v>157827.75200000001</v>
      </c>
      <c r="BC37" s="708">
        <v>157827.75200000001</v>
      </c>
      <c r="BD37" s="707">
        <v>157827.75200000001</v>
      </c>
      <c r="BE37" s="708">
        <v>157827.75200000001</v>
      </c>
      <c r="BF37" s="707">
        <v>204238.15754120183</v>
      </c>
      <c r="BG37" s="708">
        <v>204238.15754120183</v>
      </c>
      <c r="BH37" s="707">
        <v>204238.15754120183</v>
      </c>
      <c r="BI37" s="708">
        <v>204238.15754120183</v>
      </c>
      <c r="BJ37" s="707">
        <v>204238.15754120183</v>
      </c>
      <c r="BK37" s="708">
        <v>204238.15754120183</v>
      </c>
      <c r="BL37" s="707">
        <v>204238.15754120183</v>
      </c>
      <c r="BM37" s="708">
        <v>204238.15754120183</v>
      </c>
      <c r="BN37" s="707">
        <v>204238.15754120183</v>
      </c>
      <c r="BO37" s="708">
        <v>204238.15754120183</v>
      </c>
      <c r="BP37" s="707">
        <v>204238.15754120183</v>
      </c>
      <c r="BQ37" s="708">
        <v>0</v>
      </c>
      <c r="BR37" s="707">
        <v>0</v>
      </c>
      <c r="BS37" s="708">
        <v>0</v>
      </c>
      <c r="BT37" s="709">
        <v>0</v>
      </c>
      <c r="BU37" s="16"/>
    </row>
    <row r="38" spans="2:73" s="17" customFormat="1" ht="15.75">
      <c r="B38" s="691"/>
      <c r="C38" s="691" t="s">
        <v>3</v>
      </c>
      <c r="D38" s="691"/>
      <c r="E38" s="691" t="s">
        <v>690</v>
      </c>
      <c r="F38" s="691" t="s">
        <v>29</v>
      </c>
      <c r="G38" s="691"/>
      <c r="H38" s="691">
        <v>2012</v>
      </c>
      <c r="I38" s="644" t="s">
        <v>580</v>
      </c>
      <c r="J38" s="644" t="s">
        <v>597</v>
      </c>
      <c r="K38" s="633"/>
      <c r="L38" s="695">
        <v>0</v>
      </c>
      <c r="M38" s="696">
        <v>26.946122801105282</v>
      </c>
      <c r="N38" s="696">
        <v>26.946122801105282</v>
      </c>
      <c r="O38" s="696">
        <v>26.946122801105282</v>
      </c>
      <c r="P38" s="696">
        <v>26.946122801105282</v>
      </c>
      <c r="Q38" s="696">
        <v>26.946122801105282</v>
      </c>
      <c r="R38" s="696">
        <v>26.946122801105282</v>
      </c>
      <c r="S38" s="696">
        <v>26.946122801105282</v>
      </c>
      <c r="T38" s="696">
        <v>26.946122801105282</v>
      </c>
      <c r="U38" s="696">
        <v>26.946122801105282</v>
      </c>
      <c r="V38" s="696">
        <v>26.946122801105282</v>
      </c>
      <c r="W38" s="696">
        <v>26.946122801105282</v>
      </c>
      <c r="X38" s="696">
        <v>26.946122801105282</v>
      </c>
      <c r="Y38" s="696">
        <v>26.946122801105282</v>
      </c>
      <c r="Z38" s="696">
        <v>26.946122801105282</v>
      </c>
      <c r="AA38" s="696">
        <v>26.946122801105282</v>
      </c>
      <c r="AB38" s="696">
        <v>26.946122801105282</v>
      </c>
      <c r="AC38" s="696">
        <v>26.946122801105282</v>
      </c>
      <c r="AD38" s="696">
        <v>26.946122801105282</v>
      </c>
      <c r="AE38" s="696">
        <v>23.312402920656346</v>
      </c>
      <c r="AF38" s="696">
        <v>0</v>
      </c>
      <c r="AG38" s="696">
        <v>0</v>
      </c>
      <c r="AH38" s="696">
        <v>0</v>
      </c>
      <c r="AI38" s="696">
        <v>0</v>
      </c>
      <c r="AJ38" s="696">
        <v>0</v>
      </c>
      <c r="AK38" s="696">
        <v>0</v>
      </c>
      <c r="AL38" s="696">
        <v>0</v>
      </c>
      <c r="AM38" s="696">
        <v>0</v>
      </c>
      <c r="AN38" s="696">
        <v>0</v>
      </c>
      <c r="AO38" s="697">
        <v>0</v>
      </c>
      <c r="AP38" s="633"/>
      <c r="AQ38" s="710">
        <v>0</v>
      </c>
      <c r="AR38" s="711">
        <v>48252.680964467334</v>
      </c>
      <c r="AS38" s="712">
        <v>48252.680964467334</v>
      </c>
      <c r="AT38" s="711">
        <v>48252.680964467334</v>
      </c>
      <c r="AU38" s="712">
        <v>48252.680964467334</v>
      </c>
      <c r="AV38" s="711">
        <v>48252.680964467334</v>
      </c>
      <c r="AW38" s="712">
        <v>48252.680964467334</v>
      </c>
      <c r="AX38" s="711">
        <v>48252.680964467334</v>
      </c>
      <c r="AY38" s="712">
        <v>48252.680964467334</v>
      </c>
      <c r="AZ38" s="711">
        <v>48252.680964467334</v>
      </c>
      <c r="BA38" s="712">
        <v>48252.680964467334</v>
      </c>
      <c r="BB38" s="711">
        <v>48252.680964467334</v>
      </c>
      <c r="BC38" s="712">
        <v>48252.680964467334</v>
      </c>
      <c r="BD38" s="711">
        <v>48252.680964467334</v>
      </c>
      <c r="BE38" s="712">
        <v>48252.680964467334</v>
      </c>
      <c r="BF38" s="711">
        <v>48252.680964467334</v>
      </c>
      <c r="BG38" s="712">
        <v>48252.680964467334</v>
      </c>
      <c r="BH38" s="711">
        <v>48252.680964467334</v>
      </c>
      <c r="BI38" s="712">
        <v>48252.680964467334</v>
      </c>
      <c r="BJ38" s="711">
        <v>45003.210899170626</v>
      </c>
      <c r="BK38" s="712">
        <v>0</v>
      </c>
      <c r="BL38" s="711">
        <v>0</v>
      </c>
      <c r="BM38" s="712">
        <v>0</v>
      </c>
      <c r="BN38" s="711">
        <v>0</v>
      </c>
      <c r="BO38" s="712">
        <v>0</v>
      </c>
      <c r="BP38" s="711">
        <v>0</v>
      </c>
      <c r="BQ38" s="712">
        <v>0</v>
      </c>
      <c r="BR38" s="711">
        <v>0</v>
      </c>
      <c r="BS38" s="712">
        <v>0</v>
      </c>
      <c r="BT38" s="713">
        <v>0</v>
      </c>
      <c r="BU38" s="16"/>
    </row>
    <row r="39" spans="2:73" s="17" customFormat="1" ht="15.75">
      <c r="B39" s="691"/>
      <c r="C39" s="691" t="s">
        <v>22</v>
      </c>
      <c r="D39" s="691"/>
      <c r="E39" s="691" t="s">
        <v>690</v>
      </c>
      <c r="F39" s="691" t="s">
        <v>689</v>
      </c>
      <c r="G39" s="691"/>
      <c r="H39" s="691">
        <v>2012</v>
      </c>
      <c r="I39" s="644" t="s">
        <v>580</v>
      </c>
      <c r="J39" s="644" t="s">
        <v>597</v>
      </c>
      <c r="K39" s="633"/>
      <c r="L39" s="695">
        <v>0</v>
      </c>
      <c r="M39" s="696">
        <v>267.51327501047115</v>
      </c>
      <c r="N39" s="696">
        <v>258.2416110905416</v>
      </c>
      <c r="O39" s="696">
        <v>257.59348573683076</v>
      </c>
      <c r="P39" s="696">
        <v>242.40570548131012</v>
      </c>
      <c r="Q39" s="696">
        <v>242.40570548131012</v>
      </c>
      <c r="R39" s="696">
        <v>241.27083157862057</v>
      </c>
      <c r="S39" s="696">
        <v>234.93532770854429</v>
      </c>
      <c r="T39" s="696">
        <v>234.93532770854429</v>
      </c>
      <c r="U39" s="696">
        <v>206.76778675027953</v>
      </c>
      <c r="V39" s="696">
        <v>137.36350477173204</v>
      </c>
      <c r="W39" s="696">
        <v>134.60259449279454</v>
      </c>
      <c r="X39" s="696">
        <v>134.60259449279454</v>
      </c>
      <c r="Y39" s="696">
        <v>59.530823070282587</v>
      </c>
      <c r="Z39" s="696">
        <v>41.738076955732147</v>
      </c>
      <c r="AA39" s="696">
        <v>41.738076955732147</v>
      </c>
      <c r="AB39" s="696">
        <v>26.293623372941639</v>
      </c>
      <c r="AC39" s="696">
        <v>0</v>
      </c>
      <c r="AD39" s="696">
        <v>0</v>
      </c>
      <c r="AE39" s="696">
        <v>0</v>
      </c>
      <c r="AF39" s="696">
        <v>0</v>
      </c>
      <c r="AG39" s="696">
        <v>0</v>
      </c>
      <c r="AH39" s="696">
        <v>0</v>
      </c>
      <c r="AI39" s="696">
        <v>0</v>
      </c>
      <c r="AJ39" s="696">
        <v>0</v>
      </c>
      <c r="AK39" s="696">
        <v>0</v>
      </c>
      <c r="AL39" s="696">
        <v>0</v>
      </c>
      <c r="AM39" s="696">
        <v>0</v>
      </c>
      <c r="AN39" s="696">
        <v>0</v>
      </c>
      <c r="AO39" s="697">
        <v>0</v>
      </c>
      <c r="AP39" s="633"/>
      <c r="AQ39" s="706">
        <v>0</v>
      </c>
      <c r="AR39" s="707">
        <v>1338949.9999999995</v>
      </c>
      <c r="AS39" s="708">
        <v>1316740.9085892967</v>
      </c>
      <c r="AT39" s="707">
        <v>1315188.4067567813</v>
      </c>
      <c r="AU39" s="708">
        <v>1278808.0112923293</v>
      </c>
      <c r="AV39" s="707">
        <v>1278808.0112923293</v>
      </c>
      <c r="AW39" s="708">
        <v>1276061.020276367</v>
      </c>
      <c r="AX39" s="707">
        <v>1262218.2564969042</v>
      </c>
      <c r="AY39" s="708">
        <v>1262218.2564969042</v>
      </c>
      <c r="AZ39" s="707">
        <v>1187772.2102303214</v>
      </c>
      <c r="BA39" s="708">
        <v>682976.82626781112</v>
      </c>
      <c r="BB39" s="707">
        <v>657771.11738316377</v>
      </c>
      <c r="BC39" s="708">
        <v>650737.81909311796</v>
      </c>
      <c r="BD39" s="707">
        <v>320081.06746284041</v>
      </c>
      <c r="BE39" s="708">
        <v>277460.80767796177</v>
      </c>
      <c r="BF39" s="707">
        <v>277460.80767796177</v>
      </c>
      <c r="BG39" s="708">
        <v>190581.15447414212</v>
      </c>
      <c r="BH39" s="707">
        <v>0</v>
      </c>
      <c r="BI39" s="708">
        <v>0</v>
      </c>
      <c r="BJ39" s="707">
        <v>0</v>
      </c>
      <c r="BK39" s="708">
        <v>0</v>
      </c>
      <c r="BL39" s="707">
        <v>0</v>
      </c>
      <c r="BM39" s="708">
        <v>0</v>
      </c>
      <c r="BN39" s="707">
        <v>0</v>
      </c>
      <c r="BO39" s="708">
        <v>0</v>
      </c>
      <c r="BP39" s="707">
        <v>0</v>
      </c>
      <c r="BQ39" s="708">
        <v>0</v>
      </c>
      <c r="BR39" s="707">
        <v>0</v>
      </c>
      <c r="BS39" s="708">
        <v>0</v>
      </c>
      <c r="BT39" s="709">
        <v>0</v>
      </c>
      <c r="BU39" s="16"/>
    </row>
    <row r="40" spans="2:73" s="17" customFormat="1" ht="15.75">
      <c r="B40" s="691"/>
      <c r="C40" s="691" t="s">
        <v>21</v>
      </c>
      <c r="D40" s="691"/>
      <c r="E40" s="691" t="s">
        <v>690</v>
      </c>
      <c r="F40" s="691" t="s">
        <v>689</v>
      </c>
      <c r="G40" s="691"/>
      <c r="H40" s="691">
        <v>2012</v>
      </c>
      <c r="I40" s="644" t="s">
        <v>580</v>
      </c>
      <c r="J40" s="644" t="s">
        <v>597</v>
      </c>
      <c r="K40" s="633"/>
      <c r="L40" s="695">
        <v>0</v>
      </c>
      <c r="M40" s="696">
        <v>46.955552418229622</v>
      </c>
      <c r="N40" s="696">
        <v>46.955552418229622</v>
      </c>
      <c r="O40" s="696">
        <v>46.955552418229622</v>
      </c>
      <c r="P40" s="696">
        <v>31.663990904127669</v>
      </c>
      <c r="Q40" s="696">
        <v>31.434557888425051</v>
      </c>
      <c r="R40" s="696">
        <v>6.4295317587025691</v>
      </c>
      <c r="S40" s="696">
        <v>5.1486035074728917</v>
      </c>
      <c r="T40" s="696">
        <v>5.1486035074728917</v>
      </c>
      <c r="U40" s="696">
        <v>5.1486035074728917</v>
      </c>
      <c r="V40" s="696">
        <v>5.1486035074728917</v>
      </c>
      <c r="W40" s="696">
        <v>4.7262381831112474</v>
      </c>
      <c r="X40" s="696">
        <v>4.7061255486178357</v>
      </c>
      <c r="Y40" s="696">
        <v>0.25284635699011832</v>
      </c>
      <c r="Z40" s="696">
        <v>0</v>
      </c>
      <c r="AA40" s="696">
        <v>0</v>
      </c>
      <c r="AB40" s="696">
        <v>0</v>
      </c>
      <c r="AC40" s="696">
        <v>0</v>
      </c>
      <c r="AD40" s="696">
        <v>0</v>
      </c>
      <c r="AE40" s="696">
        <v>0</v>
      </c>
      <c r="AF40" s="696">
        <v>0</v>
      </c>
      <c r="AG40" s="696">
        <v>0</v>
      </c>
      <c r="AH40" s="696">
        <v>0</v>
      </c>
      <c r="AI40" s="696">
        <v>0</v>
      </c>
      <c r="AJ40" s="696">
        <v>0</v>
      </c>
      <c r="AK40" s="696">
        <v>0</v>
      </c>
      <c r="AL40" s="696">
        <v>0</v>
      </c>
      <c r="AM40" s="696">
        <v>0</v>
      </c>
      <c r="AN40" s="696">
        <v>0</v>
      </c>
      <c r="AO40" s="697">
        <v>0</v>
      </c>
      <c r="AP40" s="633"/>
      <c r="AQ40" s="710">
        <v>0</v>
      </c>
      <c r="AR40" s="711">
        <v>179920.70160477798</v>
      </c>
      <c r="AS40" s="712">
        <v>179920.70160477801</v>
      </c>
      <c r="AT40" s="711">
        <v>179920.70160477801</v>
      </c>
      <c r="AU40" s="712">
        <v>116076.88019301899</v>
      </c>
      <c r="AV40" s="711">
        <v>116076.88019301899</v>
      </c>
      <c r="AW40" s="712">
        <v>21155.651674336819</v>
      </c>
      <c r="AX40" s="711">
        <v>21155.651674336819</v>
      </c>
      <c r="AY40" s="712">
        <v>21155.651674336819</v>
      </c>
      <c r="AZ40" s="711">
        <v>21155.651674336819</v>
      </c>
      <c r="BA40" s="712">
        <v>21155.651674336819</v>
      </c>
      <c r="BB40" s="711">
        <v>16826.101206858173</v>
      </c>
      <c r="BC40" s="712">
        <v>16826.101206858173</v>
      </c>
      <c r="BD40" s="711">
        <v>0</v>
      </c>
      <c r="BE40" s="712">
        <v>0</v>
      </c>
      <c r="BF40" s="711">
        <v>0</v>
      </c>
      <c r="BG40" s="712">
        <v>0</v>
      </c>
      <c r="BH40" s="711">
        <v>0</v>
      </c>
      <c r="BI40" s="712">
        <v>0</v>
      </c>
      <c r="BJ40" s="711">
        <v>0</v>
      </c>
      <c r="BK40" s="712">
        <v>0</v>
      </c>
      <c r="BL40" s="711">
        <v>0</v>
      </c>
      <c r="BM40" s="712">
        <v>0</v>
      </c>
      <c r="BN40" s="711">
        <v>0</v>
      </c>
      <c r="BO40" s="712">
        <v>0</v>
      </c>
      <c r="BP40" s="711">
        <v>0</v>
      </c>
      <c r="BQ40" s="712">
        <v>0</v>
      </c>
      <c r="BR40" s="711">
        <v>0</v>
      </c>
      <c r="BS40" s="712">
        <v>0</v>
      </c>
      <c r="BT40" s="713">
        <v>0</v>
      </c>
      <c r="BU40" s="16"/>
    </row>
    <row r="41" spans="2:73" s="17" customFormat="1" ht="15.75">
      <c r="B41" s="691"/>
      <c r="C41" s="691" t="s">
        <v>2</v>
      </c>
      <c r="D41" s="691"/>
      <c r="E41" s="691" t="s">
        <v>690</v>
      </c>
      <c r="F41" s="691" t="s">
        <v>29</v>
      </c>
      <c r="G41" s="691"/>
      <c r="H41" s="691">
        <v>2012</v>
      </c>
      <c r="I41" s="644" t="s">
        <v>580</v>
      </c>
      <c r="J41" s="644" t="s">
        <v>597</v>
      </c>
      <c r="K41" s="633"/>
      <c r="L41" s="695">
        <v>0</v>
      </c>
      <c r="M41" s="696">
        <v>0.30700225932008651</v>
      </c>
      <c r="N41" s="696">
        <v>0.30700225932008651</v>
      </c>
      <c r="O41" s="696">
        <v>0.30700225932008651</v>
      </c>
      <c r="P41" s="696">
        <v>0.30092695980086182</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7">
        <v>0</v>
      </c>
      <c r="AP41" s="633"/>
      <c r="AQ41" s="706">
        <v>0</v>
      </c>
      <c r="AR41" s="707">
        <v>542.0042224714316</v>
      </c>
      <c r="AS41" s="708">
        <v>542.0042224714316</v>
      </c>
      <c r="AT41" s="707">
        <v>542.0042224714316</v>
      </c>
      <c r="AU41" s="708">
        <v>536.57135902159587</v>
      </c>
      <c r="AV41" s="707">
        <v>0</v>
      </c>
      <c r="AW41" s="708">
        <v>0</v>
      </c>
      <c r="AX41" s="707">
        <v>0</v>
      </c>
      <c r="AY41" s="708">
        <v>0</v>
      </c>
      <c r="AZ41" s="707">
        <v>0</v>
      </c>
      <c r="BA41" s="708">
        <v>0</v>
      </c>
      <c r="BB41" s="707">
        <v>0</v>
      </c>
      <c r="BC41" s="708">
        <v>0</v>
      </c>
      <c r="BD41" s="707">
        <v>0</v>
      </c>
      <c r="BE41" s="708">
        <v>0</v>
      </c>
      <c r="BF41" s="707">
        <v>0</v>
      </c>
      <c r="BG41" s="708">
        <v>0</v>
      </c>
      <c r="BH41" s="707">
        <v>0</v>
      </c>
      <c r="BI41" s="708">
        <v>0</v>
      </c>
      <c r="BJ41" s="707">
        <v>0</v>
      </c>
      <c r="BK41" s="708">
        <v>0</v>
      </c>
      <c r="BL41" s="707">
        <v>0</v>
      </c>
      <c r="BM41" s="708">
        <v>0</v>
      </c>
      <c r="BN41" s="707">
        <v>0</v>
      </c>
      <c r="BO41" s="708">
        <v>0</v>
      </c>
      <c r="BP41" s="707">
        <v>0</v>
      </c>
      <c r="BQ41" s="708">
        <v>0</v>
      </c>
      <c r="BR41" s="707">
        <v>0</v>
      </c>
      <c r="BS41" s="708">
        <v>0</v>
      </c>
      <c r="BT41" s="709">
        <v>0</v>
      </c>
      <c r="BU41" s="16"/>
    </row>
    <row r="42" spans="2:73" s="17" customFormat="1" ht="15.75">
      <c r="B42" s="691"/>
      <c r="C42" s="691" t="s">
        <v>1</v>
      </c>
      <c r="D42" s="691"/>
      <c r="E42" s="691" t="s">
        <v>690</v>
      </c>
      <c r="F42" s="691" t="s">
        <v>29</v>
      </c>
      <c r="G42" s="691"/>
      <c r="H42" s="691">
        <v>2012</v>
      </c>
      <c r="I42" s="644" t="s">
        <v>580</v>
      </c>
      <c r="J42" s="644" t="s">
        <v>597</v>
      </c>
      <c r="K42" s="633"/>
      <c r="L42" s="695">
        <v>0</v>
      </c>
      <c r="M42" s="696">
        <v>5.1713546641434291</v>
      </c>
      <c r="N42" s="696">
        <v>5.1713546641434291</v>
      </c>
      <c r="O42" s="696">
        <v>5.1713546641434291</v>
      </c>
      <c r="P42" s="696">
        <v>5.1713546641434291</v>
      </c>
      <c r="Q42" s="696">
        <v>3.5817314430221332</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3"/>
      <c r="AQ42" s="710">
        <v>0</v>
      </c>
      <c r="AR42" s="711">
        <v>38949.134989276099</v>
      </c>
      <c r="AS42" s="712">
        <v>38949.134989276099</v>
      </c>
      <c r="AT42" s="711">
        <v>38949.134989276099</v>
      </c>
      <c r="AU42" s="712">
        <v>38949.134989276099</v>
      </c>
      <c r="AV42" s="711">
        <v>27241.702004079536</v>
      </c>
      <c r="AW42" s="712">
        <v>0</v>
      </c>
      <c r="AX42" s="711">
        <v>0</v>
      </c>
      <c r="AY42" s="712">
        <v>0</v>
      </c>
      <c r="AZ42" s="711">
        <v>0</v>
      </c>
      <c r="BA42" s="712">
        <v>0</v>
      </c>
      <c r="BB42" s="711">
        <v>0</v>
      </c>
      <c r="BC42" s="712">
        <v>0</v>
      </c>
      <c r="BD42" s="711">
        <v>0</v>
      </c>
      <c r="BE42" s="712">
        <v>0</v>
      </c>
      <c r="BF42" s="711">
        <v>0</v>
      </c>
      <c r="BG42" s="712">
        <v>0</v>
      </c>
      <c r="BH42" s="711">
        <v>0</v>
      </c>
      <c r="BI42" s="712">
        <v>0</v>
      </c>
      <c r="BJ42" s="711">
        <v>0</v>
      </c>
      <c r="BK42" s="712">
        <v>0</v>
      </c>
      <c r="BL42" s="711">
        <v>0</v>
      </c>
      <c r="BM42" s="712">
        <v>0</v>
      </c>
      <c r="BN42" s="711">
        <v>0</v>
      </c>
      <c r="BO42" s="712">
        <v>0</v>
      </c>
      <c r="BP42" s="711">
        <v>0</v>
      </c>
      <c r="BQ42" s="712">
        <v>0</v>
      </c>
      <c r="BR42" s="711">
        <v>0</v>
      </c>
      <c r="BS42" s="712">
        <v>0</v>
      </c>
      <c r="BT42" s="713">
        <v>0</v>
      </c>
      <c r="BU42" s="16"/>
    </row>
    <row r="43" spans="2:73" s="17" customFormat="1" ht="15.75">
      <c r="B43" s="691"/>
      <c r="C43" s="691" t="s">
        <v>5</v>
      </c>
      <c r="D43" s="691"/>
      <c r="E43" s="691" t="s">
        <v>690</v>
      </c>
      <c r="F43" s="691" t="s">
        <v>29</v>
      </c>
      <c r="G43" s="691"/>
      <c r="H43" s="691">
        <v>2012</v>
      </c>
      <c r="I43" s="644" t="s">
        <v>580</v>
      </c>
      <c r="J43" s="644" t="s">
        <v>597</v>
      </c>
      <c r="K43" s="633"/>
      <c r="L43" s="695">
        <v>0</v>
      </c>
      <c r="M43" s="696">
        <v>4.2294320984335121</v>
      </c>
      <c r="N43" s="696">
        <v>4.2294320984335121</v>
      </c>
      <c r="O43" s="696">
        <v>4.2294320984335121</v>
      </c>
      <c r="P43" s="696">
        <v>4.2294320984335121</v>
      </c>
      <c r="Q43" s="696">
        <v>3.871280876622532</v>
      </c>
      <c r="R43" s="696">
        <v>3.2760159118619909</v>
      </c>
      <c r="S43" s="696">
        <v>2.4525333066829149</v>
      </c>
      <c r="T43" s="696">
        <v>2.4434782179035053</v>
      </c>
      <c r="U43" s="696">
        <v>2.4434782179035053</v>
      </c>
      <c r="V43" s="696">
        <v>1.5758260534113691</v>
      </c>
      <c r="W43" s="696">
        <v>0.61652493721572144</v>
      </c>
      <c r="X43" s="696">
        <v>0.616470805199551</v>
      </c>
      <c r="Y43" s="696">
        <v>0.616470805199551</v>
      </c>
      <c r="Z43" s="696">
        <v>0.6058917108330516</v>
      </c>
      <c r="AA43" s="696">
        <v>0.6058917108330516</v>
      </c>
      <c r="AB43" s="696">
        <v>0.59083794054024041</v>
      </c>
      <c r="AC43" s="696">
        <v>0.1657777296075516</v>
      </c>
      <c r="AD43" s="696">
        <v>0.1657777296075516</v>
      </c>
      <c r="AE43" s="696">
        <v>0.1657777296075516</v>
      </c>
      <c r="AF43" s="696">
        <v>0.1657777296075516</v>
      </c>
      <c r="AG43" s="696">
        <v>0</v>
      </c>
      <c r="AH43" s="696">
        <v>0</v>
      </c>
      <c r="AI43" s="696">
        <v>0</v>
      </c>
      <c r="AJ43" s="696">
        <v>0</v>
      </c>
      <c r="AK43" s="696">
        <v>0</v>
      </c>
      <c r="AL43" s="696">
        <v>0</v>
      </c>
      <c r="AM43" s="696">
        <v>0</v>
      </c>
      <c r="AN43" s="696">
        <v>0</v>
      </c>
      <c r="AO43" s="697">
        <v>0</v>
      </c>
      <c r="AP43" s="633"/>
      <c r="AQ43" s="714">
        <v>0</v>
      </c>
      <c r="AR43" s="715">
        <v>76535.503542561826</v>
      </c>
      <c r="AS43" s="716">
        <v>76535.503542561826</v>
      </c>
      <c r="AT43" s="715">
        <v>76535.503542561826</v>
      </c>
      <c r="AU43" s="716">
        <v>76535.503542561826</v>
      </c>
      <c r="AV43" s="715">
        <v>68800.548836341186</v>
      </c>
      <c r="AW43" s="716">
        <v>55944.67327254705</v>
      </c>
      <c r="AX43" s="715">
        <v>38160.005052757042</v>
      </c>
      <c r="AY43" s="716">
        <v>38080.68247504942</v>
      </c>
      <c r="AZ43" s="715">
        <v>38080.68247504942</v>
      </c>
      <c r="BA43" s="716">
        <v>19342.088874374971</v>
      </c>
      <c r="BB43" s="715">
        <v>14354.352827056342</v>
      </c>
      <c r="BC43" s="716">
        <v>13908.243088721732</v>
      </c>
      <c r="BD43" s="715">
        <v>13908.243088721732</v>
      </c>
      <c r="BE43" s="716">
        <v>12937.240662527356</v>
      </c>
      <c r="BF43" s="715">
        <v>12937.240662527356</v>
      </c>
      <c r="BG43" s="716">
        <v>12760.265581914942</v>
      </c>
      <c r="BH43" s="715">
        <v>3580.2843930859085</v>
      </c>
      <c r="BI43" s="716">
        <v>3580.2843930859085</v>
      </c>
      <c r="BJ43" s="715">
        <v>3580.2843930859085</v>
      </c>
      <c r="BK43" s="716">
        <v>3580.2843930859085</v>
      </c>
      <c r="BL43" s="715">
        <v>0</v>
      </c>
      <c r="BM43" s="716">
        <v>0</v>
      </c>
      <c r="BN43" s="715">
        <v>0</v>
      </c>
      <c r="BO43" s="716">
        <v>0</v>
      </c>
      <c r="BP43" s="715">
        <v>0</v>
      </c>
      <c r="BQ43" s="716">
        <v>0</v>
      </c>
      <c r="BR43" s="715">
        <v>0</v>
      </c>
      <c r="BS43" s="716">
        <v>0</v>
      </c>
      <c r="BT43" s="717">
        <v>0</v>
      </c>
      <c r="BU43" s="16"/>
    </row>
    <row r="44" spans="2:73" s="17" customFormat="1" ht="15.75">
      <c r="B44" s="691"/>
      <c r="C44" s="691" t="s">
        <v>4</v>
      </c>
      <c r="D44" s="691"/>
      <c r="E44" s="691" t="s">
        <v>690</v>
      </c>
      <c r="F44" s="691" t="s">
        <v>29</v>
      </c>
      <c r="G44" s="691"/>
      <c r="H44" s="691">
        <v>2012</v>
      </c>
      <c r="I44" s="644" t="s">
        <v>580</v>
      </c>
      <c r="J44" s="644" t="s">
        <v>597</v>
      </c>
      <c r="K44" s="633"/>
      <c r="L44" s="695">
        <v>0</v>
      </c>
      <c r="M44" s="696">
        <v>0.65847157903660603</v>
      </c>
      <c r="N44" s="696">
        <v>0.65847157903660603</v>
      </c>
      <c r="O44" s="696">
        <v>0.65847157903660603</v>
      </c>
      <c r="P44" s="696">
        <v>0.65847157903660603</v>
      </c>
      <c r="Q44" s="696">
        <v>0.65569202851862141</v>
      </c>
      <c r="R44" s="696">
        <v>0.65569202851862141</v>
      </c>
      <c r="S44" s="696">
        <v>0.55927135041890519</v>
      </c>
      <c r="T44" s="696">
        <v>0.55810372054998147</v>
      </c>
      <c r="U44" s="696">
        <v>0.55810372054998147</v>
      </c>
      <c r="V44" s="696">
        <v>0.55810372054998147</v>
      </c>
      <c r="W44" s="696">
        <v>1.0266144038402977E-2</v>
      </c>
      <c r="X44" s="696">
        <v>1.025907389546646E-2</v>
      </c>
      <c r="Y44" s="696">
        <v>1.025907389546646E-2</v>
      </c>
      <c r="Z44" s="696">
        <v>9.8896538218546538E-3</v>
      </c>
      <c r="AA44" s="696">
        <v>9.8896538218546538E-3</v>
      </c>
      <c r="AB44" s="696">
        <v>9.2377188879140121E-3</v>
      </c>
      <c r="AC44" s="696">
        <v>0</v>
      </c>
      <c r="AD44" s="696">
        <v>0</v>
      </c>
      <c r="AE44" s="696">
        <v>0</v>
      </c>
      <c r="AF44" s="696">
        <v>0</v>
      </c>
      <c r="AG44" s="696">
        <v>0</v>
      </c>
      <c r="AH44" s="696">
        <v>0</v>
      </c>
      <c r="AI44" s="696">
        <v>0</v>
      </c>
      <c r="AJ44" s="696">
        <v>0</v>
      </c>
      <c r="AK44" s="696">
        <v>0</v>
      </c>
      <c r="AL44" s="696">
        <v>0</v>
      </c>
      <c r="AM44" s="696">
        <v>0</v>
      </c>
      <c r="AN44" s="696">
        <v>0</v>
      </c>
      <c r="AO44" s="697">
        <v>0</v>
      </c>
      <c r="AP44" s="633"/>
      <c r="AQ44" s="695">
        <v>0</v>
      </c>
      <c r="AR44" s="696">
        <v>3995.7204263027816</v>
      </c>
      <c r="AS44" s="696">
        <v>3995.7204263027816</v>
      </c>
      <c r="AT44" s="696">
        <v>3995.7204263027816</v>
      </c>
      <c r="AU44" s="696">
        <v>3995.7204263027816</v>
      </c>
      <c r="AV44" s="696">
        <v>3935.6907627111013</v>
      </c>
      <c r="AW44" s="696">
        <v>3935.6907627111013</v>
      </c>
      <c r="AX44" s="696">
        <v>1853.3034011010466</v>
      </c>
      <c r="AY44" s="696">
        <v>1843.0749634492736</v>
      </c>
      <c r="AZ44" s="696">
        <v>1843.0749634492736</v>
      </c>
      <c r="BA44" s="696">
        <v>1843.0749634492736</v>
      </c>
      <c r="BB44" s="696">
        <v>299.34362563543237</v>
      </c>
      <c r="BC44" s="696">
        <v>241.07755984784004</v>
      </c>
      <c r="BD44" s="696">
        <v>241.07755984784004</v>
      </c>
      <c r="BE44" s="696">
        <v>207.17032966962338</v>
      </c>
      <c r="BF44" s="696">
        <v>207.17032966962338</v>
      </c>
      <c r="BG44" s="696">
        <v>199.50605452499124</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75">
      <c r="B45" s="691"/>
      <c r="C45" s="691" t="s">
        <v>14</v>
      </c>
      <c r="D45" s="691"/>
      <c r="E45" s="691" t="s">
        <v>690</v>
      </c>
      <c r="F45" s="691" t="s">
        <v>29</v>
      </c>
      <c r="G45" s="691"/>
      <c r="H45" s="691">
        <v>2012</v>
      </c>
      <c r="I45" s="644" t="s">
        <v>580</v>
      </c>
      <c r="J45" s="644" t="s">
        <v>597</v>
      </c>
      <c r="K45" s="633"/>
      <c r="L45" s="695">
        <v>0</v>
      </c>
      <c r="M45" s="696">
        <v>1.1396128369960934</v>
      </c>
      <c r="N45" s="696">
        <v>1.0961857405491173</v>
      </c>
      <c r="O45" s="696">
        <v>1.0961857405491173</v>
      </c>
      <c r="P45" s="696">
        <v>1.0961857405491173</v>
      </c>
      <c r="Q45" s="696">
        <v>1.0961857405491173</v>
      </c>
      <c r="R45" s="696">
        <v>1.0961857405491173</v>
      </c>
      <c r="S45" s="696">
        <v>1.0716585735790434</v>
      </c>
      <c r="T45" s="696">
        <v>1.0716585735790434</v>
      </c>
      <c r="U45" s="696">
        <v>0.63219298096373677</v>
      </c>
      <c r="V45" s="696">
        <v>0.63219298096373677</v>
      </c>
      <c r="W45" s="696">
        <v>0.57442610058933496</v>
      </c>
      <c r="X45" s="696">
        <v>0.57442610058933496</v>
      </c>
      <c r="Y45" s="696">
        <v>0.28266652021557098</v>
      </c>
      <c r="Z45" s="696">
        <v>0.28266652021557098</v>
      </c>
      <c r="AA45" s="696">
        <v>0.19645622465759516</v>
      </c>
      <c r="AB45" s="696">
        <v>8.586110919713974E-2</v>
      </c>
      <c r="AC45" s="696">
        <v>8.586110919713974E-2</v>
      </c>
      <c r="AD45" s="696">
        <v>8.586110919713974E-2</v>
      </c>
      <c r="AE45" s="696">
        <v>8.586110919713974E-2</v>
      </c>
      <c r="AF45" s="696">
        <v>8.586110919713974E-2</v>
      </c>
      <c r="AG45" s="696">
        <v>8.586110919713974E-2</v>
      </c>
      <c r="AH45" s="696">
        <v>0</v>
      </c>
      <c r="AI45" s="696">
        <v>0</v>
      </c>
      <c r="AJ45" s="696">
        <v>0</v>
      </c>
      <c r="AK45" s="696">
        <v>0</v>
      </c>
      <c r="AL45" s="696">
        <v>0</v>
      </c>
      <c r="AM45" s="696">
        <v>0</v>
      </c>
      <c r="AN45" s="696">
        <v>0</v>
      </c>
      <c r="AO45" s="697">
        <v>0</v>
      </c>
      <c r="AP45" s="633"/>
      <c r="AQ45" s="695">
        <v>0</v>
      </c>
      <c r="AR45" s="696">
        <v>14523.323989868164</v>
      </c>
      <c r="AS45" s="696">
        <v>14523.324035644531</v>
      </c>
      <c r="AT45" s="696">
        <v>14523.324035644531</v>
      </c>
      <c r="AU45" s="696">
        <v>13687.323989868166</v>
      </c>
      <c r="AV45" s="696">
        <v>13372.323989868162</v>
      </c>
      <c r="AW45" s="696">
        <v>13372.323989868162</v>
      </c>
      <c r="AX45" s="696">
        <v>12900.15998840332</v>
      </c>
      <c r="AY45" s="696">
        <v>12159.940002441406</v>
      </c>
      <c r="AZ45" s="696">
        <v>3699.9400024414063</v>
      </c>
      <c r="BA45" s="696">
        <v>3699.9400024414063</v>
      </c>
      <c r="BB45" s="696">
        <v>3190</v>
      </c>
      <c r="BC45" s="696">
        <v>3190</v>
      </c>
      <c r="BD45" s="696">
        <v>2220</v>
      </c>
      <c r="BE45" s="696">
        <v>2220</v>
      </c>
      <c r="BF45" s="696">
        <v>1545</v>
      </c>
      <c r="BG45" s="696">
        <v>633</v>
      </c>
      <c r="BH45" s="696">
        <v>633</v>
      </c>
      <c r="BI45" s="696">
        <v>633</v>
      </c>
      <c r="BJ45" s="696">
        <v>633</v>
      </c>
      <c r="BK45" s="696">
        <v>633</v>
      </c>
      <c r="BL45" s="696">
        <v>633</v>
      </c>
      <c r="BM45" s="696">
        <v>0</v>
      </c>
      <c r="BN45" s="696">
        <v>0</v>
      </c>
      <c r="BO45" s="696">
        <v>0</v>
      </c>
      <c r="BP45" s="696">
        <v>0</v>
      </c>
      <c r="BQ45" s="696">
        <v>0</v>
      </c>
      <c r="BR45" s="696">
        <v>0</v>
      </c>
      <c r="BS45" s="696">
        <v>0</v>
      </c>
      <c r="BT45" s="697">
        <v>0</v>
      </c>
      <c r="BU45" s="16"/>
    </row>
    <row r="46" spans="2:73" s="17" customFormat="1" ht="15.75">
      <c r="B46" s="691"/>
      <c r="C46" s="691" t="s">
        <v>17</v>
      </c>
      <c r="D46" s="691"/>
      <c r="E46" s="691" t="s">
        <v>690</v>
      </c>
      <c r="F46" s="691" t="s">
        <v>689</v>
      </c>
      <c r="G46" s="691"/>
      <c r="H46" s="691">
        <v>2012</v>
      </c>
      <c r="I46" s="644" t="s">
        <v>580</v>
      </c>
      <c r="J46" s="644" t="s">
        <v>597</v>
      </c>
      <c r="K46" s="633"/>
      <c r="L46" s="695">
        <v>0</v>
      </c>
      <c r="M46" s="696">
        <v>0.32292648347659642</v>
      </c>
      <c r="N46" s="696">
        <v>0.32292648347659642</v>
      </c>
      <c r="O46" s="696">
        <v>0.32292648347659642</v>
      </c>
      <c r="P46" s="696">
        <v>0.32292648347659642</v>
      </c>
      <c r="Q46" s="696">
        <v>0.32292648347659642</v>
      </c>
      <c r="R46" s="696">
        <v>0.32292648347659642</v>
      </c>
      <c r="S46" s="696">
        <v>0.32292648347659642</v>
      </c>
      <c r="T46" s="696">
        <v>0.32292648347659642</v>
      </c>
      <c r="U46" s="696">
        <v>0.32292648347659642</v>
      </c>
      <c r="V46" s="696">
        <v>0.32292648347659642</v>
      </c>
      <c r="W46" s="696">
        <v>0.32292648347659642</v>
      </c>
      <c r="X46" s="696">
        <v>0.32292648347659642</v>
      </c>
      <c r="Y46" s="696">
        <v>0</v>
      </c>
      <c r="Z46" s="696">
        <v>0</v>
      </c>
      <c r="AA46" s="696">
        <v>0</v>
      </c>
      <c r="AB46" s="696">
        <v>0</v>
      </c>
      <c r="AC46" s="696">
        <v>0</v>
      </c>
      <c r="AD46" s="696">
        <v>0</v>
      </c>
      <c r="AE46" s="696">
        <v>0</v>
      </c>
      <c r="AF46" s="696">
        <v>0</v>
      </c>
      <c r="AG46" s="696">
        <v>0</v>
      </c>
      <c r="AH46" s="696">
        <v>0</v>
      </c>
      <c r="AI46" s="696">
        <v>0</v>
      </c>
      <c r="AJ46" s="696">
        <v>0</v>
      </c>
      <c r="AK46" s="696">
        <v>0</v>
      </c>
      <c r="AL46" s="696">
        <v>0</v>
      </c>
      <c r="AM46" s="696">
        <v>0</v>
      </c>
      <c r="AN46" s="696">
        <v>0</v>
      </c>
      <c r="AO46" s="697">
        <v>0</v>
      </c>
      <c r="AP46" s="633"/>
      <c r="AQ46" s="695">
        <v>0</v>
      </c>
      <c r="AR46" s="696">
        <v>312.86289399373942</v>
      </c>
      <c r="AS46" s="696">
        <v>312.86289399373942</v>
      </c>
      <c r="AT46" s="696">
        <v>312.86289399373942</v>
      </c>
      <c r="AU46" s="696">
        <v>312.86289399373942</v>
      </c>
      <c r="AV46" s="696">
        <v>312.86289399373942</v>
      </c>
      <c r="AW46" s="696">
        <v>312.86289399373942</v>
      </c>
      <c r="AX46" s="696">
        <v>312.86289399373942</v>
      </c>
      <c r="AY46" s="696">
        <v>312.86289399373942</v>
      </c>
      <c r="AZ46" s="696">
        <v>312.86289399373942</v>
      </c>
      <c r="BA46" s="696">
        <v>312.86289399373942</v>
      </c>
      <c r="BB46" s="696">
        <v>312.86289399373942</v>
      </c>
      <c r="BC46" s="696">
        <v>312.86289399373942</v>
      </c>
      <c r="BD46" s="696">
        <v>0</v>
      </c>
      <c r="BE46" s="696">
        <v>0</v>
      </c>
      <c r="BF46" s="696">
        <v>0</v>
      </c>
      <c r="BG46" s="696">
        <v>0</v>
      </c>
      <c r="BH46" s="696">
        <v>0</v>
      </c>
      <c r="BI46" s="696">
        <v>0</v>
      </c>
      <c r="BJ46" s="696">
        <v>0</v>
      </c>
      <c r="BK46" s="696">
        <v>0</v>
      </c>
      <c r="BL46" s="696">
        <v>0</v>
      </c>
      <c r="BM46" s="696">
        <v>0</v>
      </c>
      <c r="BN46" s="696">
        <v>0</v>
      </c>
      <c r="BO46" s="696">
        <v>0</v>
      </c>
      <c r="BP46" s="696">
        <v>0</v>
      </c>
      <c r="BQ46" s="696">
        <v>0</v>
      </c>
      <c r="BR46" s="696">
        <v>0</v>
      </c>
      <c r="BS46" s="696">
        <v>0</v>
      </c>
      <c r="BT46" s="697">
        <v>0</v>
      </c>
      <c r="BU46" s="16"/>
    </row>
    <row r="47" spans="2:73" s="17" customFormat="1" ht="15.75">
      <c r="B47" s="691"/>
      <c r="C47" s="691" t="s">
        <v>9</v>
      </c>
      <c r="D47" s="691"/>
      <c r="E47" s="691" t="s">
        <v>690</v>
      </c>
      <c r="F47" s="691" t="s">
        <v>691</v>
      </c>
      <c r="G47" s="691"/>
      <c r="H47" s="691">
        <v>2012</v>
      </c>
      <c r="I47" s="644" t="s">
        <v>580</v>
      </c>
      <c r="J47" s="644" t="s">
        <v>597</v>
      </c>
      <c r="K47" s="633"/>
      <c r="L47" s="695">
        <v>0</v>
      </c>
      <c r="M47" s="696">
        <v>37.274569499999998</v>
      </c>
      <c r="N47" s="696">
        <v>0</v>
      </c>
      <c r="O47" s="696">
        <v>0</v>
      </c>
      <c r="P47" s="696">
        <v>0</v>
      </c>
      <c r="Q47" s="696">
        <v>0</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3"/>
      <c r="AQ47" s="695">
        <v>0</v>
      </c>
      <c r="AR47" s="696">
        <v>541.79780000000005</v>
      </c>
      <c r="AS47" s="696">
        <v>0</v>
      </c>
      <c r="AT47" s="696">
        <v>0</v>
      </c>
      <c r="AU47" s="696">
        <v>0</v>
      </c>
      <c r="AV47" s="696">
        <v>0</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75">
      <c r="B48" s="691"/>
      <c r="C48" s="691" t="s">
        <v>20</v>
      </c>
      <c r="D48" s="691"/>
      <c r="E48" s="691" t="s">
        <v>690</v>
      </c>
      <c r="F48" s="691" t="s">
        <v>689</v>
      </c>
      <c r="G48" s="691"/>
      <c r="H48" s="691">
        <v>2012</v>
      </c>
      <c r="I48" s="644" t="s">
        <v>580</v>
      </c>
      <c r="J48" s="644" t="s">
        <v>597</v>
      </c>
      <c r="K48" s="633"/>
      <c r="L48" s="695">
        <v>0</v>
      </c>
      <c r="M48" s="696">
        <v>0</v>
      </c>
      <c r="N48" s="696">
        <v>0</v>
      </c>
      <c r="O48" s="696">
        <v>0</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7">
        <v>0</v>
      </c>
      <c r="AP48" s="633"/>
      <c r="AQ48" s="695">
        <v>0</v>
      </c>
      <c r="AR48" s="696">
        <v>17855</v>
      </c>
      <c r="AS48" s="696">
        <v>17855</v>
      </c>
      <c r="AT48" s="696">
        <v>17855</v>
      </c>
      <c r="AU48" s="696">
        <v>17855</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7">
        <v>0</v>
      </c>
      <c r="BU48" s="16"/>
    </row>
    <row r="49" spans="2:73" s="17" customFormat="1" ht="15.75">
      <c r="B49" s="691"/>
      <c r="C49" s="691" t="s">
        <v>22</v>
      </c>
      <c r="D49" s="691"/>
      <c r="E49" s="691" t="s">
        <v>690</v>
      </c>
      <c r="F49" s="691" t="s">
        <v>689</v>
      </c>
      <c r="G49" s="691"/>
      <c r="H49" s="691">
        <v>2013</v>
      </c>
      <c r="I49" s="644" t="s">
        <v>581</v>
      </c>
      <c r="J49" s="644" t="s">
        <v>597</v>
      </c>
      <c r="K49" s="633"/>
      <c r="L49" s="695">
        <v>0</v>
      </c>
      <c r="M49" s="696">
        <v>0</v>
      </c>
      <c r="N49" s="696">
        <v>178.86134415618662</v>
      </c>
      <c r="O49" s="696">
        <v>178.86134415618662</v>
      </c>
      <c r="P49" s="696">
        <v>177.8275051476511</v>
      </c>
      <c r="Q49" s="696">
        <v>177.8275051476511</v>
      </c>
      <c r="R49" s="696">
        <v>171.51420577817336</v>
      </c>
      <c r="S49" s="696">
        <v>164.37154174240908</v>
      </c>
      <c r="T49" s="696">
        <v>164.37154174240908</v>
      </c>
      <c r="U49" s="696">
        <v>164.37154174240908</v>
      </c>
      <c r="V49" s="696">
        <v>164.17318850368616</v>
      </c>
      <c r="W49" s="696">
        <v>148.55369093701233</v>
      </c>
      <c r="X49" s="696">
        <v>130.35114389348058</v>
      </c>
      <c r="Y49" s="696">
        <v>130.35114389348058</v>
      </c>
      <c r="Z49" s="696">
        <v>87.867501416930153</v>
      </c>
      <c r="AA49" s="696">
        <v>73.812676088149047</v>
      </c>
      <c r="AB49" s="696">
        <v>73.812676088149047</v>
      </c>
      <c r="AC49" s="696">
        <v>60.945369587539524</v>
      </c>
      <c r="AD49" s="696">
        <v>8.0914329224736932</v>
      </c>
      <c r="AE49" s="696">
        <v>8.0914329224736932</v>
      </c>
      <c r="AF49" s="696">
        <v>8.0914329224736932</v>
      </c>
      <c r="AG49" s="696">
        <v>8.0914329224736932</v>
      </c>
      <c r="AH49" s="696">
        <v>0</v>
      </c>
      <c r="AI49" s="696">
        <v>0</v>
      </c>
      <c r="AJ49" s="696">
        <v>0</v>
      </c>
      <c r="AK49" s="696">
        <v>0</v>
      </c>
      <c r="AL49" s="696">
        <v>0</v>
      </c>
      <c r="AM49" s="696">
        <v>0</v>
      </c>
      <c r="AN49" s="696">
        <v>0</v>
      </c>
      <c r="AO49" s="697">
        <v>0</v>
      </c>
      <c r="AP49" s="633"/>
      <c r="AQ49" s="695">
        <v>0</v>
      </c>
      <c r="AR49" s="696">
        <v>0</v>
      </c>
      <c r="AS49" s="696">
        <v>1047116.7699332013</v>
      </c>
      <c r="AT49" s="696">
        <v>1030338.4733909436</v>
      </c>
      <c r="AU49" s="696">
        <v>1027108.7872834338</v>
      </c>
      <c r="AV49" s="696">
        <v>1027108.7872834338</v>
      </c>
      <c r="AW49" s="696">
        <v>1006547.374169114</v>
      </c>
      <c r="AX49" s="696">
        <v>996103.70773962722</v>
      </c>
      <c r="AY49" s="696">
        <v>996103.70773962722</v>
      </c>
      <c r="AZ49" s="696">
        <v>992633.79295179737</v>
      </c>
      <c r="BA49" s="696">
        <v>990094.13585562445</v>
      </c>
      <c r="BB49" s="696">
        <v>913962.35800350958</v>
      </c>
      <c r="BC49" s="696">
        <v>790842.15730844915</v>
      </c>
      <c r="BD49" s="696">
        <v>762071.48700074444</v>
      </c>
      <c r="BE49" s="696">
        <v>519004.40141774382</v>
      </c>
      <c r="BF49" s="696">
        <v>475190.76751172019</v>
      </c>
      <c r="BG49" s="696">
        <v>475190.76751172019</v>
      </c>
      <c r="BH49" s="696">
        <v>386751.0300939146</v>
      </c>
      <c r="BI49" s="696">
        <v>23474.669191629779</v>
      </c>
      <c r="BJ49" s="696">
        <v>23474.669191629779</v>
      </c>
      <c r="BK49" s="696">
        <v>23474.669191629779</v>
      </c>
      <c r="BL49" s="696">
        <v>23474.669191629779</v>
      </c>
      <c r="BM49" s="696">
        <v>0</v>
      </c>
      <c r="BN49" s="696">
        <v>0</v>
      </c>
      <c r="BO49" s="696">
        <v>0</v>
      </c>
      <c r="BP49" s="696">
        <v>0</v>
      </c>
      <c r="BQ49" s="696">
        <v>0</v>
      </c>
      <c r="BR49" s="696">
        <v>0</v>
      </c>
      <c r="BS49" s="696">
        <v>0</v>
      </c>
      <c r="BT49" s="697">
        <v>0</v>
      </c>
      <c r="BU49" s="16"/>
    </row>
    <row r="50" spans="2:73" s="17" customFormat="1" ht="15.75">
      <c r="B50" s="691"/>
      <c r="C50" s="691" t="s">
        <v>3</v>
      </c>
      <c r="D50" s="691"/>
      <c r="E50" s="691" t="s">
        <v>690</v>
      </c>
      <c r="F50" s="691" t="s">
        <v>29</v>
      </c>
      <c r="G50" s="691"/>
      <c r="H50" s="691">
        <v>2013</v>
      </c>
      <c r="I50" s="644" t="s">
        <v>581</v>
      </c>
      <c r="J50" s="644" t="s">
        <v>597</v>
      </c>
      <c r="K50" s="633"/>
      <c r="L50" s="695">
        <v>0</v>
      </c>
      <c r="M50" s="696">
        <v>0</v>
      </c>
      <c r="N50" s="696">
        <v>34.690399470213187</v>
      </c>
      <c r="O50" s="696">
        <v>34.690399470213187</v>
      </c>
      <c r="P50" s="696">
        <v>34.690399470213187</v>
      </c>
      <c r="Q50" s="696">
        <v>34.690399470213187</v>
      </c>
      <c r="R50" s="696">
        <v>34.690399470213187</v>
      </c>
      <c r="S50" s="696">
        <v>34.690399470213187</v>
      </c>
      <c r="T50" s="696">
        <v>34.690399470213187</v>
      </c>
      <c r="U50" s="696">
        <v>34.690399470213187</v>
      </c>
      <c r="V50" s="696">
        <v>34.690399470213187</v>
      </c>
      <c r="W50" s="696">
        <v>34.690399470213187</v>
      </c>
      <c r="X50" s="696">
        <v>34.690399470213187</v>
      </c>
      <c r="Y50" s="696">
        <v>34.690399470213187</v>
      </c>
      <c r="Z50" s="696">
        <v>34.690399470213187</v>
      </c>
      <c r="AA50" s="696">
        <v>34.690399470213187</v>
      </c>
      <c r="AB50" s="696">
        <v>34.690399470213187</v>
      </c>
      <c r="AC50" s="696">
        <v>34.690399470213187</v>
      </c>
      <c r="AD50" s="696">
        <v>34.690399470213187</v>
      </c>
      <c r="AE50" s="696">
        <v>34.690399470213187</v>
      </c>
      <c r="AF50" s="696">
        <v>30.76362644597053</v>
      </c>
      <c r="AG50" s="696">
        <v>0</v>
      </c>
      <c r="AH50" s="696">
        <v>0</v>
      </c>
      <c r="AI50" s="696">
        <v>0</v>
      </c>
      <c r="AJ50" s="696">
        <v>0</v>
      </c>
      <c r="AK50" s="696">
        <v>0</v>
      </c>
      <c r="AL50" s="696">
        <v>0</v>
      </c>
      <c r="AM50" s="696">
        <v>0</v>
      </c>
      <c r="AN50" s="696">
        <v>0</v>
      </c>
      <c r="AO50" s="697">
        <v>0</v>
      </c>
      <c r="AP50" s="633"/>
      <c r="AQ50" s="695">
        <v>0</v>
      </c>
      <c r="AR50" s="696">
        <v>0</v>
      </c>
      <c r="AS50" s="696">
        <v>63246.155788642405</v>
      </c>
      <c r="AT50" s="696">
        <v>63246.155788642405</v>
      </c>
      <c r="AU50" s="696">
        <v>63246.155788642405</v>
      </c>
      <c r="AV50" s="696">
        <v>63246.155788642405</v>
      </c>
      <c r="AW50" s="696">
        <v>63246.155788642405</v>
      </c>
      <c r="AX50" s="696">
        <v>63246.155788642405</v>
      </c>
      <c r="AY50" s="696">
        <v>63246.155788642405</v>
      </c>
      <c r="AZ50" s="696">
        <v>63246.155788642405</v>
      </c>
      <c r="BA50" s="696">
        <v>63246.155788642405</v>
      </c>
      <c r="BB50" s="696">
        <v>63246.155788642405</v>
      </c>
      <c r="BC50" s="696">
        <v>63246.155788642405</v>
      </c>
      <c r="BD50" s="696">
        <v>63246.155788642405</v>
      </c>
      <c r="BE50" s="696">
        <v>63246.155788642405</v>
      </c>
      <c r="BF50" s="696">
        <v>63246.155788642405</v>
      </c>
      <c r="BG50" s="696">
        <v>63246.155788642405</v>
      </c>
      <c r="BH50" s="696">
        <v>63246.155788642405</v>
      </c>
      <c r="BI50" s="696">
        <v>63246.155788642405</v>
      </c>
      <c r="BJ50" s="696">
        <v>63246.155788642405</v>
      </c>
      <c r="BK50" s="696">
        <v>59734.621654119408</v>
      </c>
      <c r="BL50" s="696">
        <v>0</v>
      </c>
      <c r="BM50" s="696">
        <v>0</v>
      </c>
      <c r="BN50" s="696">
        <v>0</v>
      </c>
      <c r="BO50" s="696">
        <v>0</v>
      </c>
      <c r="BP50" s="696">
        <v>0</v>
      </c>
      <c r="BQ50" s="696">
        <v>0</v>
      </c>
      <c r="BR50" s="696">
        <v>0</v>
      </c>
      <c r="BS50" s="696">
        <v>0</v>
      </c>
      <c r="BT50" s="697">
        <v>0</v>
      </c>
      <c r="BU50" s="16"/>
    </row>
    <row r="51" spans="2:73" s="17" customFormat="1" ht="15.75">
      <c r="B51" s="691"/>
      <c r="C51" s="691" t="s">
        <v>1</v>
      </c>
      <c r="D51" s="691"/>
      <c r="E51" s="691" t="s">
        <v>690</v>
      </c>
      <c r="F51" s="691" t="s">
        <v>29</v>
      </c>
      <c r="G51" s="691"/>
      <c r="H51" s="691">
        <v>2013</v>
      </c>
      <c r="I51" s="644" t="s">
        <v>581</v>
      </c>
      <c r="J51" s="644" t="s">
        <v>597</v>
      </c>
      <c r="K51" s="633"/>
      <c r="L51" s="695">
        <v>0</v>
      </c>
      <c r="M51" s="696">
        <v>0</v>
      </c>
      <c r="N51" s="696">
        <v>2.9523212232111886</v>
      </c>
      <c r="O51" s="696">
        <v>2.9523212232111886</v>
      </c>
      <c r="P51" s="696">
        <v>2.9523212232111886</v>
      </c>
      <c r="Q51" s="696">
        <v>2.847537193591164</v>
      </c>
      <c r="R51" s="696">
        <v>1.5778427170262748</v>
      </c>
      <c r="S51" s="696">
        <v>0</v>
      </c>
      <c r="T51" s="696">
        <v>0</v>
      </c>
      <c r="U51" s="696">
        <v>0</v>
      </c>
      <c r="V51" s="696">
        <v>0</v>
      </c>
      <c r="W51" s="696">
        <v>0</v>
      </c>
      <c r="X51" s="696">
        <v>0</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3"/>
      <c r="AQ51" s="695">
        <v>0</v>
      </c>
      <c r="AR51" s="696">
        <v>0</v>
      </c>
      <c r="AS51" s="696">
        <v>19121.61350430387</v>
      </c>
      <c r="AT51" s="696">
        <v>19121.61350430387</v>
      </c>
      <c r="AU51" s="696">
        <v>19121.61350430387</v>
      </c>
      <c r="AV51" s="696">
        <v>19019.068985970534</v>
      </c>
      <c r="AW51" s="696">
        <v>10735.90253343334</v>
      </c>
      <c r="AX51" s="696">
        <v>0</v>
      </c>
      <c r="AY51" s="696">
        <v>0</v>
      </c>
      <c r="AZ51" s="696">
        <v>0</v>
      </c>
      <c r="BA51" s="696">
        <v>0</v>
      </c>
      <c r="BB51" s="696">
        <v>0</v>
      </c>
      <c r="BC51" s="696">
        <v>0</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75">
      <c r="B52" s="691"/>
      <c r="C52" s="691" t="s">
        <v>2</v>
      </c>
      <c r="D52" s="691"/>
      <c r="E52" s="691" t="s">
        <v>690</v>
      </c>
      <c r="F52" s="691" t="s">
        <v>29</v>
      </c>
      <c r="G52" s="691"/>
      <c r="H52" s="691">
        <v>2013</v>
      </c>
      <c r="I52" s="644" t="s">
        <v>581</v>
      </c>
      <c r="J52" s="644" t="s">
        <v>597</v>
      </c>
      <c r="K52" s="633"/>
      <c r="L52" s="695">
        <v>0</v>
      </c>
      <c r="M52" s="696">
        <v>0</v>
      </c>
      <c r="N52" s="696">
        <v>4.3510760798331551</v>
      </c>
      <c r="O52" s="696">
        <v>4.3510760798331551</v>
      </c>
      <c r="P52" s="696">
        <v>4.3510760798331551</v>
      </c>
      <c r="Q52" s="696">
        <v>4.3510760798331551</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3"/>
      <c r="AQ52" s="695">
        <v>0</v>
      </c>
      <c r="AR52" s="696">
        <v>0</v>
      </c>
      <c r="AS52" s="696">
        <v>7758.2374371089982</v>
      </c>
      <c r="AT52" s="696">
        <v>7758.2374371089982</v>
      </c>
      <c r="AU52" s="696">
        <v>7758.2374371089982</v>
      </c>
      <c r="AV52" s="696">
        <v>7758.2374371089982</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691"/>
      <c r="C53" s="691" t="s">
        <v>42</v>
      </c>
      <c r="D53" s="691"/>
      <c r="E53" s="691" t="s">
        <v>690</v>
      </c>
      <c r="F53" s="691" t="s">
        <v>29</v>
      </c>
      <c r="G53" s="691"/>
      <c r="H53" s="691">
        <v>2013</v>
      </c>
      <c r="I53" s="644" t="s">
        <v>581</v>
      </c>
      <c r="J53" s="644" t="s">
        <v>597</v>
      </c>
      <c r="K53" s="633"/>
      <c r="L53" s="695">
        <v>0</v>
      </c>
      <c r="M53" s="696">
        <v>0</v>
      </c>
      <c r="N53" s="696">
        <v>142.23673700000001</v>
      </c>
      <c r="O53" s="696">
        <v>0</v>
      </c>
      <c r="P53" s="696">
        <v>0</v>
      </c>
      <c r="Q53" s="696">
        <v>0</v>
      </c>
      <c r="R53" s="696">
        <v>0</v>
      </c>
      <c r="S53" s="696">
        <v>0</v>
      </c>
      <c r="T53" s="696">
        <v>0</v>
      </c>
      <c r="U53" s="696">
        <v>0</v>
      </c>
      <c r="V53" s="696">
        <v>0</v>
      </c>
      <c r="W53" s="696">
        <v>0</v>
      </c>
      <c r="X53" s="696">
        <v>0</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3"/>
      <c r="AQ53" s="695">
        <v>0</v>
      </c>
      <c r="AR53" s="696">
        <v>0</v>
      </c>
      <c r="AS53" s="696">
        <v>0</v>
      </c>
      <c r="AT53" s="696">
        <v>0</v>
      </c>
      <c r="AU53" s="696">
        <v>0</v>
      </c>
      <c r="AV53" s="696">
        <v>0</v>
      </c>
      <c r="AW53" s="696">
        <v>0</v>
      </c>
      <c r="AX53" s="696">
        <v>0</v>
      </c>
      <c r="AY53" s="696">
        <v>0</v>
      </c>
      <c r="AZ53" s="696">
        <v>0</v>
      </c>
      <c r="BA53" s="696">
        <v>0</v>
      </c>
      <c r="BB53" s="696">
        <v>0</v>
      </c>
      <c r="BC53" s="696">
        <v>0</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691"/>
      <c r="C54" s="691" t="s">
        <v>21</v>
      </c>
      <c r="D54" s="691"/>
      <c r="E54" s="691" t="s">
        <v>690</v>
      </c>
      <c r="F54" s="691" t="s">
        <v>689</v>
      </c>
      <c r="G54" s="691"/>
      <c r="H54" s="691">
        <v>2013</v>
      </c>
      <c r="I54" s="644" t="s">
        <v>581</v>
      </c>
      <c r="J54" s="644" t="s">
        <v>597</v>
      </c>
      <c r="K54" s="633"/>
      <c r="L54" s="695">
        <v>0</v>
      </c>
      <c r="M54" s="696">
        <v>0</v>
      </c>
      <c r="N54" s="696">
        <v>107.72378851764815</v>
      </c>
      <c r="O54" s="696">
        <v>107.72378851764815</v>
      </c>
      <c r="P54" s="696">
        <v>107.08467863821969</v>
      </c>
      <c r="Q54" s="696">
        <v>81.466509935737079</v>
      </c>
      <c r="R54" s="696">
        <v>56.799909660251394</v>
      </c>
      <c r="S54" s="696">
        <v>56.799909660251394</v>
      </c>
      <c r="T54" s="696">
        <v>56.799909660251394</v>
      </c>
      <c r="U54" s="696">
        <v>56.799909660251394</v>
      </c>
      <c r="V54" s="696">
        <v>56.799909660251394</v>
      </c>
      <c r="W54" s="696">
        <v>56.799909660251394</v>
      </c>
      <c r="X54" s="696">
        <v>55.63746421652445</v>
      </c>
      <c r="Y54" s="696">
        <v>9.7016528137499467</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3"/>
      <c r="AQ54" s="695">
        <v>0</v>
      </c>
      <c r="AR54" s="696">
        <v>0</v>
      </c>
      <c r="AS54" s="696">
        <v>399272.25947202044</v>
      </c>
      <c r="AT54" s="696">
        <v>399272.25947202044</v>
      </c>
      <c r="AU54" s="696">
        <v>397003.58726406761</v>
      </c>
      <c r="AV54" s="696">
        <v>298359.06338051625</v>
      </c>
      <c r="AW54" s="696">
        <v>219011.73278247629</v>
      </c>
      <c r="AX54" s="696">
        <v>219011.73278247629</v>
      </c>
      <c r="AY54" s="696">
        <v>219011.73278247629</v>
      </c>
      <c r="AZ54" s="696">
        <v>219011.73278247629</v>
      </c>
      <c r="BA54" s="696">
        <v>219011.73278247629</v>
      </c>
      <c r="BB54" s="696">
        <v>219011.73278247629</v>
      </c>
      <c r="BC54" s="696">
        <v>208466.17315011992</v>
      </c>
      <c r="BD54" s="696">
        <v>31639.221114271153</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691"/>
      <c r="C55" s="691" t="s">
        <v>14</v>
      </c>
      <c r="D55" s="691"/>
      <c r="E55" s="691" t="s">
        <v>690</v>
      </c>
      <c r="F55" s="691" t="s">
        <v>29</v>
      </c>
      <c r="G55" s="691"/>
      <c r="H55" s="691">
        <v>2013</v>
      </c>
      <c r="I55" s="644" t="s">
        <v>581</v>
      </c>
      <c r="J55" s="644" t="s">
        <v>597</v>
      </c>
      <c r="K55" s="633"/>
      <c r="L55" s="695">
        <v>0</v>
      </c>
      <c r="M55" s="696">
        <v>0</v>
      </c>
      <c r="N55" s="696">
        <v>2.5121929044835269</v>
      </c>
      <c r="O55" s="696">
        <v>2.5026842509396374</v>
      </c>
      <c r="P55" s="696">
        <v>2.5018198271282017</v>
      </c>
      <c r="Q55" s="696">
        <v>2.2270978040266898</v>
      </c>
      <c r="R55" s="696">
        <v>2.0798311721596714</v>
      </c>
      <c r="S55" s="696">
        <v>1.9459278567859806</v>
      </c>
      <c r="T55" s="696">
        <v>1.883456002285508</v>
      </c>
      <c r="U55" s="696">
        <v>1.883456002285508</v>
      </c>
      <c r="V55" s="696">
        <v>0.82835080288350582</v>
      </c>
      <c r="W55" s="696">
        <v>0.82835080288350582</v>
      </c>
      <c r="X55" s="696">
        <v>0.78799083270132542</v>
      </c>
      <c r="Y55" s="696">
        <v>0.78799083270132542</v>
      </c>
      <c r="Z55" s="696">
        <v>0.46041923202574253</v>
      </c>
      <c r="AA55" s="696">
        <v>0.46041923202574253</v>
      </c>
      <c r="AB55" s="696">
        <v>0.28844084776937962</v>
      </c>
      <c r="AC55" s="696">
        <v>8.5640899837017059E-2</v>
      </c>
      <c r="AD55" s="696">
        <v>8.5640899837017059E-2</v>
      </c>
      <c r="AE55" s="696">
        <v>8.5640899837017059E-2</v>
      </c>
      <c r="AF55" s="696">
        <v>8.5640899837017059E-2</v>
      </c>
      <c r="AG55" s="696">
        <v>8.5640899837017059E-2</v>
      </c>
      <c r="AH55" s="696">
        <v>8.5640899837017059E-2</v>
      </c>
      <c r="AI55" s="696">
        <v>0</v>
      </c>
      <c r="AJ55" s="696">
        <v>0</v>
      </c>
      <c r="AK55" s="696">
        <v>0</v>
      </c>
      <c r="AL55" s="696">
        <v>0</v>
      </c>
      <c r="AM55" s="696">
        <v>0</v>
      </c>
      <c r="AN55" s="696">
        <v>0</v>
      </c>
      <c r="AO55" s="697">
        <v>0</v>
      </c>
      <c r="AP55" s="633"/>
      <c r="AQ55" s="695">
        <v>0</v>
      </c>
      <c r="AR55" s="696">
        <v>0</v>
      </c>
      <c r="AS55" s="696">
        <v>24452.999999999993</v>
      </c>
      <c r="AT55" s="696">
        <v>24269.952178955071</v>
      </c>
      <c r="AU55" s="696">
        <v>24253.311492919915</v>
      </c>
      <c r="AV55" s="696">
        <v>21513.347449457426</v>
      </c>
      <c r="AW55" s="696">
        <v>19774.383681253639</v>
      </c>
      <c r="AX55" s="696">
        <v>18470.96450665985</v>
      </c>
      <c r="AY55" s="696">
        <v>17268.340376410826</v>
      </c>
      <c r="AZ55" s="696">
        <v>16388.49851850067</v>
      </c>
      <c r="BA55" s="696">
        <v>5072.1454849243164</v>
      </c>
      <c r="BB55" s="696">
        <v>5072.1454849243164</v>
      </c>
      <c r="BC55" s="696">
        <v>4739.3252410888672</v>
      </c>
      <c r="BD55" s="696">
        <v>4739.3252410888672</v>
      </c>
      <c r="BE55" s="696">
        <v>3650.2626190185547</v>
      </c>
      <c r="BF55" s="696">
        <v>3650.2626190185547</v>
      </c>
      <c r="BG55" s="696">
        <v>2303.7248992919922</v>
      </c>
      <c r="BH55" s="696">
        <v>631.3765869140625</v>
      </c>
      <c r="BI55" s="696">
        <v>631.3765869140625</v>
      </c>
      <c r="BJ55" s="696">
        <v>631.3765869140625</v>
      </c>
      <c r="BK55" s="696">
        <v>631.3765869140625</v>
      </c>
      <c r="BL55" s="696">
        <v>631.3765869140625</v>
      </c>
      <c r="BM55" s="696">
        <v>631.3765869140625</v>
      </c>
      <c r="BN55" s="696">
        <v>0</v>
      </c>
      <c r="BO55" s="696">
        <v>0</v>
      </c>
      <c r="BP55" s="696">
        <v>0</v>
      </c>
      <c r="BQ55" s="696">
        <v>0</v>
      </c>
      <c r="BR55" s="696">
        <v>0</v>
      </c>
      <c r="BS55" s="696">
        <v>0</v>
      </c>
      <c r="BT55" s="697">
        <v>0</v>
      </c>
    </row>
    <row r="56" spans="2:73">
      <c r="B56" s="691"/>
      <c r="C56" s="691" t="s">
        <v>9</v>
      </c>
      <c r="D56" s="691"/>
      <c r="E56" s="691" t="s">
        <v>690</v>
      </c>
      <c r="F56" s="691" t="s">
        <v>691</v>
      </c>
      <c r="G56" s="691"/>
      <c r="H56" s="691">
        <v>2013</v>
      </c>
      <c r="I56" s="644" t="s">
        <v>581</v>
      </c>
      <c r="J56" s="644" t="s">
        <v>597</v>
      </c>
      <c r="K56" s="633"/>
      <c r="L56" s="695">
        <v>0</v>
      </c>
      <c r="M56" s="696">
        <v>0</v>
      </c>
      <c r="N56" s="696">
        <v>38</v>
      </c>
      <c r="O56" s="696">
        <v>0</v>
      </c>
      <c r="P56" s="696">
        <v>0</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3"/>
      <c r="AQ56" s="695">
        <v>0</v>
      </c>
      <c r="AR56" s="696">
        <v>0</v>
      </c>
      <c r="AS56" s="696">
        <v>505</v>
      </c>
      <c r="AT56" s="696">
        <v>0</v>
      </c>
      <c r="AU56" s="696">
        <v>0</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c r="C57" s="691" t="s">
        <v>4</v>
      </c>
      <c r="D57" s="691"/>
      <c r="E57" s="691" t="s">
        <v>690</v>
      </c>
      <c r="F57" s="691" t="s">
        <v>29</v>
      </c>
      <c r="G57" s="691"/>
      <c r="H57" s="691">
        <v>2013</v>
      </c>
      <c r="I57" s="644" t="s">
        <v>581</v>
      </c>
      <c r="J57" s="644" t="s">
        <v>597</v>
      </c>
      <c r="K57" s="633"/>
      <c r="L57" s="695">
        <v>0</v>
      </c>
      <c r="M57" s="696">
        <v>0</v>
      </c>
      <c r="N57" s="696">
        <v>1</v>
      </c>
      <c r="O57" s="696">
        <v>0.93289548605882433</v>
      </c>
      <c r="P57" s="696">
        <v>0.90046644158979638</v>
      </c>
      <c r="Q57" s="696">
        <v>0.90046644158979638</v>
      </c>
      <c r="R57" s="696">
        <v>0.90046644158979638</v>
      </c>
      <c r="S57" s="696">
        <v>0.90046644158979638</v>
      </c>
      <c r="T57" s="696">
        <v>0.90046644158979638</v>
      </c>
      <c r="U57" s="696">
        <v>0.86181925413837235</v>
      </c>
      <c r="V57" s="696">
        <v>0.86181925413837235</v>
      </c>
      <c r="W57" s="696">
        <v>0.71400096049362416</v>
      </c>
      <c r="X57" s="696">
        <v>0.65993461865077307</v>
      </c>
      <c r="Y57" s="696">
        <v>0.65198072391122686</v>
      </c>
      <c r="Z57" s="696">
        <v>0.65198072391122686</v>
      </c>
      <c r="AA57" s="696">
        <v>0.6482321061304781</v>
      </c>
      <c r="AB57" s="696">
        <v>0.6482321061304781</v>
      </c>
      <c r="AC57" s="696">
        <v>0.64725668346634735</v>
      </c>
      <c r="AD57" s="696">
        <v>0.30583198477418327</v>
      </c>
      <c r="AE57" s="696">
        <v>0.30583198477418327</v>
      </c>
      <c r="AF57" s="696">
        <v>0.30583198477418327</v>
      </c>
      <c r="AG57" s="696">
        <v>0.30557347223836678</v>
      </c>
      <c r="AH57" s="696">
        <v>0</v>
      </c>
      <c r="AI57" s="696">
        <v>0</v>
      </c>
      <c r="AJ57" s="696">
        <v>0</v>
      </c>
      <c r="AK57" s="696">
        <v>0</v>
      </c>
      <c r="AL57" s="696">
        <v>0</v>
      </c>
      <c r="AM57" s="696">
        <v>0</v>
      </c>
      <c r="AN57" s="696">
        <v>0</v>
      </c>
      <c r="AO57" s="697">
        <v>0</v>
      </c>
      <c r="AP57" s="633"/>
      <c r="AQ57" s="695">
        <v>0</v>
      </c>
      <c r="AR57" s="696">
        <v>0</v>
      </c>
      <c r="AS57" s="696">
        <v>22093</v>
      </c>
      <c r="AT57" s="696">
        <v>22093</v>
      </c>
      <c r="AU57" s="696">
        <v>20610.459973497607</v>
      </c>
      <c r="AV57" s="696">
        <v>19894.005094043372</v>
      </c>
      <c r="AW57" s="696">
        <v>19894.005094043372</v>
      </c>
      <c r="AX57" s="696">
        <v>19894.005094043372</v>
      </c>
      <c r="AY57" s="696">
        <v>19894.005094043372</v>
      </c>
      <c r="AZ57" s="696">
        <v>19894.005094043372</v>
      </c>
      <c r="BA57" s="696">
        <v>19040.172781679059</v>
      </c>
      <c r="BB57" s="696">
        <v>19040.172781679059</v>
      </c>
      <c r="BC57" s="696">
        <v>15774.423220185639</v>
      </c>
      <c r="BD57" s="696">
        <v>14579.935529851529</v>
      </c>
      <c r="BE57" s="696">
        <v>14404.210133370734</v>
      </c>
      <c r="BF57" s="696">
        <v>14404.210133370734</v>
      </c>
      <c r="BG57" s="696">
        <v>14321.391920740652</v>
      </c>
      <c r="BH57" s="696">
        <v>14321.391920740652</v>
      </c>
      <c r="BI57" s="696">
        <v>14299.841907822012</v>
      </c>
      <c r="BJ57" s="696">
        <v>6756.7460396160313</v>
      </c>
      <c r="BK57" s="696">
        <v>6756.7460396160313</v>
      </c>
      <c r="BL57" s="696">
        <v>6756.7460396160313</v>
      </c>
      <c r="BM57" s="696">
        <v>6751.0347221622369</v>
      </c>
      <c r="BN57" s="696">
        <v>0</v>
      </c>
      <c r="BO57" s="696">
        <v>0</v>
      </c>
      <c r="BP57" s="696">
        <v>0</v>
      </c>
      <c r="BQ57" s="696">
        <v>0</v>
      </c>
      <c r="BR57" s="696">
        <v>0</v>
      </c>
      <c r="BS57" s="696">
        <v>0</v>
      </c>
      <c r="BT57" s="697">
        <v>0</v>
      </c>
    </row>
    <row r="58" spans="2:73">
      <c r="B58" s="691"/>
      <c r="C58" s="691" t="s">
        <v>5</v>
      </c>
      <c r="D58" s="691"/>
      <c r="E58" s="691" t="s">
        <v>690</v>
      </c>
      <c r="F58" s="691" t="s">
        <v>29</v>
      </c>
      <c r="G58" s="691"/>
      <c r="H58" s="691">
        <v>2013</v>
      </c>
      <c r="I58" s="644" t="s">
        <v>581</v>
      </c>
      <c r="J58" s="644" t="s">
        <v>597</v>
      </c>
      <c r="K58" s="633"/>
      <c r="L58" s="695">
        <v>0</v>
      </c>
      <c r="M58" s="696">
        <v>0</v>
      </c>
      <c r="N58" s="696">
        <v>3</v>
      </c>
      <c r="O58" s="696">
        <v>2.6024683099010941</v>
      </c>
      <c r="P58" s="696">
        <v>2.3952968043414682</v>
      </c>
      <c r="Q58" s="696">
        <v>2.3952968043414682</v>
      </c>
      <c r="R58" s="696">
        <v>2.3952968043414682</v>
      </c>
      <c r="S58" s="696">
        <v>2.3952968043414682</v>
      </c>
      <c r="T58" s="696">
        <v>2.3952968043414682</v>
      </c>
      <c r="U58" s="696">
        <v>2.3942591981269361</v>
      </c>
      <c r="V58" s="696">
        <v>2.3942591981269361</v>
      </c>
      <c r="W58" s="696">
        <v>2.2267940713945822</v>
      </c>
      <c r="X58" s="696">
        <v>2.164867892988859</v>
      </c>
      <c r="Y58" s="696">
        <v>1.8306303904557031</v>
      </c>
      <c r="Z58" s="696">
        <v>1.8306303904557031</v>
      </c>
      <c r="AA58" s="696">
        <v>1.8044159207601336</v>
      </c>
      <c r="AB58" s="696">
        <v>1.8044159207601336</v>
      </c>
      <c r="AC58" s="696">
        <v>1.8018648914462818</v>
      </c>
      <c r="AD58" s="696">
        <v>1.464797777191289</v>
      </c>
      <c r="AE58" s="696">
        <v>1.464797777191289</v>
      </c>
      <c r="AF58" s="696">
        <v>1.464797777191289</v>
      </c>
      <c r="AG58" s="696">
        <v>1.464797777191289</v>
      </c>
      <c r="AH58" s="696">
        <v>0</v>
      </c>
      <c r="AI58" s="696">
        <v>0</v>
      </c>
      <c r="AJ58" s="696">
        <v>0</v>
      </c>
      <c r="AK58" s="696">
        <v>0</v>
      </c>
      <c r="AL58" s="696">
        <v>0</v>
      </c>
      <c r="AM58" s="696">
        <v>0</v>
      </c>
      <c r="AN58" s="696">
        <v>0</v>
      </c>
      <c r="AO58" s="697">
        <v>0</v>
      </c>
      <c r="AP58" s="633"/>
      <c r="AQ58" s="695">
        <v>0</v>
      </c>
      <c r="AR58" s="696">
        <v>0</v>
      </c>
      <c r="AS58" s="696">
        <v>49096</v>
      </c>
      <c r="AT58" s="696">
        <v>49096</v>
      </c>
      <c r="AU58" s="696">
        <v>42590.261380968041</v>
      </c>
      <c r="AV58" s="696">
        <v>39199.830635316241</v>
      </c>
      <c r="AW58" s="696">
        <v>39199.830635316241</v>
      </c>
      <c r="AX58" s="696">
        <v>39199.830635316241</v>
      </c>
      <c r="AY58" s="696">
        <v>39199.830635316241</v>
      </c>
      <c r="AZ58" s="696">
        <v>39199.830635316241</v>
      </c>
      <c r="BA58" s="696">
        <v>39182.849863746684</v>
      </c>
      <c r="BB58" s="696">
        <v>39182.849863746684</v>
      </c>
      <c r="BC58" s="696">
        <v>36442.227243062807</v>
      </c>
      <c r="BD58" s="696">
        <v>35428.784691393674</v>
      </c>
      <c r="BE58" s="696">
        <v>29958.876549937733</v>
      </c>
      <c r="BF58" s="696">
        <v>29958.876549937733</v>
      </c>
      <c r="BG58" s="696">
        <v>29529.868015213175</v>
      </c>
      <c r="BH58" s="696">
        <v>29529.868015213175</v>
      </c>
      <c r="BI58" s="696">
        <v>29488.119570148883</v>
      </c>
      <c r="BJ58" s="696">
        <v>23971.903889661178</v>
      </c>
      <c r="BK58" s="696">
        <v>23971.903889661178</v>
      </c>
      <c r="BL58" s="696">
        <v>23971.903889661178</v>
      </c>
      <c r="BM58" s="696">
        <v>23971.903889661178</v>
      </c>
      <c r="BN58" s="696">
        <v>0</v>
      </c>
      <c r="BO58" s="696">
        <v>0</v>
      </c>
      <c r="BP58" s="696">
        <v>0</v>
      </c>
      <c r="BQ58" s="696">
        <v>0</v>
      </c>
      <c r="BR58" s="696">
        <v>0</v>
      </c>
      <c r="BS58" s="696">
        <v>0</v>
      </c>
      <c r="BT58" s="697">
        <v>0</v>
      </c>
    </row>
    <row r="59" spans="2:73">
      <c r="B59" s="691"/>
      <c r="C59" s="691" t="s">
        <v>21</v>
      </c>
      <c r="D59" s="691"/>
      <c r="E59" s="691" t="s">
        <v>690</v>
      </c>
      <c r="F59" s="691" t="s">
        <v>689</v>
      </c>
      <c r="G59" s="691"/>
      <c r="H59" s="691">
        <v>2014</v>
      </c>
      <c r="I59" s="644" t="s">
        <v>582</v>
      </c>
      <c r="J59" s="644" t="s">
        <v>597</v>
      </c>
      <c r="K59" s="633"/>
      <c r="L59" s="695">
        <v>0</v>
      </c>
      <c r="M59" s="696">
        <v>0</v>
      </c>
      <c r="N59" s="696">
        <v>0</v>
      </c>
      <c r="O59" s="696">
        <v>277.1682909162646</v>
      </c>
      <c r="P59" s="696">
        <v>276.23313329525052</v>
      </c>
      <c r="Q59" s="696">
        <v>183.89620350297886</v>
      </c>
      <c r="R59" s="696">
        <v>166.5157575141879</v>
      </c>
      <c r="S59" s="696">
        <v>166.5157575141879</v>
      </c>
      <c r="T59" s="696">
        <v>166.5157575141879</v>
      </c>
      <c r="U59" s="696">
        <v>166.5157575141879</v>
      </c>
      <c r="V59" s="696">
        <v>166.5157575141879</v>
      </c>
      <c r="W59" s="696">
        <v>166.5157575141879</v>
      </c>
      <c r="X59" s="696">
        <v>166.5157575141879</v>
      </c>
      <c r="Y59" s="696">
        <v>166.03570915651983</v>
      </c>
      <c r="Z59" s="696">
        <v>7.7194159537891762</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3"/>
      <c r="AQ59" s="695">
        <v>0</v>
      </c>
      <c r="AR59" s="696">
        <v>0</v>
      </c>
      <c r="AS59" s="696">
        <v>0</v>
      </c>
      <c r="AT59" s="696">
        <v>992786.09652314859</v>
      </c>
      <c r="AU59" s="696">
        <v>989532.81157215475</v>
      </c>
      <c r="AV59" s="696">
        <v>664982.44568356324</v>
      </c>
      <c r="AW59" s="696">
        <v>605510.42184878653</v>
      </c>
      <c r="AX59" s="696">
        <v>605510.42184878653</v>
      </c>
      <c r="AY59" s="696">
        <v>605510.42184878653</v>
      </c>
      <c r="AZ59" s="696">
        <v>605510.42184878653</v>
      </c>
      <c r="BA59" s="696">
        <v>605510.42184878653</v>
      </c>
      <c r="BB59" s="696">
        <v>605510.42184878653</v>
      </c>
      <c r="BC59" s="696">
        <v>605510.42184878653</v>
      </c>
      <c r="BD59" s="696">
        <v>601083.88042755506</v>
      </c>
      <c r="BE59" s="696">
        <v>24209.167320633864</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75">
      <c r="B60" s="691"/>
      <c r="C60" s="691" t="s">
        <v>22</v>
      </c>
      <c r="D60" s="691"/>
      <c r="E60" s="691" t="s">
        <v>690</v>
      </c>
      <c r="F60" s="691" t="s">
        <v>689</v>
      </c>
      <c r="G60" s="691"/>
      <c r="H60" s="691">
        <v>2014</v>
      </c>
      <c r="I60" s="644" t="s">
        <v>582</v>
      </c>
      <c r="J60" s="644" t="s">
        <v>597</v>
      </c>
      <c r="K60" s="633"/>
      <c r="L60" s="695">
        <v>0</v>
      </c>
      <c r="M60" s="696">
        <v>0</v>
      </c>
      <c r="N60" s="696">
        <v>0</v>
      </c>
      <c r="O60" s="696">
        <v>83.101029357371075</v>
      </c>
      <c r="P60" s="696">
        <v>82.83799597055625</v>
      </c>
      <c r="Q60" s="696">
        <v>82.83799597055625</v>
      </c>
      <c r="R60" s="696">
        <v>79.820037542958829</v>
      </c>
      <c r="S60" s="696">
        <v>79.820037542958829</v>
      </c>
      <c r="T60" s="696">
        <v>79.820037542958829</v>
      </c>
      <c r="U60" s="696">
        <v>78.208603564165131</v>
      </c>
      <c r="V60" s="696">
        <v>78.208603564165131</v>
      </c>
      <c r="W60" s="696">
        <v>77.414195063849178</v>
      </c>
      <c r="X60" s="696">
        <v>70.587378159759226</v>
      </c>
      <c r="Y60" s="696">
        <v>63.521687307388468</v>
      </c>
      <c r="Z60" s="696">
        <v>63.010068085792746</v>
      </c>
      <c r="AA60" s="696">
        <v>11.422788042189056</v>
      </c>
      <c r="AB60" s="696">
        <v>8.1870966732732331</v>
      </c>
      <c r="AC60" s="696">
        <v>8.1870966732732331</v>
      </c>
      <c r="AD60" s="696">
        <v>6.2247014067430939</v>
      </c>
      <c r="AE60" s="696">
        <v>3.19518800867271</v>
      </c>
      <c r="AF60" s="696">
        <v>3.19518800867271</v>
      </c>
      <c r="AG60" s="696">
        <v>3.19518800867271</v>
      </c>
      <c r="AH60" s="696">
        <v>3.19518800867271</v>
      </c>
      <c r="AI60" s="696">
        <v>0</v>
      </c>
      <c r="AJ60" s="696">
        <v>0</v>
      </c>
      <c r="AK60" s="696">
        <v>0</v>
      </c>
      <c r="AL60" s="696">
        <v>0</v>
      </c>
      <c r="AM60" s="696">
        <v>0</v>
      </c>
      <c r="AN60" s="696">
        <v>0</v>
      </c>
      <c r="AO60" s="697">
        <v>0</v>
      </c>
      <c r="AP60" s="633"/>
      <c r="AQ60" s="695">
        <v>0</v>
      </c>
      <c r="AR60" s="696">
        <v>0</v>
      </c>
      <c r="AS60" s="696">
        <v>0</v>
      </c>
      <c r="AT60" s="696">
        <v>552594.79435522202</v>
      </c>
      <c r="AU60" s="696">
        <v>551678.52056968457</v>
      </c>
      <c r="AV60" s="696">
        <v>551678.52056968457</v>
      </c>
      <c r="AW60" s="696">
        <v>541165.49700816954</v>
      </c>
      <c r="AX60" s="696">
        <v>541165.49700816954</v>
      </c>
      <c r="AY60" s="696">
        <v>541165.49700816954</v>
      </c>
      <c r="AZ60" s="696">
        <v>529470.61972881772</v>
      </c>
      <c r="BA60" s="696">
        <v>529470.61972881772</v>
      </c>
      <c r="BB60" s="696">
        <v>526821.64176762477</v>
      </c>
      <c r="BC60" s="696">
        <v>476661.55142668163</v>
      </c>
      <c r="BD60" s="696">
        <v>426550.34979712788</v>
      </c>
      <c r="BE60" s="696">
        <v>424392.01976097783</v>
      </c>
      <c r="BF60" s="696">
        <v>82576.508243462886</v>
      </c>
      <c r="BG60" s="696">
        <v>71305.014478625468</v>
      </c>
      <c r="BH60" s="696">
        <v>71305.014478625468</v>
      </c>
      <c r="BI60" s="696">
        <v>56107.693072473507</v>
      </c>
      <c r="BJ60" s="696">
        <v>11130.380520763027</v>
      </c>
      <c r="BK60" s="696">
        <v>11130.380520763027</v>
      </c>
      <c r="BL60" s="696">
        <v>11130.380520763027</v>
      </c>
      <c r="BM60" s="696">
        <v>11130.380520763027</v>
      </c>
      <c r="BN60" s="696">
        <v>0</v>
      </c>
      <c r="BO60" s="696">
        <v>0</v>
      </c>
      <c r="BP60" s="696">
        <v>0</v>
      </c>
      <c r="BQ60" s="696">
        <v>0</v>
      </c>
      <c r="BR60" s="696">
        <v>0</v>
      </c>
      <c r="BS60" s="696">
        <v>0</v>
      </c>
      <c r="BT60" s="697">
        <v>0</v>
      </c>
      <c r="BU60" s="165"/>
    </row>
    <row r="61" spans="2:73">
      <c r="B61" s="691"/>
      <c r="C61" s="691" t="s">
        <v>20</v>
      </c>
      <c r="D61" s="691"/>
      <c r="E61" s="691" t="s">
        <v>690</v>
      </c>
      <c r="F61" s="691" t="s">
        <v>689</v>
      </c>
      <c r="G61" s="691"/>
      <c r="H61" s="691">
        <v>2014</v>
      </c>
      <c r="I61" s="644" t="s">
        <v>582</v>
      </c>
      <c r="J61" s="644" t="s">
        <v>597</v>
      </c>
      <c r="K61" s="633"/>
      <c r="L61" s="695">
        <v>0</v>
      </c>
      <c r="M61" s="696">
        <v>0</v>
      </c>
      <c r="N61" s="696">
        <v>0</v>
      </c>
      <c r="O61" s="696">
        <v>40.100791547459252</v>
      </c>
      <c r="P61" s="696">
        <v>40.100791547459252</v>
      </c>
      <c r="Q61" s="696">
        <v>40.100791547459252</v>
      </c>
      <c r="R61" s="696">
        <v>40.100791547459252</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3"/>
      <c r="AQ61" s="695">
        <v>0</v>
      </c>
      <c r="AR61" s="696">
        <v>0</v>
      </c>
      <c r="AS61" s="696">
        <v>0</v>
      </c>
      <c r="AT61" s="696">
        <v>195820.71016667038</v>
      </c>
      <c r="AU61" s="696">
        <v>195820.71016667038</v>
      </c>
      <c r="AV61" s="696">
        <v>195820.71016667038</v>
      </c>
      <c r="AW61" s="696">
        <v>195820.71016667038</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c r="C62" s="691" t="s">
        <v>1</v>
      </c>
      <c r="D62" s="691"/>
      <c r="E62" s="691" t="s">
        <v>690</v>
      </c>
      <c r="F62" s="691" t="s">
        <v>29</v>
      </c>
      <c r="G62" s="691"/>
      <c r="H62" s="691">
        <v>2014</v>
      </c>
      <c r="I62" s="644" t="s">
        <v>582</v>
      </c>
      <c r="J62" s="644" t="s">
        <v>597</v>
      </c>
      <c r="K62" s="633"/>
      <c r="L62" s="695">
        <v>0</v>
      </c>
      <c r="M62" s="696">
        <v>0</v>
      </c>
      <c r="N62" s="696">
        <v>0</v>
      </c>
      <c r="O62" s="696">
        <v>4.1298378761077768</v>
      </c>
      <c r="P62" s="696">
        <v>4.1298378761077768</v>
      </c>
      <c r="Q62" s="696">
        <v>4.1298378761077768</v>
      </c>
      <c r="R62" s="696">
        <v>4.0130835786335872</v>
      </c>
      <c r="S62" s="696">
        <v>2.7596109521709673</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3"/>
      <c r="AQ62" s="695">
        <v>0</v>
      </c>
      <c r="AR62" s="696">
        <v>0</v>
      </c>
      <c r="AS62" s="696">
        <v>0</v>
      </c>
      <c r="AT62" s="696">
        <v>27957.705229729738</v>
      </c>
      <c r="AU62" s="696">
        <v>27957.705229729738</v>
      </c>
      <c r="AV62" s="696">
        <v>27957.705229729738</v>
      </c>
      <c r="AW62" s="696">
        <v>27853.297183122068</v>
      </c>
      <c r="AX62" s="696">
        <v>18777.442687282917</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c r="C63" s="691" t="s">
        <v>2</v>
      </c>
      <c r="D63" s="691"/>
      <c r="E63" s="691" t="s">
        <v>690</v>
      </c>
      <c r="F63" s="691" t="s">
        <v>29</v>
      </c>
      <c r="G63" s="691"/>
      <c r="H63" s="691">
        <v>2014</v>
      </c>
      <c r="I63" s="644" t="s">
        <v>582</v>
      </c>
      <c r="J63" s="644" t="s">
        <v>597</v>
      </c>
      <c r="K63" s="633"/>
      <c r="L63" s="695">
        <v>0</v>
      </c>
      <c r="M63" s="696">
        <v>0</v>
      </c>
      <c r="N63" s="696">
        <v>0</v>
      </c>
      <c r="O63" s="696">
        <v>3.7294937827141337</v>
      </c>
      <c r="P63" s="696">
        <v>3.7294937827141337</v>
      </c>
      <c r="Q63" s="696">
        <v>3.7294937827141337</v>
      </c>
      <c r="R63" s="696">
        <v>3.7294937827141337</v>
      </c>
      <c r="S63" s="696">
        <v>0</v>
      </c>
      <c r="T63" s="696">
        <v>0</v>
      </c>
      <c r="U63" s="696">
        <v>0</v>
      </c>
      <c r="V63" s="696">
        <v>0</v>
      </c>
      <c r="W63" s="696">
        <v>0</v>
      </c>
      <c r="X63" s="696">
        <v>0</v>
      </c>
      <c r="Y63" s="696">
        <v>0</v>
      </c>
      <c r="Z63" s="696">
        <v>0</v>
      </c>
      <c r="AA63" s="696">
        <v>0</v>
      </c>
      <c r="AB63" s="696">
        <v>0</v>
      </c>
      <c r="AC63" s="696">
        <v>0</v>
      </c>
      <c r="AD63" s="696">
        <v>0</v>
      </c>
      <c r="AE63" s="696">
        <v>0</v>
      </c>
      <c r="AF63" s="696">
        <v>0</v>
      </c>
      <c r="AG63" s="696">
        <v>0</v>
      </c>
      <c r="AH63" s="696">
        <v>0</v>
      </c>
      <c r="AI63" s="696">
        <v>0</v>
      </c>
      <c r="AJ63" s="696">
        <v>0</v>
      </c>
      <c r="AK63" s="696">
        <v>0</v>
      </c>
      <c r="AL63" s="696">
        <v>0</v>
      </c>
      <c r="AM63" s="696">
        <v>0</v>
      </c>
      <c r="AN63" s="696">
        <v>0</v>
      </c>
      <c r="AO63" s="697">
        <v>0</v>
      </c>
      <c r="AP63" s="633"/>
      <c r="AQ63" s="695">
        <v>0</v>
      </c>
      <c r="AR63" s="696">
        <v>0</v>
      </c>
      <c r="AS63" s="696">
        <v>0</v>
      </c>
      <c r="AT63" s="696">
        <v>6649.9178032362843</v>
      </c>
      <c r="AU63" s="696">
        <v>6649.9178032362843</v>
      </c>
      <c r="AV63" s="696">
        <v>6649.9178032362843</v>
      </c>
      <c r="AW63" s="696">
        <v>6649.9178032362843</v>
      </c>
      <c r="AX63" s="696">
        <v>0</v>
      </c>
      <c r="AY63" s="696">
        <v>0</v>
      </c>
      <c r="AZ63" s="696">
        <v>0</v>
      </c>
      <c r="BA63" s="696">
        <v>0</v>
      </c>
      <c r="BB63" s="696">
        <v>0</v>
      </c>
      <c r="BC63" s="696">
        <v>0</v>
      </c>
      <c r="BD63" s="696">
        <v>0</v>
      </c>
      <c r="BE63" s="696">
        <v>0</v>
      </c>
      <c r="BF63" s="696">
        <v>0</v>
      </c>
      <c r="BG63" s="696">
        <v>0</v>
      </c>
      <c r="BH63" s="696">
        <v>0</v>
      </c>
      <c r="BI63" s="696">
        <v>0</v>
      </c>
      <c r="BJ63" s="696">
        <v>0</v>
      </c>
      <c r="BK63" s="696">
        <v>0</v>
      </c>
      <c r="BL63" s="696">
        <v>0</v>
      </c>
      <c r="BM63" s="696">
        <v>0</v>
      </c>
      <c r="BN63" s="696">
        <v>0</v>
      </c>
      <c r="BO63" s="696">
        <v>0</v>
      </c>
      <c r="BP63" s="696">
        <v>0</v>
      </c>
      <c r="BQ63" s="696">
        <v>0</v>
      </c>
      <c r="BR63" s="696">
        <v>0</v>
      </c>
      <c r="BS63" s="696">
        <v>0</v>
      </c>
      <c r="BT63" s="697">
        <v>0</v>
      </c>
    </row>
    <row r="64" spans="2:73">
      <c r="B64" s="691"/>
      <c r="C64" s="691" t="s">
        <v>3</v>
      </c>
      <c r="D64" s="691"/>
      <c r="E64" s="691" t="s">
        <v>690</v>
      </c>
      <c r="F64" s="691" t="s">
        <v>29</v>
      </c>
      <c r="G64" s="691"/>
      <c r="H64" s="691">
        <v>2014</v>
      </c>
      <c r="I64" s="644" t="s">
        <v>582</v>
      </c>
      <c r="J64" s="644" t="s">
        <v>597</v>
      </c>
      <c r="K64" s="633"/>
      <c r="L64" s="695">
        <v>0</v>
      </c>
      <c r="M64" s="696">
        <v>0</v>
      </c>
      <c r="N64" s="696">
        <v>0</v>
      </c>
      <c r="O64" s="696">
        <v>44.894053371686638</v>
      </c>
      <c r="P64" s="696">
        <v>44.894053371686638</v>
      </c>
      <c r="Q64" s="696">
        <v>44.894053371686638</v>
      </c>
      <c r="R64" s="696">
        <v>44.894053371686638</v>
      </c>
      <c r="S64" s="696">
        <v>44.894053371686638</v>
      </c>
      <c r="T64" s="696">
        <v>44.894053371686638</v>
      </c>
      <c r="U64" s="696">
        <v>44.894053371686638</v>
      </c>
      <c r="V64" s="696">
        <v>44.894053371686638</v>
      </c>
      <c r="W64" s="696">
        <v>44.894053371686638</v>
      </c>
      <c r="X64" s="696">
        <v>44.894053371686638</v>
      </c>
      <c r="Y64" s="696">
        <v>44.894053371686638</v>
      </c>
      <c r="Z64" s="696">
        <v>44.894053371686638</v>
      </c>
      <c r="AA64" s="696">
        <v>44.894053371686638</v>
      </c>
      <c r="AB64" s="696">
        <v>44.894053371686638</v>
      </c>
      <c r="AC64" s="696">
        <v>44.894053371686638</v>
      </c>
      <c r="AD64" s="696">
        <v>44.894053371686638</v>
      </c>
      <c r="AE64" s="696">
        <v>44.894053371686638</v>
      </c>
      <c r="AF64" s="696">
        <v>44.894053371686638</v>
      </c>
      <c r="AG64" s="696">
        <v>41.045677733959515</v>
      </c>
      <c r="AH64" s="696">
        <v>0</v>
      </c>
      <c r="AI64" s="696">
        <v>0</v>
      </c>
      <c r="AJ64" s="696">
        <v>0</v>
      </c>
      <c r="AK64" s="696">
        <v>0</v>
      </c>
      <c r="AL64" s="696">
        <v>0</v>
      </c>
      <c r="AM64" s="696">
        <v>0</v>
      </c>
      <c r="AN64" s="696">
        <v>0</v>
      </c>
      <c r="AO64" s="697">
        <v>0</v>
      </c>
      <c r="AP64" s="633"/>
      <c r="AQ64" s="695">
        <v>0</v>
      </c>
      <c r="AR64" s="696">
        <v>0</v>
      </c>
      <c r="AS64" s="696">
        <v>0</v>
      </c>
      <c r="AT64" s="696">
        <v>83687.272644498473</v>
      </c>
      <c r="AU64" s="696">
        <v>83687.272644498473</v>
      </c>
      <c r="AV64" s="696">
        <v>83687.272644498473</v>
      </c>
      <c r="AW64" s="696">
        <v>83687.272644498473</v>
      </c>
      <c r="AX64" s="696">
        <v>83687.272644498473</v>
      </c>
      <c r="AY64" s="696">
        <v>83687.272644498473</v>
      </c>
      <c r="AZ64" s="696">
        <v>83687.272644498473</v>
      </c>
      <c r="BA64" s="696">
        <v>83687.272644498473</v>
      </c>
      <c r="BB64" s="696">
        <v>83687.272644498473</v>
      </c>
      <c r="BC64" s="696">
        <v>83687.272644498473</v>
      </c>
      <c r="BD64" s="696">
        <v>83687.272644498473</v>
      </c>
      <c r="BE64" s="696">
        <v>83687.272644498473</v>
      </c>
      <c r="BF64" s="696">
        <v>83687.272644498473</v>
      </c>
      <c r="BG64" s="696">
        <v>83687.272644498473</v>
      </c>
      <c r="BH64" s="696">
        <v>83687.272644498473</v>
      </c>
      <c r="BI64" s="696">
        <v>83687.272644498473</v>
      </c>
      <c r="BJ64" s="696">
        <v>83687.272644498473</v>
      </c>
      <c r="BK64" s="696">
        <v>83687.272644498473</v>
      </c>
      <c r="BL64" s="696">
        <v>80245.845719408666</v>
      </c>
      <c r="BM64" s="696">
        <v>0</v>
      </c>
      <c r="BN64" s="696">
        <v>0</v>
      </c>
      <c r="BO64" s="696">
        <v>0</v>
      </c>
      <c r="BP64" s="696">
        <v>0</v>
      </c>
      <c r="BQ64" s="696">
        <v>0</v>
      </c>
      <c r="BR64" s="696">
        <v>0</v>
      </c>
      <c r="BS64" s="696">
        <v>0</v>
      </c>
      <c r="BT64" s="697">
        <v>0</v>
      </c>
    </row>
    <row r="65" spans="2:73">
      <c r="B65" s="691"/>
      <c r="C65" s="691" t="s">
        <v>4</v>
      </c>
      <c r="D65" s="691"/>
      <c r="E65" s="691" t="s">
        <v>690</v>
      </c>
      <c r="F65" s="691" t="s">
        <v>29</v>
      </c>
      <c r="G65" s="691"/>
      <c r="H65" s="691">
        <v>2014</v>
      </c>
      <c r="I65" s="644" t="s">
        <v>582</v>
      </c>
      <c r="J65" s="644" t="s">
        <v>597</v>
      </c>
      <c r="K65" s="633"/>
      <c r="L65" s="695">
        <v>0</v>
      </c>
      <c r="M65" s="696">
        <v>0</v>
      </c>
      <c r="N65" s="696">
        <v>4.7629501015884644E-3</v>
      </c>
      <c r="O65" s="696">
        <v>6.6167255093147945</v>
      </c>
      <c r="P65" s="696">
        <v>6.2377499350464882</v>
      </c>
      <c r="Q65" s="696">
        <v>6.0546055379140444</v>
      </c>
      <c r="R65" s="696">
        <v>6.0546055379140444</v>
      </c>
      <c r="S65" s="696">
        <v>6.0546055379140444</v>
      </c>
      <c r="T65" s="696">
        <v>6.0546055379140444</v>
      </c>
      <c r="U65" s="696">
        <v>6.0546055379140444</v>
      </c>
      <c r="V65" s="696">
        <v>5.8291274139485685</v>
      </c>
      <c r="W65" s="696">
        <v>5.8291274139485685</v>
      </c>
      <c r="X65" s="696">
        <v>4.9937842348215291</v>
      </c>
      <c r="Y65" s="696">
        <v>3.6698391031837043</v>
      </c>
      <c r="Z65" s="696">
        <v>3.669752277303111</v>
      </c>
      <c r="AA65" s="696">
        <v>3.669752277303111</v>
      </c>
      <c r="AB65" s="696">
        <v>3.6627885265473004</v>
      </c>
      <c r="AC65" s="696">
        <v>3.6627885265473004</v>
      </c>
      <c r="AD65" s="696">
        <v>3.6554094338673599</v>
      </c>
      <c r="AE65" s="696">
        <v>1.7271990400081405</v>
      </c>
      <c r="AF65" s="696">
        <v>1.7271990400081405</v>
      </c>
      <c r="AG65" s="696">
        <v>1.7271990400081405</v>
      </c>
      <c r="AH65" s="696">
        <v>1.7257390795529841</v>
      </c>
      <c r="AI65" s="696">
        <v>0</v>
      </c>
      <c r="AJ65" s="696">
        <v>0</v>
      </c>
      <c r="AK65" s="696">
        <v>0</v>
      </c>
      <c r="AL65" s="696">
        <v>0</v>
      </c>
      <c r="AM65" s="696">
        <v>0</v>
      </c>
      <c r="AN65" s="696">
        <v>0</v>
      </c>
      <c r="AO65" s="697">
        <v>0</v>
      </c>
      <c r="AP65" s="633"/>
      <c r="AQ65" s="695">
        <v>0</v>
      </c>
      <c r="AR65" s="696">
        <v>0</v>
      </c>
      <c r="AS65" s="696">
        <v>0</v>
      </c>
      <c r="AT65" s="696">
        <v>89961.535225374697</v>
      </c>
      <c r="AU65" s="696">
        <v>83924.710130673979</v>
      </c>
      <c r="AV65" s="696">
        <v>81007.343504348275</v>
      </c>
      <c r="AW65" s="696">
        <v>81007.343504348275</v>
      </c>
      <c r="AX65" s="696">
        <v>81007.343504348275</v>
      </c>
      <c r="AY65" s="696">
        <v>81007.343504348275</v>
      </c>
      <c r="AZ65" s="696">
        <v>81007.343504348275</v>
      </c>
      <c r="BA65" s="696">
        <v>77530.583189075332</v>
      </c>
      <c r="BB65" s="696">
        <v>77530.583189075332</v>
      </c>
      <c r="BC65" s="696">
        <v>64232.622558398536</v>
      </c>
      <c r="BD65" s="696">
        <v>59368.731442195742</v>
      </c>
      <c r="BE65" s="696">
        <v>58653.186860405127</v>
      </c>
      <c r="BF65" s="696">
        <v>58653.186860405127</v>
      </c>
      <c r="BG65" s="696">
        <v>58315.955449875837</v>
      </c>
      <c r="BH65" s="696">
        <v>58315.955449875837</v>
      </c>
      <c r="BI65" s="696">
        <v>58228.204929517007</v>
      </c>
      <c r="BJ65" s="696">
        <v>27513.114871308946</v>
      </c>
      <c r="BK65" s="696">
        <v>27513.114871308946</v>
      </c>
      <c r="BL65" s="696">
        <v>27513.114871308946</v>
      </c>
      <c r="BM65" s="696">
        <v>27489.85868671189</v>
      </c>
      <c r="BN65" s="696">
        <v>0</v>
      </c>
      <c r="BO65" s="696">
        <v>0</v>
      </c>
      <c r="BP65" s="696">
        <v>0</v>
      </c>
      <c r="BQ65" s="696">
        <v>0</v>
      </c>
      <c r="BR65" s="696">
        <v>0</v>
      </c>
      <c r="BS65" s="696">
        <v>0</v>
      </c>
      <c r="BT65" s="697">
        <v>0</v>
      </c>
    </row>
    <row r="66" spans="2:73">
      <c r="B66" s="691"/>
      <c r="C66" s="691" t="s">
        <v>5</v>
      </c>
      <c r="D66" s="691"/>
      <c r="E66" s="691" t="s">
        <v>690</v>
      </c>
      <c r="F66" s="691" t="s">
        <v>29</v>
      </c>
      <c r="G66" s="691"/>
      <c r="H66" s="691">
        <v>2014</v>
      </c>
      <c r="I66" s="644" t="s">
        <v>582</v>
      </c>
      <c r="J66" s="644" t="s">
        <v>597</v>
      </c>
      <c r="K66" s="633"/>
      <c r="L66" s="695">
        <v>0</v>
      </c>
      <c r="M66" s="696">
        <v>0</v>
      </c>
      <c r="N66" s="696">
        <v>0</v>
      </c>
      <c r="O66" s="696">
        <v>22.986101298954747</v>
      </c>
      <c r="P66" s="696">
        <v>20.064371737185652</v>
      </c>
      <c r="Q66" s="696">
        <v>18.541728065685724</v>
      </c>
      <c r="R66" s="696">
        <v>18.541728065685724</v>
      </c>
      <c r="S66" s="696">
        <v>18.541728065685724</v>
      </c>
      <c r="T66" s="696">
        <v>18.541728065685724</v>
      </c>
      <c r="U66" s="696">
        <v>18.541728065685724</v>
      </c>
      <c r="V66" s="696">
        <v>18.527860696073152</v>
      </c>
      <c r="W66" s="696">
        <v>18.527860696073152</v>
      </c>
      <c r="X66" s="696">
        <v>17.297046088016131</v>
      </c>
      <c r="Y66" s="696">
        <v>15.741374177932412</v>
      </c>
      <c r="Z66" s="696">
        <v>13.334395337030289</v>
      </c>
      <c r="AA66" s="696">
        <v>13.334395337030289</v>
      </c>
      <c r="AB66" s="696">
        <v>13.270230506662998</v>
      </c>
      <c r="AC66" s="696">
        <v>13.270230506662998</v>
      </c>
      <c r="AD66" s="696">
        <v>13.243125141401032</v>
      </c>
      <c r="AE66" s="696">
        <v>10.765790688457193</v>
      </c>
      <c r="AF66" s="696">
        <v>10.765790688457193</v>
      </c>
      <c r="AG66" s="696">
        <v>10.765790688457193</v>
      </c>
      <c r="AH66" s="696">
        <v>10.765790688457193</v>
      </c>
      <c r="AI66" s="696">
        <v>0</v>
      </c>
      <c r="AJ66" s="696">
        <v>0</v>
      </c>
      <c r="AK66" s="696">
        <v>0</v>
      </c>
      <c r="AL66" s="696">
        <v>0</v>
      </c>
      <c r="AM66" s="696">
        <v>0</v>
      </c>
      <c r="AN66" s="696">
        <v>0</v>
      </c>
      <c r="AO66" s="697">
        <v>0</v>
      </c>
      <c r="AP66" s="633"/>
      <c r="AQ66" s="695">
        <v>0</v>
      </c>
      <c r="AR66" s="696">
        <v>0</v>
      </c>
      <c r="AS66" s="696">
        <v>0</v>
      </c>
      <c r="AT66" s="696">
        <v>351226.18611423316</v>
      </c>
      <c r="AU66" s="696">
        <v>304685.00632323849</v>
      </c>
      <c r="AV66" s="696">
        <v>280430.3204001548</v>
      </c>
      <c r="AW66" s="696">
        <v>280430.3204001548</v>
      </c>
      <c r="AX66" s="696">
        <v>280430.3204001548</v>
      </c>
      <c r="AY66" s="696">
        <v>280430.3204001548</v>
      </c>
      <c r="AZ66" s="696">
        <v>280430.3204001548</v>
      </c>
      <c r="BA66" s="696">
        <v>280308.84224234865</v>
      </c>
      <c r="BB66" s="696">
        <v>280308.84224234865</v>
      </c>
      <c r="BC66" s="696">
        <v>260702.79631923485</v>
      </c>
      <c r="BD66" s="696">
        <v>253452.76449854425</v>
      </c>
      <c r="BE66" s="696">
        <v>214321.77674152204</v>
      </c>
      <c r="BF66" s="696">
        <v>214321.77674152204</v>
      </c>
      <c r="BG66" s="696">
        <v>211252.70733746135</v>
      </c>
      <c r="BH66" s="696">
        <v>211252.70733746135</v>
      </c>
      <c r="BI66" s="696">
        <v>210954.04457193811</v>
      </c>
      <c r="BJ66" s="696">
        <v>171491.77890383426</v>
      </c>
      <c r="BK66" s="696">
        <v>171491.77890383426</v>
      </c>
      <c r="BL66" s="696">
        <v>171491.77890383426</v>
      </c>
      <c r="BM66" s="696">
        <v>171491.77890383426</v>
      </c>
      <c r="BN66" s="696">
        <v>0</v>
      </c>
      <c r="BO66" s="696">
        <v>0</v>
      </c>
      <c r="BP66" s="696">
        <v>0</v>
      </c>
      <c r="BQ66" s="696">
        <v>0</v>
      </c>
      <c r="BR66" s="696">
        <v>0</v>
      </c>
      <c r="BS66" s="696">
        <v>0</v>
      </c>
      <c r="BT66" s="697">
        <v>0</v>
      </c>
    </row>
    <row r="67" spans="2:73">
      <c r="B67" s="691"/>
      <c r="C67" s="691" t="s">
        <v>14</v>
      </c>
      <c r="D67" s="691"/>
      <c r="E67" s="691" t="s">
        <v>690</v>
      </c>
      <c r="F67" s="691" t="s">
        <v>29</v>
      </c>
      <c r="G67" s="691"/>
      <c r="H67" s="691">
        <v>2014</v>
      </c>
      <c r="I67" s="644" t="s">
        <v>582</v>
      </c>
      <c r="J67" s="644" t="s">
        <v>597</v>
      </c>
      <c r="K67" s="633"/>
      <c r="L67" s="695">
        <v>0</v>
      </c>
      <c r="M67" s="696">
        <v>0</v>
      </c>
      <c r="N67" s="696">
        <v>0</v>
      </c>
      <c r="O67" s="696">
        <v>14.833026640349999</v>
      </c>
      <c r="P67" s="696">
        <v>14.828472601715475</v>
      </c>
      <c r="Q67" s="696">
        <v>14.598775725578889</v>
      </c>
      <c r="R67" s="696">
        <v>14.502143433317542</v>
      </c>
      <c r="S67" s="696">
        <v>14.405511146178469</v>
      </c>
      <c r="T67" s="696">
        <v>14.405511146178469</v>
      </c>
      <c r="U67" s="696">
        <v>14.305396658135578</v>
      </c>
      <c r="V67" s="696">
        <v>14.305396658135578</v>
      </c>
      <c r="W67" s="696">
        <v>13.39425254939124</v>
      </c>
      <c r="X67" s="696">
        <v>13.054852541070431</v>
      </c>
      <c r="Y67" s="696">
        <v>12.654932227451354</v>
      </c>
      <c r="Z67" s="696">
        <v>12.654932227451354</v>
      </c>
      <c r="AA67" s="696">
        <v>11.676243108231574</v>
      </c>
      <c r="AB67" s="696">
        <v>11.676243108231574</v>
      </c>
      <c r="AC67" s="696">
        <v>11.027543116826564</v>
      </c>
      <c r="AD67" s="696">
        <v>10.740330621600151</v>
      </c>
      <c r="AE67" s="696">
        <v>10.740330621600151</v>
      </c>
      <c r="AF67" s="696">
        <v>10.740330621600151</v>
      </c>
      <c r="AG67" s="696">
        <v>10.740330621600151</v>
      </c>
      <c r="AH67" s="696">
        <v>10.740330621600151</v>
      </c>
      <c r="AI67" s="696">
        <v>0.17180000245571136</v>
      </c>
      <c r="AJ67" s="696">
        <v>0</v>
      </c>
      <c r="AK67" s="696">
        <v>0</v>
      </c>
      <c r="AL67" s="696">
        <v>0</v>
      </c>
      <c r="AM67" s="696">
        <v>0</v>
      </c>
      <c r="AN67" s="696">
        <v>0</v>
      </c>
      <c r="AO67" s="697">
        <v>0</v>
      </c>
      <c r="AP67" s="633"/>
      <c r="AQ67" s="695">
        <v>0</v>
      </c>
      <c r="AR67" s="696">
        <v>0</v>
      </c>
      <c r="AS67" s="696">
        <v>0</v>
      </c>
      <c r="AT67" s="696">
        <v>71821.526363372803</v>
      </c>
      <c r="AU67" s="696">
        <v>71732.842437744141</v>
      </c>
      <c r="AV67" s="696">
        <v>67319.133218765259</v>
      </c>
      <c r="AW67" s="696">
        <v>65467.014835357666</v>
      </c>
      <c r="AX67" s="696">
        <v>63318.990867614746</v>
      </c>
      <c r="AY67" s="696">
        <v>63318.990867614746</v>
      </c>
      <c r="AZ67" s="696">
        <v>61398.427192687988</v>
      </c>
      <c r="BA67" s="696">
        <v>60095.036655426025</v>
      </c>
      <c r="BB67" s="696">
        <v>42588.378021240234</v>
      </c>
      <c r="BC67" s="696">
        <v>42271.378021240234</v>
      </c>
      <c r="BD67" s="696">
        <v>38972.724487304688</v>
      </c>
      <c r="BE67" s="696">
        <v>38972.724487304688</v>
      </c>
      <c r="BF67" s="696">
        <v>35716.965209960938</v>
      </c>
      <c r="BG67" s="696">
        <v>35716.965209960938</v>
      </c>
      <c r="BH67" s="696">
        <v>30382.965209960938</v>
      </c>
      <c r="BI67" s="696">
        <v>28010.340209960938</v>
      </c>
      <c r="BJ67" s="696">
        <v>28010.340209960938</v>
      </c>
      <c r="BK67" s="696">
        <v>28010.340209960938</v>
      </c>
      <c r="BL67" s="696">
        <v>28010.340209960938</v>
      </c>
      <c r="BM67" s="696">
        <v>28010.340209960938</v>
      </c>
      <c r="BN67" s="696">
        <v>1266</v>
      </c>
      <c r="BO67" s="696">
        <v>0</v>
      </c>
      <c r="BP67" s="696">
        <v>0</v>
      </c>
      <c r="BQ67" s="696">
        <v>0</v>
      </c>
      <c r="BR67" s="696">
        <v>0</v>
      </c>
      <c r="BS67" s="696">
        <v>0</v>
      </c>
      <c r="BT67" s="697">
        <v>0</v>
      </c>
    </row>
    <row r="68" spans="2:73">
      <c r="B68" s="691"/>
      <c r="C68" s="691" t="s">
        <v>42</v>
      </c>
      <c r="D68" s="691"/>
      <c r="E68" s="691" t="s">
        <v>690</v>
      </c>
      <c r="F68" s="691" t="s">
        <v>29</v>
      </c>
      <c r="G68" s="691"/>
      <c r="H68" s="691">
        <v>2014</v>
      </c>
      <c r="I68" s="644" t="s">
        <v>582</v>
      </c>
      <c r="J68" s="644" t="s">
        <v>597</v>
      </c>
      <c r="K68" s="633"/>
      <c r="L68" s="695">
        <v>0</v>
      </c>
      <c r="M68" s="696">
        <v>0</v>
      </c>
      <c r="N68" s="696">
        <v>0</v>
      </c>
      <c r="O68" s="696">
        <v>279</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7">
        <v>0</v>
      </c>
      <c r="AP68" s="633"/>
      <c r="AQ68" s="695">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7">
        <v>0</v>
      </c>
    </row>
    <row r="69" spans="2:73">
      <c r="B69" s="691"/>
      <c r="C69" s="691" t="s">
        <v>9</v>
      </c>
      <c r="D69" s="691"/>
      <c r="E69" s="691" t="s">
        <v>690</v>
      </c>
      <c r="F69" s="691" t="s">
        <v>691</v>
      </c>
      <c r="G69" s="691"/>
      <c r="H69" s="691">
        <v>2014</v>
      </c>
      <c r="I69" s="644" t="s">
        <v>582</v>
      </c>
      <c r="J69" s="644" t="s">
        <v>597</v>
      </c>
      <c r="K69" s="633"/>
      <c r="L69" s="695">
        <v>0</v>
      </c>
      <c r="M69" s="696">
        <v>0</v>
      </c>
      <c r="N69" s="696">
        <v>0</v>
      </c>
      <c r="O69" s="696">
        <v>35</v>
      </c>
      <c r="P69" s="696">
        <v>0</v>
      </c>
      <c r="Q69" s="696">
        <v>0</v>
      </c>
      <c r="R69" s="696">
        <v>0</v>
      </c>
      <c r="S69" s="696">
        <v>0</v>
      </c>
      <c r="T69" s="696">
        <v>0</v>
      </c>
      <c r="U69" s="696">
        <v>0</v>
      </c>
      <c r="V69" s="696">
        <v>0</v>
      </c>
      <c r="W69" s="696">
        <v>0</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7">
        <v>0</v>
      </c>
      <c r="AP69" s="633"/>
      <c r="AQ69" s="695">
        <v>0</v>
      </c>
      <c r="AR69" s="696">
        <v>0</v>
      </c>
      <c r="AS69" s="696">
        <v>0</v>
      </c>
      <c r="AT69" s="696">
        <v>0</v>
      </c>
      <c r="AU69" s="696">
        <v>0</v>
      </c>
      <c r="AV69" s="696">
        <v>0</v>
      </c>
      <c r="AW69" s="696">
        <v>0</v>
      </c>
      <c r="AX69" s="696">
        <v>0</v>
      </c>
      <c r="AY69" s="696">
        <v>0</v>
      </c>
      <c r="AZ69" s="696">
        <v>0</v>
      </c>
      <c r="BA69" s="696">
        <v>0</v>
      </c>
      <c r="BB69" s="696">
        <v>0</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7">
        <v>0</v>
      </c>
    </row>
    <row r="70" spans="2:73">
      <c r="B70" s="691"/>
      <c r="C70" s="691" t="s">
        <v>97</v>
      </c>
      <c r="D70" s="691"/>
      <c r="E70" s="691" t="s">
        <v>692</v>
      </c>
      <c r="F70" s="691" t="s">
        <v>29</v>
      </c>
      <c r="G70" s="691"/>
      <c r="H70" s="691">
        <v>2015</v>
      </c>
      <c r="I70" s="644" t="s">
        <v>583</v>
      </c>
      <c r="J70" s="644" t="s">
        <v>597</v>
      </c>
      <c r="K70" s="633"/>
      <c r="L70" s="695">
        <v>0</v>
      </c>
      <c r="M70" s="696">
        <v>0</v>
      </c>
      <c r="N70" s="696">
        <v>0</v>
      </c>
      <c r="O70" s="696">
        <v>0</v>
      </c>
      <c r="P70" s="696">
        <v>1.8940619853286125</v>
      </c>
      <c r="Q70" s="696">
        <v>1.8940619853286125</v>
      </c>
      <c r="R70" s="696">
        <v>1.8940619853286125</v>
      </c>
      <c r="S70" s="696">
        <v>1.7773076878544234</v>
      </c>
      <c r="T70" s="696">
        <v>0.89716125641366173</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3"/>
      <c r="AQ70" s="695">
        <v>0</v>
      </c>
      <c r="AR70" s="696">
        <v>0</v>
      </c>
      <c r="AS70" s="696">
        <v>0</v>
      </c>
      <c r="AT70" s="696">
        <v>0</v>
      </c>
      <c r="AU70" s="696">
        <v>11615.871880481795</v>
      </c>
      <c r="AV70" s="696">
        <v>11615.871880481795</v>
      </c>
      <c r="AW70" s="696">
        <v>11615.871880481795</v>
      </c>
      <c r="AX70" s="696">
        <v>11511.463833874126</v>
      </c>
      <c r="AY70" s="696">
        <v>6104.6264729110871</v>
      </c>
      <c r="AZ70" s="696">
        <v>0</v>
      </c>
      <c r="BA70" s="696">
        <v>0</v>
      </c>
      <c r="BB70" s="696">
        <v>0</v>
      </c>
      <c r="BC70" s="696">
        <v>0</v>
      </c>
      <c r="BD70" s="696">
        <v>0</v>
      </c>
      <c r="BE70" s="696">
        <v>0</v>
      </c>
      <c r="BF70" s="696">
        <v>0</v>
      </c>
      <c r="BG70" s="696">
        <v>0</v>
      </c>
      <c r="BH70" s="696">
        <v>0</v>
      </c>
      <c r="BI70" s="696">
        <v>0</v>
      </c>
      <c r="BJ70" s="696">
        <v>0</v>
      </c>
      <c r="BK70" s="696">
        <v>0</v>
      </c>
      <c r="BL70" s="696">
        <v>0</v>
      </c>
      <c r="BM70" s="696">
        <v>0</v>
      </c>
      <c r="BN70" s="696">
        <v>0</v>
      </c>
      <c r="BO70" s="696">
        <v>0</v>
      </c>
      <c r="BP70" s="696">
        <v>0</v>
      </c>
      <c r="BQ70" s="696">
        <v>0</v>
      </c>
      <c r="BR70" s="696">
        <v>0</v>
      </c>
      <c r="BS70" s="696">
        <v>0</v>
      </c>
      <c r="BT70" s="697">
        <v>0</v>
      </c>
    </row>
    <row r="71" spans="2:73">
      <c r="B71" s="691"/>
      <c r="C71" s="691" t="s">
        <v>96</v>
      </c>
      <c r="D71" s="691"/>
      <c r="E71" s="691" t="s">
        <v>692</v>
      </c>
      <c r="F71" s="691" t="s">
        <v>29</v>
      </c>
      <c r="G71" s="691"/>
      <c r="H71" s="691">
        <v>2015</v>
      </c>
      <c r="I71" s="644" t="s">
        <v>583</v>
      </c>
      <c r="J71" s="644" t="s">
        <v>597</v>
      </c>
      <c r="K71" s="633"/>
      <c r="L71" s="695">
        <v>0</v>
      </c>
      <c r="M71" s="696">
        <v>0</v>
      </c>
      <c r="N71" s="696">
        <v>0</v>
      </c>
      <c r="O71" s="696">
        <v>0</v>
      </c>
      <c r="P71" s="696">
        <v>7.1498504523071205</v>
      </c>
      <c r="Q71" s="696">
        <v>6.9420324388704344</v>
      </c>
      <c r="R71" s="696">
        <v>6.9420324388704344</v>
      </c>
      <c r="S71" s="696">
        <v>6.9420324388704344</v>
      </c>
      <c r="T71" s="696">
        <v>6.9420324388704344</v>
      </c>
      <c r="U71" s="696">
        <v>6.9420324388704344</v>
      </c>
      <c r="V71" s="696">
        <v>6.9420324388704344</v>
      </c>
      <c r="W71" s="696">
        <v>6.9420324388704344</v>
      </c>
      <c r="X71" s="696">
        <v>6.9420324388704344</v>
      </c>
      <c r="Y71" s="696">
        <v>6.9420324388704344</v>
      </c>
      <c r="Z71" s="696">
        <v>5.1701115507474809</v>
      </c>
      <c r="AA71" s="696">
        <v>4.4694759760717293</v>
      </c>
      <c r="AB71" s="696">
        <v>4.4694759760717293</v>
      </c>
      <c r="AC71" s="696">
        <v>4.4694759760717293</v>
      </c>
      <c r="AD71" s="696">
        <v>4.4694759760717293</v>
      </c>
      <c r="AE71" s="696">
        <v>4.4694759760717293</v>
      </c>
      <c r="AF71" s="696">
        <v>3.0107111400448829</v>
      </c>
      <c r="AG71" s="696">
        <v>3.0107111400448829</v>
      </c>
      <c r="AH71" s="696">
        <v>3.0107111400448829</v>
      </c>
      <c r="AI71" s="696">
        <v>3.0107111400448829</v>
      </c>
      <c r="AJ71" s="696">
        <v>0</v>
      </c>
      <c r="AK71" s="696">
        <v>0</v>
      </c>
      <c r="AL71" s="696">
        <v>0</v>
      </c>
      <c r="AM71" s="696">
        <v>0</v>
      </c>
      <c r="AN71" s="696">
        <v>0</v>
      </c>
      <c r="AO71" s="697">
        <v>0</v>
      </c>
      <c r="AP71" s="633"/>
      <c r="AQ71" s="698">
        <v>0</v>
      </c>
      <c r="AR71" s="699">
        <v>0</v>
      </c>
      <c r="AS71" s="699">
        <v>0</v>
      </c>
      <c r="AT71" s="699">
        <v>0</v>
      </c>
      <c r="AU71" s="699">
        <v>96163.765526452582</v>
      </c>
      <c r="AV71" s="699">
        <v>92853.364846757977</v>
      </c>
      <c r="AW71" s="699">
        <v>92853.364846757977</v>
      </c>
      <c r="AX71" s="699">
        <v>92853.364846757977</v>
      </c>
      <c r="AY71" s="699">
        <v>92853.364846757977</v>
      </c>
      <c r="AZ71" s="699">
        <v>92853.364846757977</v>
      </c>
      <c r="BA71" s="699">
        <v>92853.364846757977</v>
      </c>
      <c r="BB71" s="699">
        <v>92853.364846757977</v>
      </c>
      <c r="BC71" s="699">
        <v>92853.364846757977</v>
      </c>
      <c r="BD71" s="699">
        <v>92853.364846757977</v>
      </c>
      <c r="BE71" s="699">
        <v>82356.387247949242</v>
      </c>
      <c r="BF71" s="699">
        <v>71195.735462913144</v>
      </c>
      <c r="BG71" s="699">
        <v>71195.735462913144</v>
      </c>
      <c r="BH71" s="699">
        <v>71195.735462913144</v>
      </c>
      <c r="BI71" s="699">
        <v>71195.735462913144</v>
      </c>
      <c r="BJ71" s="699">
        <v>71195.735462913144</v>
      </c>
      <c r="BK71" s="699">
        <v>47958.59627156458</v>
      </c>
      <c r="BL71" s="699">
        <v>47958.59627156458</v>
      </c>
      <c r="BM71" s="699">
        <v>47958.59627156458</v>
      </c>
      <c r="BN71" s="699">
        <v>47958.59627156458</v>
      </c>
      <c r="BO71" s="699">
        <v>0</v>
      </c>
      <c r="BP71" s="699">
        <v>0</v>
      </c>
      <c r="BQ71" s="699">
        <v>0</v>
      </c>
      <c r="BR71" s="699">
        <v>0</v>
      </c>
      <c r="BS71" s="699">
        <v>0</v>
      </c>
      <c r="BT71" s="700">
        <v>0</v>
      </c>
    </row>
    <row r="72" spans="2:73">
      <c r="B72" s="691"/>
      <c r="C72" s="691" t="s">
        <v>95</v>
      </c>
      <c r="D72" s="691"/>
      <c r="E72" s="691" t="s">
        <v>692</v>
      </c>
      <c r="F72" s="691" t="s">
        <v>29</v>
      </c>
      <c r="G72" s="691"/>
      <c r="H72" s="691">
        <v>2015</v>
      </c>
      <c r="I72" s="644" t="s">
        <v>583</v>
      </c>
      <c r="J72" s="644" t="s">
        <v>597</v>
      </c>
      <c r="K72" s="633"/>
      <c r="L72" s="695">
        <v>0</v>
      </c>
      <c r="M72" s="696">
        <v>0</v>
      </c>
      <c r="N72" s="696">
        <v>0</v>
      </c>
      <c r="O72" s="696">
        <v>0</v>
      </c>
      <c r="P72" s="696">
        <v>2.5767764105022186</v>
      </c>
      <c r="Q72" s="696">
        <v>2.5541009156139545</v>
      </c>
      <c r="R72" s="696">
        <v>2.5541009156139545</v>
      </c>
      <c r="S72" s="696">
        <v>2.5541009156139545</v>
      </c>
      <c r="T72" s="696">
        <v>2.5541009156139545</v>
      </c>
      <c r="U72" s="696">
        <v>2.5541009156139545</v>
      </c>
      <c r="V72" s="696">
        <v>2.5541009156139545</v>
      </c>
      <c r="W72" s="696">
        <v>2.5528481424796112</v>
      </c>
      <c r="X72" s="696">
        <v>2.5528481424796112</v>
      </c>
      <c r="Y72" s="696">
        <v>2.5528481424796112</v>
      </c>
      <c r="Z72" s="696">
        <v>2.2181491550843311</v>
      </c>
      <c r="AA72" s="696">
        <v>2.2180895854273364</v>
      </c>
      <c r="AB72" s="696">
        <v>2.2180895854273364</v>
      </c>
      <c r="AC72" s="696">
        <v>2.2171443546298448</v>
      </c>
      <c r="AD72" s="696">
        <v>2.2171443546298448</v>
      </c>
      <c r="AE72" s="696">
        <v>2.2147993868656881</v>
      </c>
      <c r="AF72" s="696">
        <v>0.89293086398566734</v>
      </c>
      <c r="AG72" s="696">
        <v>0.89293086398566734</v>
      </c>
      <c r="AH72" s="696">
        <v>0.89293086398566734</v>
      </c>
      <c r="AI72" s="696">
        <v>0.89293086398566734</v>
      </c>
      <c r="AJ72" s="696">
        <v>0</v>
      </c>
      <c r="AK72" s="696">
        <v>0</v>
      </c>
      <c r="AL72" s="696">
        <v>0</v>
      </c>
      <c r="AM72" s="696">
        <v>0</v>
      </c>
      <c r="AN72" s="696">
        <v>0</v>
      </c>
      <c r="AO72" s="697">
        <v>0</v>
      </c>
      <c r="AP72" s="633"/>
      <c r="AQ72" s="692">
        <v>0</v>
      </c>
      <c r="AR72" s="693">
        <v>0</v>
      </c>
      <c r="AS72" s="693">
        <v>0</v>
      </c>
      <c r="AT72" s="693">
        <v>0</v>
      </c>
      <c r="AU72" s="693">
        <v>40377.861220612787</v>
      </c>
      <c r="AV72" s="693">
        <v>40016.655892695475</v>
      </c>
      <c r="AW72" s="693">
        <v>40016.655892695475</v>
      </c>
      <c r="AX72" s="693">
        <v>40016.655892695475</v>
      </c>
      <c r="AY72" s="693">
        <v>40016.655892695475</v>
      </c>
      <c r="AZ72" s="693">
        <v>40016.655892695475</v>
      </c>
      <c r="BA72" s="693">
        <v>40016.655892695475</v>
      </c>
      <c r="BB72" s="693">
        <v>40005.681600038632</v>
      </c>
      <c r="BC72" s="693">
        <v>40005.681600038632</v>
      </c>
      <c r="BD72" s="693">
        <v>40005.681600038632</v>
      </c>
      <c r="BE72" s="693">
        <v>35857.446322336975</v>
      </c>
      <c r="BF72" s="693">
        <v>35366.524203143832</v>
      </c>
      <c r="BG72" s="693">
        <v>35366.524203143832</v>
      </c>
      <c r="BH72" s="693">
        <v>35306.0974992517</v>
      </c>
      <c r="BI72" s="693">
        <v>35306.0974992517</v>
      </c>
      <c r="BJ72" s="693">
        <v>35280.259273102107</v>
      </c>
      <c r="BK72" s="693">
        <v>14223.785947020335</v>
      </c>
      <c r="BL72" s="693">
        <v>14223.785947020335</v>
      </c>
      <c r="BM72" s="693">
        <v>14223.785947020335</v>
      </c>
      <c r="BN72" s="693">
        <v>14223.785947020335</v>
      </c>
      <c r="BO72" s="693">
        <v>0</v>
      </c>
      <c r="BP72" s="693">
        <v>0</v>
      </c>
      <c r="BQ72" s="693">
        <v>0</v>
      </c>
      <c r="BR72" s="693">
        <v>0</v>
      </c>
      <c r="BS72" s="693">
        <v>0</v>
      </c>
      <c r="BT72" s="694">
        <v>0</v>
      </c>
    </row>
    <row r="73" spans="2:73">
      <c r="B73" s="691"/>
      <c r="C73" s="691" t="s">
        <v>102</v>
      </c>
      <c r="D73" s="691"/>
      <c r="E73" s="691" t="s">
        <v>692</v>
      </c>
      <c r="F73" s="691" t="s">
        <v>689</v>
      </c>
      <c r="G73" s="691"/>
      <c r="H73" s="691">
        <v>2015</v>
      </c>
      <c r="I73" s="644" t="s">
        <v>583</v>
      </c>
      <c r="J73" s="644" t="s">
        <v>597</v>
      </c>
      <c r="K73" s="633"/>
      <c r="L73" s="695">
        <v>0</v>
      </c>
      <c r="M73" s="696">
        <v>0</v>
      </c>
      <c r="N73" s="696">
        <v>0</v>
      </c>
      <c r="O73" s="696">
        <v>0</v>
      </c>
      <c r="P73" s="696">
        <v>45.679438952716225</v>
      </c>
      <c r="Q73" s="696">
        <v>39.856493080140012</v>
      </c>
      <c r="R73" s="696">
        <v>32.922001418597183</v>
      </c>
      <c r="S73" s="696">
        <v>32.922001418597183</v>
      </c>
      <c r="T73" s="696">
        <v>32.922001418597183</v>
      </c>
      <c r="U73" s="696">
        <v>32.922001418597183</v>
      </c>
      <c r="V73" s="696">
        <v>32.922001418597183</v>
      </c>
      <c r="W73" s="696">
        <v>32.922001418597183</v>
      </c>
      <c r="X73" s="696">
        <v>32.922001418597183</v>
      </c>
      <c r="Y73" s="696">
        <v>32.922001418597183</v>
      </c>
      <c r="Z73" s="696">
        <v>32.847579256715612</v>
      </c>
      <c r="AA73" s="696">
        <v>7.9725430009724514</v>
      </c>
      <c r="AB73" s="696">
        <v>0</v>
      </c>
      <c r="AC73" s="696">
        <v>0</v>
      </c>
      <c r="AD73" s="696">
        <v>0</v>
      </c>
      <c r="AE73" s="696">
        <v>0</v>
      </c>
      <c r="AF73" s="696">
        <v>0</v>
      </c>
      <c r="AG73" s="696">
        <v>0</v>
      </c>
      <c r="AH73" s="696">
        <v>0</v>
      </c>
      <c r="AI73" s="696">
        <v>0</v>
      </c>
      <c r="AJ73" s="696">
        <v>0</v>
      </c>
      <c r="AK73" s="696">
        <v>0</v>
      </c>
      <c r="AL73" s="696">
        <v>0</v>
      </c>
      <c r="AM73" s="696">
        <v>0</v>
      </c>
      <c r="AN73" s="696">
        <v>0</v>
      </c>
      <c r="AO73" s="697">
        <v>0</v>
      </c>
      <c r="AP73" s="633"/>
      <c r="AQ73" s="695">
        <v>0</v>
      </c>
      <c r="AR73" s="696">
        <v>0</v>
      </c>
      <c r="AS73" s="696">
        <v>0</v>
      </c>
      <c r="AT73" s="696">
        <v>0</v>
      </c>
      <c r="AU73" s="696">
        <v>200344.6889512011</v>
      </c>
      <c r="AV73" s="696">
        <v>173753.35174323231</v>
      </c>
      <c r="AW73" s="696">
        <v>145101.00694457217</v>
      </c>
      <c r="AX73" s="696">
        <v>145101.00694457217</v>
      </c>
      <c r="AY73" s="696">
        <v>145101.00694457217</v>
      </c>
      <c r="AZ73" s="696">
        <v>145101.00694457217</v>
      </c>
      <c r="BA73" s="696">
        <v>145101.00694457217</v>
      </c>
      <c r="BB73" s="696">
        <v>145101.00694457217</v>
      </c>
      <c r="BC73" s="696">
        <v>145101.00694457217</v>
      </c>
      <c r="BD73" s="696">
        <v>145101.00694457217</v>
      </c>
      <c r="BE73" s="696">
        <v>144301.60419036049</v>
      </c>
      <c r="BF73" s="696">
        <v>31189.216248997596</v>
      </c>
      <c r="BG73" s="696">
        <v>0</v>
      </c>
      <c r="BH73" s="696">
        <v>0</v>
      </c>
      <c r="BI73" s="696">
        <v>0</v>
      </c>
      <c r="BJ73" s="696">
        <v>0</v>
      </c>
      <c r="BK73" s="696">
        <v>0</v>
      </c>
      <c r="BL73" s="696">
        <v>0</v>
      </c>
      <c r="BM73" s="696">
        <v>0</v>
      </c>
      <c r="BN73" s="696">
        <v>0</v>
      </c>
      <c r="BO73" s="696">
        <v>0</v>
      </c>
      <c r="BP73" s="696">
        <v>0</v>
      </c>
      <c r="BQ73" s="696">
        <v>0</v>
      </c>
      <c r="BR73" s="696">
        <v>0</v>
      </c>
      <c r="BS73" s="696">
        <v>0</v>
      </c>
      <c r="BT73" s="697">
        <v>0</v>
      </c>
    </row>
    <row r="74" spans="2:73">
      <c r="B74" s="691"/>
      <c r="C74" s="691" t="s">
        <v>101</v>
      </c>
      <c r="D74" s="691"/>
      <c r="E74" s="691" t="s">
        <v>692</v>
      </c>
      <c r="F74" s="691" t="s">
        <v>691</v>
      </c>
      <c r="G74" s="691"/>
      <c r="H74" s="691">
        <v>2015</v>
      </c>
      <c r="I74" s="644" t="s">
        <v>583</v>
      </c>
      <c r="J74" s="644" t="s">
        <v>597</v>
      </c>
      <c r="K74" s="633"/>
      <c r="L74" s="695">
        <v>0</v>
      </c>
      <c r="M74" s="696">
        <v>0</v>
      </c>
      <c r="N74" s="696">
        <v>0</v>
      </c>
      <c r="O74" s="696">
        <v>0</v>
      </c>
      <c r="P74" s="696">
        <v>111.86379080205066</v>
      </c>
      <c r="Q74" s="696">
        <v>111.86379080205066</v>
      </c>
      <c r="R74" s="696">
        <v>111.17750980884584</v>
      </c>
      <c r="S74" s="696">
        <v>111.17750980884584</v>
      </c>
      <c r="T74" s="696">
        <v>111.17750980884584</v>
      </c>
      <c r="U74" s="696">
        <v>111.17750980884584</v>
      </c>
      <c r="V74" s="696">
        <v>109.37003518037534</v>
      </c>
      <c r="W74" s="696">
        <v>109.37003518037534</v>
      </c>
      <c r="X74" s="696">
        <v>108.71947250588629</v>
      </c>
      <c r="Y74" s="696">
        <v>102.82800003192216</v>
      </c>
      <c r="Z74" s="696">
        <v>88.497710279844199</v>
      </c>
      <c r="AA74" s="696">
        <v>88.497710279844199</v>
      </c>
      <c r="AB74" s="696">
        <v>77.228905239711651</v>
      </c>
      <c r="AC74" s="696">
        <v>77.228905239711651</v>
      </c>
      <c r="AD74" s="696">
        <v>77.228905239711651</v>
      </c>
      <c r="AE74" s="696">
        <v>77.228905239711651</v>
      </c>
      <c r="AF74" s="696">
        <v>77.228905239711651</v>
      </c>
      <c r="AG74" s="696">
        <v>77.228905239711651</v>
      </c>
      <c r="AH74" s="696">
        <v>77.228905239711651</v>
      </c>
      <c r="AI74" s="696">
        <v>77.228905239711651</v>
      </c>
      <c r="AJ74" s="696">
        <v>0</v>
      </c>
      <c r="AK74" s="696">
        <v>0</v>
      </c>
      <c r="AL74" s="696">
        <v>0</v>
      </c>
      <c r="AM74" s="696">
        <v>0</v>
      </c>
      <c r="AN74" s="696">
        <v>0</v>
      </c>
      <c r="AO74" s="697">
        <v>0</v>
      </c>
      <c r="AP74" s="633"/>
      <c r="AQ74" s="695">
        <v>0</v>
      </c>
      <c r="AR74" s="696">
        <v>0</v>
      </c>
      <c r="AS74" s="696">
        <v>0</v>
      </c>
      <c r="AT74" s="696">
        <v>0</v>
      </c>
      <c r="AU74" s="696">
        <v>789677.03165802034</v>
      </c>
      <c r="AV74" s="696">
        <v>789677.03165802034</v>
      </c>
      <c r="AW74" s="696">
        <v>787499.72169082006</v>
      </c>
      <c r="AX74" s="696">
        <v>787499.72169082006</v>
      </c>
      <c r="AY74" s="696">
        <v>787499.72169082006</v>
      </c>
      <c r="AZ74" s="696">
        <v>787499.72169082006</v>
      </c>
      <c r="BA74" s="696">
        <v>771496.72888958873</v>
      </c>
      <c r="BB74" s="696">
        <v>771496.72888958873</v>
      </c>
      <c r="BC74" s="696">
        <v>769440.93611847539</v>
      </c>
      <c r="BD74" s="696">
        <v>717279.10208527395</v>
      </c>
      <c r="BE74" s="696">
        <v>589923.5261265696</v>
      </c>
      <c r="BF74" s="696">
        <v>589923.5261265696</v>
      </c>
      <c r="BG74" s="696">
        <v>284332.05728253897</v>
      </c>
      <c r="BH74" s="696">
        <v>284332.05728253897</v>
      </c>
      <c r="BI74" s="696">
        <v>284332.05728253897</v>
      </c>
      <c r="BJ74" s="696">
        <v>283138.03481285955</v>
      </c>
      <c r="BK74" s="696">
        <v>280498.65606607537</v>
      </c>
      <c r="BL74" s="696">
        <v>280498.65606607537</v>
      </c>
      <c r="BM74" s="696">
        <v>280498.65606607537</v>
      </c>
      <c r="BN74" s="696">
        <v>280498.65606607537</v>
      </c>
      <c r="BO74" s="696">
        <v>0</v>
      </c>
      <c r="BP74" s="696">
        <v>0</v>
      </c>
      <c r="BQ74" s="696">
        <v>0</v>
      </c>
      <c r="BR74" s="696">
        <v>0</v>
      </c>
      <c r="BS74" s="696">
        <v>0</v>
      </c>
      <c r="BT74" s="697">
        <v>0</v>
      </c>
    </row>
    <row r="75" spans="2:73">
      <c r="B75" s="691"/>
      <c r="C75" s="691" t="s">
        <v>98</v>
      </c>
      <c r="D75" s="691"/>
      <c r="E75" s="691" t="s">
        <v>692</v>
      </c>
      <c r="F75" s="691" t="s">
        <v>29</v>
      </c>
      <c r="G75" s="691"/>
      <c r="H75" s="691">
        <v>2015</v>
      </c>
      <c r="I75" s="644" t="s">
        <v>583</v>
      </c>
      <c r="J75" s="644" t="s">
        <v>597</v>
      </c>
      <c r="K75" s="633"/>
      <c r="L75" s="695">
        <v>0</v>
      </c>
      <c r="M75" s="696">
        <v>0</v>
      </c>
      <c r="N75" s="696">
        <v>0</v>
      </c>
      <c r="O75" s="696">
        <v>0</v>
      </c>
      <c r="P75" s="696">
        <v>26.265753677039768</v>
      </c>
      <c r="Q75" s="696">
        <v>26.265753677039768</v>
      </c>
      <c r="R75" s="696">
        <v>26.265753677039768</v>
      </c>
      <c r="S75" s="696">
        <v>26.265753677039768</v>
      </c>
      <c r="T75" s="696">
        <v>26.265753677039768</v>
      </c>
      <c r="U75" s="696">
        <v>26.265753677039768</v>
      </c>
      <c r="V75" s="696">
        <v>26.265753677039768</v>
      </c>
      <c r="W75" s="696">
        <v>26.265753677039768</v>
      </c>
      <c r="X75" s="696">
        <v>26.265753677039768</v>
      </c>
      <c r="Y75" s="696">
        <v>26.265753677039768</v>
      </c>
      <c r="Z75" s="696">
        <v>26.265753677039768</v>
      </c>
      <c r="AA75" s="696">
        <v>26.265753677039768</v>
      </c>
      <c r="AB75" s="696">
        <v>26.265753677039768</v>
      </c>
      <c r="AC75" s="696">
        <v>26.265753677039768</v>
      </c>
      <c r="AD75" s="696">
        <v>26.265753677039768</v>
      </c>
      <c r="AE75" s="696">
        <v>26.265753677039768</v>
      </c>
      <c r="AF75" s="696">
        <v>26.265753677039768</v>
      </c>
      <c r="AG75" s="696">
        <v>26.265753677039768</v>
      </c>
      <c r="AH75" s="696">
        <v>24.692236698033874</v>
      </c>
      <c r="AI75" s="696">
        <v>0</v>
      </c>
      <c r="AJ75" s="696">
        <v>0</v>
      </c>
      <c r="AK75" s="696">
        <v>0</v>
      </c>
      <c r="AL75" s="696">
        <v>0</v>
      </c>
      <c r="AM75" s="696">
        <v>0</v>
      </c>
      <c r="AN75" s="696">
        <v>0</v>
      </c>
      <c r="AO75" s="697">
        <v>0</v>
      </c>
      <c r="AP75" s="633"/>
      <c r="AQ75" s="695">
        <v>0</v>
      </c>
      <c r="AR75" s="696">
        <v>0</v>
      </c>
      <c r="AS75" s="696">
        <v>0</v>
      </c>
      <c r="AT75" s="696">
        <v>0</v>
      </c>
      <c r="AU75" s="696">
        <v>51047.782683221878</v>
      </c>
      <c r="AV75" s="696">
        <v>51047.782683221878</v>
      </c>
      <c r="AW75" s="696">
        <v>51047.782683221878</v>
      </c>
      <c r="AX75" s="696">
        <v>51047.782683221878</v>
      </c>
      <c r="AY75" s="696">
        <v>51047.782683221878</v>
      </c>
      <c r="AZ75" s="696">
        <v>51047.782683221878</v>
      </c>
      <c r="BA75" s="696">
        <v>51047.782683221878</v>
      </c>
      <c r="BB75" s="696">
        <v>51047.782683221878</v>
      </c>
      <c r="BC75" s="696">
        <v>51047.782683221878</v>
      </c>
      <c r="BD75" s="696">
        <v>51047.782683221878</v>
      </c>
      <c r="BE75" s="696">
        <v>51047.782683221878</v>
      </c>
      <c r="BF75" s="696">
        <v>51047.782683221878</v>
      </c>
      <c r="BG75" s="696">
        <v>51047.782683221878</v>
      </c>
      <c r="BH75" s="696">
        <v>51047.782683221878</v>
      </c>
      <c r="BI75" s="696">
        <v>51047.782683221878</v>
      </c>
      <c r="BJ75" s="696">
        <v>51047.782683221878</v>
      </c>
      <c r="BK75" s="696">
        <v>51047.782683221878</v>
      </c>
      <c r="BL75" s="696">
        <v>51047.782683221878</v>
      </c>
      <c r="BM75" s="696">
        <v>49640.658169297007</v>
      </c>
      <c r="BN75" s="696">
        <v>0</v>
      </c>
      <c r="BO75" s="696">
        <v>0</v>
      </c>
      <c r="BP75" s="696">
        <v>0</v>
      </c>
      <c r="BQ75" s="696">
        <v>0</v>
      </c>
      <c r="BR75" s="696">
        <v>0</v>
      </c>
      <c r="BS75" s="696">
        <v>0</v>
      </c>
      <c r="BT75" s="697">
        <v>0</v>
      </c>
    </row>
    <row r="76" spans="2:73">
      <c r="B76" s="691"/>
      <c r="C76" s="691" t="s">
        <v>109</v>
      </c>
      <c r="D76" s="691"/>
      <c r="E76" s="691" t="s">
        <v>692</v>
      </c>
      <c r="F76" s="691" t="s">
        <v>29</v>
      </c>
      <c r="G76" s="691"/>
      <c r="H76" s="691">
        <v>2015</v>
      </c>
      <c r="I76" s="644" t="s">
        <v>583</v>
      </c>
      <c r="J76" s="644" t="s">
        <v>597</v>
      </c>
      <c r="K76" s="633"/>
      <c r="L76" s="695">
        <v>0</v>
      </c>
      <c r="M76" s="696">
        <v>0</v>
      </c>
      <c r="N76" s="696">
        <v>0</v>
      </c>
      <c r="O76" s="696">
        <v>0</v>
      </c>
      <c r="P76" s="696">
        <v>0.67962809698656201</v>
      </c>
      <c r="Q76" s="696">
        <v>0.51077296514995396</v>
      </c>
      <c r="R76" s="696">
        <v>0.47896587220020592</v>
      </c>
      <c r="S76" s="696">
        <v>0.44715875689871609</v>
      </c>
      <c r="T76" s="696">
        <v>0.44715875689871609</v>
      </c>
      <c r="U76" s="696">
        <v>0.44715875689871609</v>
      </c>
      <c r="V76" s="696">
        <v>0.41412671213038266</v>
      </c>
      <c r="W76" s="696">
        <v>0.41412671213038266</v>
      </c>
      <c r="X76" s="696">
        <v>0.17553582321852446</v>
      </c>
      <c r="Y76" s="696">
        <v>0.17553582321852446</v>
      </c>
      <c r="Z76" s="696">
        <v>0.16297455132007599</v>
      </c>
      <c r="AA76" s="696">
        <v>0.16297455132007599</v>
      </c>
      <c r="AB76" s="696">
        <v>0.16297455132007599</v>
      </c>
      <c r="AC76" s="696">
        <v>0.16297455132007599</v>
      </c>
      <c r="AD76" s="696">
        <v>0.16297455132007599</v>
      </c>
      <c r="AE76" s="696">
        <v>0.14467664062976837</v>
      </c>
      <c r="AF76" s="696">
        <v>0.14467664062976837</v>
      </c>
      <c r="AG76" s="696">
        <v>0.14467664062976837</v>
      </c>
      <c r="AH76" s="696">
        <v>0.14467664062976837</v>
      </c>
      <c r="AI76" s="696">
        <v>0.14467664062976837</v>
      </c>
      <c r="AJ76" s="696">
        <v>0</v>
      </c>
      <c r="AK76" s="696">
        <v>0</v>
      </c>
      <c r="AL76" s="696">
        <v>0</v>
      </c>
      <c r="AM76" s="696">
        <v>0</v>
      </c>
      <c r="AN76" s="696">
        <v>0</v>
      </c>
      <c r="AO76" s="697">
        <v>0</v>
      </c>
      <c r="AP76" s="633"/>
      <c r="AQ76" s="695">
        <v>0</v>
      </c>
      <c r="AR76" s="696">
        <v>0</v>
      </c>
      <c r="AS76" s="696">
        <v>0</v>
      </c>
      <c r="AT76" s="696">
        <v>0</v>
      </c>
      <c r="AU76" s="696">
        <v>10324.690811157227</v>
      </c>
      <c r="AV76" s="696">
        <v>7074.1198806762695</v>
      </c>
      <c r="AW76" s="696">
        <v>6461.8127899169922</v>
      </c>
      <c r="AX76" s="696">
        <v>5849.505199432373</v>
      </c>
      <c r="AY76" s="696">
        <v>5849.505199432373</v>
      </c>
      <c r="AZ76" s="696">
        <v>5849.505199432373</v>
      </c>
      <c r="BA76" s="696">
        <v>5213.6168785095215</v>
      </c>
      <c r="BB76" s="696">
        <v>5213.6168785095215</v>
      </c>
      <c r="BC76" s="696">
        <v>620.58732604980469</v>
      </c>
      <c r="BD76" s="696">
        <v>620.58732604980469</v>
      </c>
      <c r="BE76" s="696">
        <v>517.00338745117188</v>
      </c>
      <c r="BF76" s="696">
        <v>517.00338745117188</v>
      </c>
      <c r="BG76" s="696">
        <v>517.00338745117188</v>
      </c>
      <c r="BH76" s="696">
        <v>517.00338745117188</v>
      </c>
      <c r="BI76" s="696">
        <v>517.00338745117188</v>
      </c>
      <c r="BJ76" s="696">
        <v>366.11343383789063</v>
      </c>
      <c r="BK76" s="696">
        <v>366.11343383789063</v>
      </c>
      <c r="BL76" s="696">
        <v>366.11343383789063</v>
      </c>
      <c r="BM76" s="696">
        <v>366.11343383789063</v>
      </c>
      <c r="BN76" s="696">
        <v>366.11343383789063</v>
      </c>
      <c r="BO76" s="696">
        <v>0</v>
      </c>
      <c r="BP76" s="696">
        <v>0</v>
      </c>
      <c r="BQ76" s="696">
        <v>0</v>
      </c>
      <c r="BR76" s="696">
        <v>0</v>
      </c>
      <c r="BS76" s="696">
        <v>0</v>
      </c>
      <c r="BT76" s="697">
        <v>0</v>
      </c>
    </row>
    <row r="77" spans="2:73">
      <c r="B77" s="691"/>
      <c r="C77" s="691" t="s">
        <v>107</v>
      </c>
      <c r="D77" s="691"/>
      <c r="E77" s="691" t="s">
        <v>692</v>
      </c>
      <c r="F77" s="691" t="s">
        <v>688</v>
      </c>
      <c r="G77" s="691"/>
      <c r="H77" s="691">
        <v>2015</v>
      </c>
      <c r="I77" s="644" t="s">
        <v>583</v>
      </c>
      <c r="J77" s="644" t="s">
        <v>597</v>
      </c>
      <c r="K77" s="633"/>
      <c r="L77" s="695">
        <v>0</v>
      </c>
      <c r="M77" s="696">
        <v>0</v>
      </c>
      <c r="N77" s="696">
        <v>0</v>
      </c>
      <c r="O77" s="696">
        <v>0</v>
      </c>
      <c r="P77" s="696">
        <v>5.1296895000000005</v>
      </c>
      <c r="Q77" s="696">
        <v>5.1296895000000005</v>
      </c>
      <c r="R77" s="696">
        <v>5.1296895000000005</v>
      </c>
      <c r="S77" s="696">
        <v>5.1296895000000005</v>
      </c>
      <c r="T77" s="696">
        <v>5.1296895000000005</v>
      </c>
      <c r="U77" s="696">
        <v>5.1296895000000005</v>
      </c>
      <c r="V77" s="696">
        <v>5.1296895000000005</v>
      </c>
      <c r="W77" s="696">
        <v>5.1296895000000005</v>
      </c>
      <c r="X77" s="696">
        <v>5.1296895000000005</v>
      </c>
      <c r="Y77" s="696">
        <v>5.1296895000000005</v>
      </c>
      <c r="Z77" s="696">
        <v>0</v>
      </c>
      <c r="AA77" s="696">
        <v>0</v>
      </c>
      <c r="AB77" s="696">
        <v>0</v>
      </c>
      <c r="AC77" s="696">
        <v>0</v>
      </c>
      <c r="AD77" s="696">
        <v>0</v>
      </c>
      <c r="AE77" s="696">
        <v>0</v>
      </c>
      <c r="AF77" s="696">
        <v>0</v>
      </c>
      <c r="AG77" s="696">
        <v>0</v>
      </c>
      <c r="AH77" s="696">
        <v>0</v>
      </c>
      <c r="AI77" s="696">
        <v>0</v>
      </c>
      <c r="AJ77" s="696">
        <v>0</v>
      </c>
      <c r="AK77" s="696">
        <v>0</v>
      </c>
      <c r="AL77" s="696">
        <v>0</v>
      </c>
      <c r="AM77" s="696">
        <v>0</v>
      </c>
      <c r="AN77" s="696">
        <v>0</v>
      </c>
      <c r="AO77" s="697">
        <v>0</v>
      </c>
      <c r="AP77" s="633"/>
      <c r="AQ77" s="695">
        <v>0</v>
      </c>
      <c r="AR77" s="696">
        <v>0</v>
      </c>
      <c r="AS77" s="696">
        <v>0</v>
      </c>
      <c r="AT77" s="696">
        <v>0</v>
      </c>
      <c r="AU77" s="696">
        <v>16371.3635256915</v>
      </c>
      <c r="AV77" s="696">
        <v>16371.3635256915</v>
      </c>
      <c r="AW77" s="696">
        <v>16371.3635256915</v>
      </c>
      <c r="AX77" s="696">
        <v>16371.3635256915</v>
      </c>
      <c r="AY77" s="696">
        <v>16371.3635256915</v>
      </c>
      <c r="AZ77" s="696">
        <v>16371.3635256915</v>
      </c>
      <c r="BA77" s="696">
        <v>16371.3635256915</v>
      </c>
      <c r="BB77" s="696">
        <v>16371.3635256915</v>
      </c>
      <c r="BC77" s="696">
        <v>16371.3635256915</v>
      </c>
      <c r="BD77" s="696">
        <v>16371.3635256915</v>
      </c>
      <c r="BE77" s="696">
        <v>0</v>
      </c>
      <c r="BF77" s="696">
        <v>0</v>
      </c>
      <c r="BG77" s="696">
        <v>0</v>
      </c>
      <c r="BH77" s="696">
        <v>0</v>
      </c>
      <c r="BI77" s="696">
        <v>0</v>
      </c>
      <c r="BJ77" s="696">
        <v>0</v>
      </c>
      <c r="BK77" s="696">
        <v>0</v>
      </c>
      <c r="BL77" s="696">
        <v>0</v>
      </c>
      <c r="BM77" s="696">
        <v>0</v>
      </c>
      <c r="BN77" s="696">
        <v>0</v>
      </c>
      <c r="BO77" s="696">
        <v>0</v>
      </c>
      <c r="BP77" s="696">
        <v>0</v>
      </c>
      <c r="BQ77" s="696">
        <v>0</v>
      </c>
      <c r="BR77" s="696">
        <v>0</v>
      </c>
      <c r="BS77" s="696">
        <v>0</v>
      </c>
      <c r="BT77" s="697">
        <v>0</v>
      </c>
    </row>
    <row r="78" spans="2:73">
      <c r="B78" s="691"/>
      <c r="C78" s="691" t="s">
        <v>115</v>
      </c>
      <c r="D78" s="691"/>
      <c r="E78" s="691" t="s">
        <v>692</v>
      </c>
      <c r="F78" s="691" t="s">
        <v>29</v>
      </c>
      <c r="G78" s="691"/>
      <c r="H78" s="691">
        <v>2015</v>
      </c>
      <c r="I78" s="644" t="s">
        <v>583</v>
      </c>
      <c r="J78" s="644" t="s">
        <v>597</v>
      </c>
      <c r="K78" s="633"/>
      <c r="L78" s="695">
        <v>0</v>
      </c>
      <c r="M78" s="696">
        <v>0</v>
      </c>
      <c r="N78" s="696">
        <v>0</v>
      </c>
      <c r="O78" s="696">
        <v>0</v>
      </c>
      <c r="P78" s="696">
        <v>36.793749923419099</v>
      </c>
      <c r="Q78" s="696">
        <v>36.793749923419099</v>
      </c>
      <c r="R78" s="696">
        <v>36.793749923419099</v>
      </c>
      <c r="S78" s="696">
        <v>36.793749923419099</v>
      </c>
      <c r="T78" s="696">
        <v>36.793749923419099</v>
      </c>
      <c r="U78" s="696">
        <v>36.793749923419099</v>
      </c>
      <c r="V78" s="696">
        <v>36.793749923419099</v>
      </c>
      <c r="W78" s="696">
        <v>36.793749923419099</v>
      </c>
      <c r="X78" s="696">
        <v>36.793749923419099</v>
      </c>
      <c r="Y78" s="696">
        <v>36.793749923419099</v>
      </c>
      <c r="Z78" s="696">
        <v>36.793749923419099</v>
      </c>
      <c r="AA78" s="696">
        <v>36.793749923419099</v>
      </c>
      <c r="AB78" s="696">
        <v>36.793749923419099</v>
      </c>
      <c r="AC78" s="696">
        <v>36.793749923419099</v>
      </c>
      <c r="AD78" s="696">
        <v>36.793749923419099</v>
      </c>
      <c r="AE78" s="696">
        <v>36.793749923419099</v>
      </c>
      <c r="AF78" s="696">
        <v>36.793749923419099</v>
      </c>
      <c r="AG78" s="696">
        <v>36.793749923419099</v>
      </c>
      <c r="AH78" s="696">
        <v>34.953945455658342</v>
      </c>
      <c r="AI78" s="696">
        <v>0</v>
      </c>
      <c r="AJ78" s="696">
        <v>0</v>
      </c>
      <c r="AK78" s="696">
        <v>0</v>
      </c>
      <c r="AL78" s="696">
        <v>0</v>
      </c>
      <c r="AM78" s="696">
        <v>0</v>
      </c>
      <c r="AN78" s="696">
        <v>0</v>
      </c>
      <c r="AO78" s="697">
        <v>0</v>
      </c>
      <c r="AP78" s="633"/>
      <c r="AQ78" s="695">
        <v>0</v>
      </c>
      <c r="AR78" s="696">
        <v>0</v>
      </c>
      <c r="AS78" s="696">
        <v>0</v>
      </c>
      <c r="AT78" s="696">
        <v>0</v>
      </c>
      <c r="AU78" s="696">
        <v>71915.795361629906</v>
      </c>
      <c r="AV78" s="696">
        <v>71915.795361629906</v>
      </c>
      <c r="AW78" s="696">
        <v>71915.795361629906</v>
      </c>
      <c r="AX78" s="696">
        <v>71915.795361629906</v>
      </c>
      <c r="AY78" s="696">
        <v>71915.795361629906</v>
      </c>
      <c r="AZ78" s="696">
        <v>71915.795361629906</v>
      </c>
      <c r="BA78" s="696">
        <v>71915.795361629906</v>
      </c>
      <c r="BB78" s="696">
        <v>71915.795361629906</v>
      </c>
      <c r="BC78" s="696">
        <v>71915.795361629906</v>
      </c>
      <c r="BD78" s="696">
        <v>71915.795361629906</v>
      </c>
      <c r="BE78" s="696">
        <v>71915.795361629906</v>
      </c>
      <c r="BF78" s="696">
        <v>71915.795361629906</v>
      </c>
      <c r="BG78" s="696">
        <v>71915.795361629906</v>
      </c>
      <c r="BH78" s="696">
        <v>71915.795361629906</v>
      </c>
      <c r="BI78" s="696">
        <v>71915.795361629906</v>
      </c>
      <c r="BJ78" s="696">
        <v>71915.795361629906</v>
      </c>
      <c r="BK78" s="696">
        <v>71915.795361629906</v>
      </c>
      <c r="BL78" s="696">
        <v>71915.795361629906</v>
      </c>
      <c r="BM78" s="696">
        <v>70270.542083810054</v>
      </c>
      <c r="BN78" s="696">
        <v>0</v>
      </c>
      <c r="BO78" s="696">
        <v>0</v>
      </c>
      <c r="BP78" s="696">
        <v>0</v>
      </c>
      <c r="BQ78" s="696">
        <v>0</v>
      </c>
      <c r="BR78" s="696">
        <v>0</v>
      </c>
      <c r="BS78" s="696">
        <v>0</v>
      </c>
      <c r="BT78" s="697">
        <v>0</v>
      </c>
    </row>
    <row r="79" spans="2:73" ht="15.75">
      <c r="B79" s="691"/>
      <c r="C79" s="691" t="s">
        <v>119</v>
      </c>
      <c r="D79" s="691"/>
      <c r="E79" s="691" t="s">
        <v>692</v>
      </c>
      <c r="F79" s="691" t="s">
        <v>691</v>
      </c>
      <c r="G79" s="691"/>
      <c r="H79" s="691">
        <v>2015</v>
      </c>
      <c r="I79" s="644" t="s">
        <v>583</v>
      </c>
      <c r="J79" s="644" t="s">
        <v>597</v>
      </c>
      <c r="K79" s="633"/>
      <c r="L79" s="695">
        <v>0</v>
      </c>
      <c r="M79" s="696">
        <v>0</v>
      </c>
      <c r="N79" s="696">
        <v>0</v>
      </c>
      <c r="O79" s="696">
        <v>0</v>
      </c>
      <c r="P79" s="696">
        <v>11.253497362931158</v>
      </c>
      <c r="Q79" s="696">
        <v>11.253497362931158</v>
      </c>
      <c r="R79" s="696">
        <v>11.253497362931158</v>
      </c>
      <c r="S79" s="696">
        <v>11.253497362931158</v>
      </c>
      <c r="T79" s="696">
        <v>11.253497362931158</v>
      </c>
      <c r="U79" s="696">
        <v>11.253497362931158</v>
      </c>
      <c r="V79" s="696">
        <v>11.091711208972992</v>
      </c>
      <c r="W79" s="696">
        <v>11.091711208972992</v>
      </c>
      <c r="X79" s="696">
        <v>11.091711208972992</v>
      </c>
      <c r="Y79" s="696">
        <v>10.564368441500994</v>
      </c>
      <c r="Z79" s="696">
        <v>9.3052227648606856</v>
      </c>
      <c r="AA79" s="696">
        <v>9.3052227648606856</v>
      </c>
      <c r="AB79" s="696">
        <v>9.3052227648606856</v>
      </c>
      <c r="AC79" s="696">
        <v>9.3052227648606856</v>
      </c>
      <c r="AD79" s="696">
        <v>9.3052227648606856</v>
      </c>
      <c r="AE79" s="696">
        <v>6.4068449433849182</v>
      </c>
      <c r="AF79" s="696">
        <v>0</v>
      </c>
      <c r="AG79" s="696">
        <v>0</v>
      </c>
      <c r="AH79" s="696">
        <v>0</v>
      </c>
      <c r="AI79" s="696">
        <v>0</v>
      </c>
      <c r="AJ79" s="696">
        <v>0</v>
      </c>
      <c r="AK79" s="696">
        <v>0</v>
      </c>
      <c r="AL79" s="696">
        <v>0</v>
      </c>
      <c r="AM79" s="696">
        <v>0</v>
      </c>
      <c r="AN79" s="696">
        <v>0</v>
      </c>
      <c r="AO79" s="697">
        <v>0</v>
      </c>
      <c r="AP79" s="633"/>
      <c r="AQ79" s="695">
        <v>0</v>
      </c>
      <c r="AR79" s="696">
        <v>0</v>
      </c>
      <c r="AS79" s="696">
        <v>0</v>
      </c>
      <c r="AT79" s="696">
        <v>0</v>
      </c>
      <c r="AU79" s="696">
        <v>157549.14323282012</v>
      </c>
      <c r="AV79" s="696">
        <v>157549.14323282012</v>
      </c>
      <c r="AW79" s="696">
        <v>157549.14323282012</v>
      </c>
      <c r="AX79" s="696">
        <v>157549.14323282012</v>
      </c>
      <c r="AY79" s="696">
        <v>157549.14323282012</v>
      </c>
      <c r="AZ79" s="696">
        <v>157549.14323282012</v>
      </c>
      <c r="BA79" s="696">
        <v>155886.90356597977</v>
      </c>
      <c r="BB79" s="696">
        <v>155886.90356597977</v>
      </c>
      <c r="BC79" s="696">
        <v>155886.90356597977</v>
      </c>
      <c r="BD79" s="696">
        <v>150468.82516639068</v>
      </c>
      <c r="BE79" s="696">
        <v>137531.98329929705</v>
      </c>
      <c r="BF79" s="696">
        <v>137531.98329929705</v>
      </c>
      <c r="BG79" s="696">
        <v>137531.98329929705</v>
      </c>
      <c r="BH79" s="696">
        <v>137531.98329929705</v>
      </c>
      <c r="BI79" s="696">
        <v>137531.98329929705</v>
      </c>
      <c r="BJ79" s="696">
        <v>94693.712769808451</v>
      </c>
      <c r="BK79" s="696">
        <v>0</v>
      </c>
      <c r="BL79" s="696">
        <v>0</v>
      </c>
      <c r="BM79" s="696">
        <v>0</v>
      </c>
      <c r="BN79" s="696">
        <v>0</v>
      </c>
      <c r="BO79" s="696">
        <v>0</v>
      </c>
      <c r="BP79" s="696">
        <v>0</v>
      </c>
      <c r="BQ79" s="696">
        <v>0</v>
      </c>
      <c r="BR79" s="696">
        <v>0</v>
      </c>
      <c r="BS79" s="696">
        <v>0</v>
      </c>
      <c r="BT79" s="697">
        <v>0</v>
      </c>
      <c r="BU79" s="165"/>
    </row>
    <row r="80" spans="2:73" ht="15.75">
      <c r="B80" s="691"/>
      <c r="C80" s="691" t="s">
        <v>114</v>
      </c>
      <c r="D80" s="691"/>
      <c r="E80" s="691" t="s">
        <v>692</v>
      </c>
      <c r="F80" s="691" t="s">
        <v>29</v>
      </c>
      <c r="G80" s="691"/>
      <c r="H80" s="691">
        <v>2015</v>
      </c>
      <c r="I80" s="644" t="s">
        <v>583</v>
      </c>
      <c r="J80" s="644" t="s">
        <v>597</v>
      </c>
      <c r="K80" s="633"/>
      <c r="L80" s="695">
        <v>0</v>
      </c>
      <c r="M80" s="696">
        <v>0</v>
      </c>
      <c r="N80" s="696">
        <v>0</v>
      </c>
      <c r="O80" s="696">
        <v>0</v>
      </c>
      <c r="P80" s="696">
        <v>17.469951173617591</v>
      </c>
      <c r="Q80" s="696">
        <v>17.322219079968804</v>
      </c>
      <c r="R80" s="696">
        <v>17.322219079968804</v>
      </c>
      <c r="S80" s="696">
        <v>17.322219079968804</v>
      </c>
      <c r="T80" s="696">
        <v>17.322219079968804</v>
      </c>
      <c r="U80" s="696">
        <v>17.322219079968804</v>
      </c>
      <c r="V80" s="696">
        <v>17.322219079968804</v>
      </c>
      <c r="W80" s="696">
        <v>17.304478195905041</v>
      </c>
      <c r="X80" s="696">
        <v>17.304478195905041</v>
      </c>
      <c r="Y80" s="696">
        <v>17.304478195905041</v>
      </c>
      <c r="Z80" s="696">
        <v>15.533638013416839</v>
      </c>
      <c r="AA80" s="696">
        <v>15.497105555230569</v>
      </c>
      <c r="AB80" s="696">
        <v>15.497105555230569</v>
      </c>
      <c r="AC80" s="696">
        <v>15.415122105886972</v>
      </c>
      <c r="AD80" s="696">
        <v>15.415122105886972</v>
      </c>
      <c r="AE80" s="696">
        <v>15.361342471561166</v>
      </c>
      <c r="AF80" s="696">
        <v>4.2861992956875783</v>
      </c>
      <c r="AG80" s="696">
        <v>4.2861992956875783</v>
      </c>
      <c r="AH80" s="696">
        <v>4.2861992956875783</v>
      </c>
      <c r="AI80" s="696">
        <v>4.2861992956875783</v>
      </c>
      <c r="AJ80" s="696">
        <v>0</v>
      </c>
      <c r="AK80" s="696">
        <v>0</v>
      </c>
      <c r="AL80" s="696">
        <v>0</v>
      </c>
      <c r="AM80" s="696">
        <v>0</v>
      </c>
      <c r="AN80" s="696">
        <v>0</v>
      </c>
      <c r="AO80" s="697">
        <v>0</v>
      </c>
      <c r="AP80" s="633"/>
      <c r="AQ80" s="695">
        <v>0</v>
      </c>
      <c r="AR80" s="696">
        <v>0</v>
      </c>
      <c r="AS80" s="696">
        <v>0</v>
      </c>
      <c r="AT80" s="696">
        <v>0</v>
      </c>
      <c r="AU80" s="696">
        <v>272095.77218870498</v>
      </c>
      <c r="AV80" s="696">
        <v>269742.49965404742</v>
      </c>
      <c r="AW80" s="696">
        <v>269742.49965404742</v>
      </c>
      <c r="AX80" s="696">
        <v>269742.49965404742</v>
      </c>
      <c r="AY80" s="696">
        <v>269742.49965404742</v>
      </c>
      <c r="AZ80" s="696">
        <v>269742.49965404742</v>
      </c>
      <c r="BA80" s="696">
        <v>269742.49965404742</v>
      </c>
      <c r="BB80" s="696">
        <v>269587.08950964885</v>
      </c>
      <c r="BC80" s="696">
        <v>269587.08950964885</v>
      </c>
      <c r="BD80" s="696">
        <v>269587.08950964885</v>
      </c>
      <c r="BE80" s="696">
        <v>252903.51699601809</v>
      </c>
      <c r="BF80" s="696">
        <v>250548.56413580902</v>
      </c>
      <c r="BG80" s="696">
        <v>250548.56413580902</v>
      </c>
      <c r="BH80" s="696">
        <v>245288.39233433732</v>
      </c>
      <c r="BI80" s="696">
        <v>245288.39233433732</v>
      </c>
      <c r="BJ80" s="696">
        <v>244695.81687330443</v>
      </c>
      <c r="BK80" s="696">
        <v>68276.261653677153</v>
      </c>
      <c r="BL80" s="696">
        <v>68276.261653677153</v>
      </c>
      <c r="BM80" s="696">
        <v>68276.261653677153</v>
      </c>
      <c r="BN80" s="696">
        <v>68276.261653677153</v>
      </c>
      <c r="BO80" s="696">
        <v>0</v>
      </c>
      <c r="BP80" s="696">
        <v>0</v>
      </c>
      <c r="BQ80" s="696">
        <v>0</v>
      </c>
      <c r="BR80" s="696">
        <v>0</v>
      </c>
      <c r="BS80" s="696">
        <v>0</v>
      </c>
      <c r="BT80" s="697">
        <v>0</v>
      </c>
      <c r="BU80" s="165"/>
    </row>
    <row r="81" spans="2:73">
      <c r="B81" s="691"/>
      <c r="C81" s="691" t="s">
        <v>95</v>
      </c>
      <c r="D81" s="691"/>
      <c r="E81" s="691" t="s">
        <v>692</v>
      </c>
      <c r="F81" s="691" t="s">
        <v>29</v>
      </c>
      <c r="G81" s="691"/>
      <c r="H81" s="691">
        <v>2015</v>
      </c>
      <c r="I81" s="644" t="s">
        <v>583</v>
      </c>
      <c r="J81" s="644" t="s">
        <v>597</v>
      </c>
      <c r="K81" s="633"/>
      <c r="L81" s="695">
        <v>0</v>
      </c>
      <c r="M81" s="696">
        <v>0</v>
      </c>
      <c r="N81" s="696">
        <v>0</v>
      </c>
      <c r="O81" s="696">
        <v>0</v>
      </c>
      <c r="P81" s="696">
        <v>1.8768873875361185E-2</v>
      </c>
      <c r="Q81" s="696">
        <v>1.8660147271383758E-2</v>
      </c>
      <c r="R81" s="696">
        <v>1.8660147271383758E-2</v>
      </c>
      <c r="S81" s="696">
        <v>1.8660147271383758E-2</v>
      </c>
      <c r="T81" s="696">
        <v>1.8660147271383758E-2</v>
      </c>
      <c r="U81" s="696">
        <v>1.8660147271383758E-2</v>
      </c>
      <c r="V81" s="696">
        <v>1.8660147271383758E-2</v>
      </c>
      <c r="W81" s="696">
        <v>1.8660147271383758E-2</v>
      </c>
      <c r="X81" s="696">
        <v>1.8660147271383758E-2</v>
      </c>
      <c r="Y81" s="696">
        <v>1.8660147271383758E-2</v>
      </c>
      <c r="Z81" s="696">
        <v>1.7529028110515467E-2</v>
      </c>
      <c r="AA81" s="696">
        <v>1.7522566804104429E-2</v>
      </c>
      <c r="AB81" s="696">
        <v>1.7522566804104429E-2</v>
      </c>
      <c r="AC81" s="696">
        <v>1.7522566804104429E-2</v>
      </c>
      <c r="AD81" s="696">
        <v>1.7522566804104429E-2</v>
      </c>
      <c r="AE81" s="696">
        <v>1.7610667637974375E-2</v>
      </c>
      <c r="AF81" s="696">
        <v>5.8529494422287593E-3</v>
      </c>
      <c r="AG81" s="696">
        <v>5.8529494422287593E-3</v>
      </c>
      <c r="AH81" s="696">
        <v>5.8529494422287593E-3</v>
      </c>
      <c r="AI81" s="696">
        <v>5.8529494422287593E-3</v>
      </c>
      <c r="AJ81" s="696">
        <v>0</v>
      </c>
      <c r="AK81" s="696">
        <v>0</v>
      </c>
      <c r="AL81" s="696">
        <v>0</v>
      </c>
      <c r="AM81" s="696">
        <v>0</v>
      </c>
      <c r="AN81" s="696">
        <v>0</v>
      </c>
      <c r="AO81" s="697">
        <v>0</v>
      </c>
      <c r="AP81" s="633"/>
      <c r="AQ81" s="695">
        <v>0</v>
      </c>
      <c r="AR81" s="696">
        <v>0</v>
      </c>
      <c r="AS81" s="696">
        <v>0</v>
      </c>
      <c r="AT81" s="696">
        <v>0</v>
      </c>
      <c r="AU81" s="696">
        <v>369.47664326475609</v>
      </c>
      <c r="AV81" s="696">
        <v>367.74470185238471</v>
      </c>
      <c r="AW81" s="696">
        <v>367.74470185238471</v>
      </c>
      <c r="AX81" s="696">
        <v>367.74470185238471</v>
      </c>
      <c r="AY81" s="696">
        <v>367.74470185238471</v>
      </c>
      <c r="AZ81" s="696">
        <v>367.74470185238471</v>
      </c>
      <c r="BA81" s="696">
        <v>367.74470185238471</v>
      </c>
      <c r="BB81" s="696">
        <v>367.74470185238471</v>
      </c>
      <c r="BC81" s="696">
        <v>367.74470185238471</v>
      </c>
      <c r="BD81" s="696">
        <v>367.74470185238471</v>
      </c>
      <c r="BE81" s="696">
        <v>332.80385833214012</v>
      </c>
      <c r="BF81" s="696">
        <v>279.55530200170682</v>
      </c>
      <c r="BG81" s="696">
        <v>279.55530200170682</v>
      </c>
      <c r="BH81" s="696">
        <v>279.55530200170682</v>
      </c>
      <c r="BI81" s="696">
        <v>279.55530200170682</v>
      </c>
      <c r="BJ81" s="696">
        <v>280.52604851016372</v>
      </c>
      <c r="BK81" s="696">
        <v>93.23353395289314</v>
      </c>
      <c r="BL81" s="696">
        <v>93.23353395289314</v>
      </c>
      <c r="BM81" s="696">
        <v>93.23353395289314</v>
      </c>
      <c r="BN81" s="696">
        <v>93.23353395289314</v>
      </c>
      <c r="BO81" s="696">
        <v>0</v>
      </c>
      <c r="BP81" s="696">
        <v>0</v>
      </c>
      <c r="BQ81" s="696">
        <v>0</v>
      </c>
      <c r="BR81" s="696">
        <v>0</v>
      </c>
      <c r="BS81" s="696">
        <v>0</v>
      </c>
      <c r="BT81" s="697">
        <v>0</v>
      </c>
    </row>
    <row r="82" spans="2:73" ht="15.75">
      <c r="B82" s="691"/>
      <c r="C82" s="691" t="s">
        <v>101</v>
      </c>
      <c r="D82" s="691"/>
      <c r="E82" s="691" t="s">
        <v>692</v>
      </c>
      <c r="F82" s="691" t="s">
        <v>691</v>
      </c>
      <c r="G82" s="691"/>
      <c r="H82" s="691">
        <v>2015</v>
      </c>
      <c r="I82" s="644" t="s">
        <v>583</v>
      </c>
      <c r="J82" s="644" t="s">
        <v>597</v>
      </c>
      <c r="K82" s="633"/>
      <c r="L82" s="695">
        <v>0</v>
      </c>
      <c r="M82" s="696">
        <v>0</v>
      </c>
      <c r="N82" s="696">
        <v>0</v>
      </c>
      <c r="O82" s="696">
        <v>0</v>
      </c>
      <c r="P82" s="696">
        <v>1.9061455530272358</v>
      </c>
      <c r="Q82" s="696">
        <v>1.9061455530272358</v>
      </c>
      <c r="R82" s="696">
        <v>1.9061455530272358</v>
      </c>
      <c r="S82" s="696">
        <v>1.9061455530272358</v>
      </c>
      <c r="T82" s="696">
        <v>1.9061455530272358</v>
      </c>
      <c r="U82" s="696">
        <v>1.9061455530272358</v>
      </c>
      <c r="V82" s="696">
        <v>1.8909091921548693</v>
      </c>
      <c r="W82" s="696">
        <v>1.8909091921548693</v>
      </c>
      <c r="X82" s="696">
        <v>1.8909091921548693</v>
      </c>
      <c r="Y82" s="696">
        <v>1.8263605681782593</v>
      </c>
      <c r="Z82" s="696">
        <v>1.7631862725752818</v>
      </c>
      <c r="AA82" s="696">
        <v>1.7631862725752818</v>
      </c>
      <c r="AB82" s="696">
        <v>1.7631862725752818</v>
      </c>
      <c r="AC82" s="696">
        <v>1.7631862725752818</v>
      </c>
      <c r="AD82" s="696">
        <v>1.7631862725752818</v>
      </c>
      <c r="AE82" s="696">
        <v>1.7631862725752818</v>
      </c>
      <c r="AF82" s="696">
        <v>1.7631862725752818</v>
      </c>
      <c r="AG82" s="696">
        <v>1.7631862725752818</v>
      </c>
      <c r="AH82" s="696">
        <v>1.7631862725752818</v>
      </c>
      <c r="AI82" s="696">
        <v>1.7631862725752818</v>
      </c>
      <c r="AJ82" s="696">
        <v>0</v>
      </c>
      <c r="AK82" s="696">
        <v>0</v>
      </c>
      <c r="AL82" s="696">
        <v>0</v>
      </c>
      <c r="AM82" s="696">
        <v>0</v>
      </c>
      <c r="AN82" s="696">
        <v>0</v>
      </c>
      <c r="AO82" s="697">
        <v>0</v>
      </c>
      <c r="AP82" s="633"/>
      <c r="AQ82" s="695">
        <v>0</v>
      </c>
      <c r="AR82" s="696">
        <v>0</v>
      </c>
      <c r="AS82" s="696">
        <v>0</v>
      </c>
      <c r="AT82" s="696">
        <v>0</v>
      </c>
      <c r="AU82" s="696">
        <v>12170.294291979249</v>
      </c>
      <c r="AV82" s="696">
        <v>12170.294291979249</v>
      </c>
      <c r="AW82" s="696">
        <v>12170.294291979249</v>
      </c>
      <c r="AX82" s="696">
        <v>12170.294291979249</v>
      </c>
      <c r="AY82" s="696">
        <v>12170.294291979249</v>
      </c>
      <c r="AZ82" s="696">
        <v>12170.294291979249</v>
      </c>
      <c r="BA82" s="696">
        <v>12014.158619653646</v>
      </c>
      <c r="BB82" s="696">
        <v>12014.158619653646</v>
      </c>
      <c r="BC82" s="696">
        <v>12014.158619653646</v>
      </c>
      <c r="BD82" s="696">
        <v>11352.692086620875</v>
      </c>
      <c r="BE82" s="696">
        <v>10705.309079596103</v>
      </c>
      <c r="BF82" s="696">
        <v>10705.309079596103</v>
      </c>
      <c r="BG82" s="696">
        <v>5523.8898002291844</v>
      </c>
      <c r="BH82" s="696">
        <v>5523.8898002291844</v>
      </c>
      <c r="BI82" s="696">
        <v>5523.8898002291844</v>
      </c>
      <c r="BJ82" s="696">
        <v>5523.8898002291844</v>
      </c>
      <c r="BK82" s="696">
        <v>5523.8898002291844</v>
      </c>
      <c r="BL82" s="696">
        <v>5523.8898002291844</v>
      </c>
      <c r="BM82" s="696">
        <v>5523.8898002291844</v>
      </c>
      <c r="BN82" s="696">
        <v>5523.8898002291844</v>
      </c>
      <c r="BO82" s="696">
        <v>0</v>
      </c>
      <c r="BP82" s="696">
        <v>0</v>
      </c>
      <c r="BQ82" s="696">
        <v>0</v>
      </c>
      <c r="BR82" s="696">
        <v>0</v>
      </c>
      <c r="BS82" s="696">
        <v>0</v>
      </c>
      <c r="BT82" s="697">
        <v>0</v>
      </c>
      <c r="BU82" s="165"/>
    </row>
    <row r="83" spans="2:73" ht="15.75">
      <c r="B83" s="691"/>
      <c r="C83" s="691" t="s">
        <v>98</v>
      </c>
      <c r="D83" s="691"/>
      <c r="E83" s="691" t="s">
        <v>692</v>
      </c>
      <c r="F83" s="691" t="s">
        <v>29</v>
      </c>
      <c r="G83" s="691"/>
      <c r="H83" s="691">
        <v>2015</v>
      </c>
      <c r="I83" s="644" t="s">
        <v>583</v>
      </c>
      <c r="J83" s="644" t="s">
        <v>597</v>
      </c>
      <c r="K83" s="633"/>
      <c r="L83" s="695">
        <v>0</v>
      </c>
      <c r="M83" s="696">
        <v>0</v>
      </c>
      <c r="N83" s="696">
        <v>0</v>
      </c>
      <c r="O83" s="696">
        <v>0</v>
      </c>
      <c r="P83" s="696">
        <v>0.67256406390608658</v>
      </c>
      <c r="Q83" s="696">
        <v>0.67256406390608658</v>
      </c>
      <c r="R83" s="696">
        <v>0.67256406390608658</v>
      </c>
      <c r="S83" s="696">
        <v>0.67256406390608658</v>
      </c>
      <c r="T83" s="696">
        <v>0.67256406390608658</v>
      </c>
      <c r="U83" s="696">
        <v>0.67256406390608658</v>
      </c>
      <c r="V83" s="696">
        <v>0.67256406390608658</v>
      </c>
      <c r="W83" s="696">
        <v>0.67256406390608658</v>
      </c>
      <c r="X83" s="696">
        <v>0.67256406390608658</v>
      </c>
      <c r="Y83" s="696">
        <v>0.67256406390608658</v>
      </c>
      <c r="Z83" s="696">
        <v>0.67256406390608658</v>
      </c>
      <c r="AA83" s="696">
        <v>0.67256406390608658</v>
      </c>
      <c r="AB83" s="696">
        <v>0.67256406390608658</v>
      </c>
      <c r="AC83" s="696">
        <v>0.67256406390608658</v>
      </c>
      <c r="AD83" s="696">
        <v>0.67256406390608658</v>
      </c>
      <c r="AE83" s="696">
        <v>0.67256406390608658</v>
      </c>
      <c r="AF83" s="696">
        <v>0.67256406390608658</v>
      </c>
      <c r="AG83" s="696">
        <v>0.67256406390608658</v>
      </c>
      <c r="AH83" s="696">
        <v>0.64096709446083422</v>
      </c>
      <c r="AI83" s="696">
        <v>0</v>
      </c>
      <c r="AJ83" s="696">
        <v>0</v>
      </c>
      <c r="AK83" s="696">
        <v>0</v>
      </c>
      <c r="AL83" s="696">
        <v>0</v>
      </c>
      <c r="AM83" s="696">
        <v>0</v>
      </c>
      <c r="AN83" s="696">
        <v>0</v>
      </c>
      <c r="AO83" s="697">
        <v>0</v>
      </c>
      <c r="AP83" s="633"/>
      <c r="AQ83" s="695">
        <v>0</v>
      </c>
      <c r="AR83" s="696">
        <v>0</v>
      </c>
      <c r="AS83" s="696">
        <v>0</v>
      </c>
      <c r="AT83" s="696">
        <v>0</v>
      </c>
      <c r="AU83" s="696">
        <v>1318.7672275892771</v>
      </c>
      <c r="AV83" s="696">
        <v>1318.7672275892771</v>
      </c>
      <c r="AW83" s="696">
        <v>1318.7672275892771</v>
      </c>
      <c r="AX83" s="696">
        <v>1318.7672275892771</v>
      </c>
      <c r="AY83" s="696">
        <v>1318.7672275892771</v>
      </c>
      <c r="AZ83" s="696">
        <v>1318.7672275892771</v>
      </c>
      <c r="BA83" s="696">
        <v>1318.7672275892771</v>
      </c>
      <c r="BB83" s="696">
        <v>1318.7672275892771</v>
      </c>
      <c r="BC83" s="696">
        <v>1318.7672275892771</v>
      </c>
      <c r="BD83" s="696">
        <v>1318.7672275892771</v>
      </c>
      <c r="BE83" s="696">
        <v>1318.7672275892771</v>
      </c>
      <c r="BF83" s="696">
        <v>1318.7672275892771</v>
      </c>
      <c r="BG83" s="696">
        <v>1318.7672275892771</v>
      </c>
      <c r="BH83" s="696">
        <v>1318.7672275892771</v>
      </c>
      <c r="BI83" s="696">
        <v>1318.7672275892771</v>
      </c>
      <c r="BJ83" s="696">
        <v>1318.7672275892771</v>
      </c>
      <c r="BK83" s="696">
        <v>1318.7672275892771</v>
      </c>
      <c r="BL83" s="696">
        <v>1318.7672275892771</v>
      </c>
      <c r="BM83" s="696">
        <v>1289.3369074774134</v>
      </c>
      <c r="BN83" s="696">
        <v>0</v>
      </c>
      <c r="BO83" s="696">
        <v>0</v>
      </c>
      <c r="BP83" s="696">
        <v>0</v>
      </c>
      <c r="BQ83" s="696">
        <v>0</v>
      </c>
      <c r="BR83" s="696">
        <v>0</v>
      </c>
      <c r="BS83" s="696">
        <v>0</v>
      </c>
      <c r="BT83" s="697">
        <v>0</v>
      </c>
      <c r="BU83" s="165"/>
    </row>
    <row r="84" spans="2:73" ht="15.75">
      <c r="B84" s="691"/>
      <c r="C84" s="691" t="s">
        <v>114</v>
      </c>
      <c r="D84" s="691"/>
      <c r="E84" s="691" t="s">
        <v>692</v>
      </c>
      <c r="F84" s="691" t="s">
        <v>29</v>
      </c>
      <c r="G84" s="691"/>
      <c r="H84" s="691">
        <v>2015</v>
      </c>
      <c r="I84" s="644" t="s">
        <v>584</v>
      </c>
      <c r="J84" s="644" t="s">
        <v>590</v>
      </c>
      <c r="K84" s="633"/>
      <c r="L84" s="695">
        <v>0</v>
      </c>
      <c r="M84" s="696">
        <v>0</v>
      </c>
      <c r="N84" s="696">
        <v>0</v>
      </c>
      <c r="O84" s="696">
        <v>0</v>
      </c>
      <c r="P84" s="696">
        <v>1.7198925793966857</v>
      </c>
      <c r="Q84" s="696">
        <v>1.6959081891644612</v>
      </c>
      <c r="R84" s="696">
        <v>1.6959081891644612</v>
      </c>
      <c r="S84" s="696">
        <v>1.6959081891644612</v>
      </c>
      <c r="T84" s="696">
        <v>1.6959081891644612</v>
      </c>
      <c r="U84" s="696">
        <v>1.6959081891644612</v>
      </c>
      <c r="V84" s="696">
        <v>1.6959081891644612</v>
      </c>
      <c r="W84" s="696">
        <v>1.6942112480827509</v>
      </c>
      <c r="X84" s="696">
        <v>1.6942112480827509</v>
      </c>
      <c r="Y84" s="696">
        <v>1.6942112480827509</v>
      </c>
      <c r="Z84" s="696">
        <v>1.5505412931002305</v>
      </c>
      <c r="AA84" s="696">
        <v>1.5502911545056737</v>
      </c>
      <c r="AB84" s="696">
        <v>1.5502911545056737</v>
      </c>
      <c r="AC84" s="696">
        <v>1.5483626998828663</v>
      </c>
      <c r="AD84" s="696">
        <v>1.5483626998828663</v>
      </c>
      <c r="AE84" s="696">
        <v>1.5437433137299199</v>
      </c>
      <c r="AF84" s="696">
        <v>0.81393975716389311</v>
      </c>
      <c r="AG84" s="696">
        <v>0.81393975716389311</v>
      </c>
      <c r="AH84" s="696">
        <v>0.81393975716389311</v>
      </c>
      <c r="AI84" s="696">
        <v>0.81393975716389311</v>
      </c>
      <c r="AJ84" s="696">
        <v>0</v>
      </c>
      <c r="AK84" s="696">
        <v>0</v>
      </c>
      <c r="AL84" s="696">
        <v>0</v>
      </c>
      <c r="AM84" s="696">
        <v>0</v>
      </c>
      <c r="AN84" s="696">
        <v>0</v>
      </c>
      <c r="AO84" s="697">
        <v>0</v>
      </c>
      <c r="AP84" s="633"/>
      <c r="AQ84" s="695">
        <v>0</v>
      </c>
      <c r="AR84" s="696">
        <v>0</v>
      </c>
      <c r="AS84" s="696">
        <v>0</v>
      </c>
      <c r="AT84" s="696">
        <v>0</v>
      </c>
      <c r="AU84" s="696">
        <v>26760.271340875115</v>
      </c>
      <c r="AV84" s="696">
        <v>26378.216193615201</v>
      </c>
      <c r="AW84" s="696">
        <v>26378.216193615201</v>
      </c>
      <c r="AX84" s="696">
        <v>26378.216193615201</v>
      </c>
      <c r="AY84" s="696">
        <v>26378.216193615201</v>
      </c>
      <c r="AZ84" s="696">
        <v>26378.216193615201</v>
      </c>
      <c r="BA84" s="696">
        <v>26378.216193615201</v>
      </c>
      <c r="BB84" s="696">
        <v>26363.350989739421</v>
      </c>
      <c r="BC84" s="696">
        <v>26363.350989739421</v>
      </c>
      <c r="BD84" s="696">
        <v>26363.350989739421</v>
      </c>
      <c r="BE84" s="696">
        <v>24745.193389326923</v>
      </c>
      <c r="BF84" s="696">
        <v>24763.907284765432</v>
      </c>
      <c r="BG84" s="696">
        <v>24763.907284765432</v>
      </c>
      <c r="BH84" s="696">
        <v>24641.688079858475</v>
      </c>
      <c r="BI84" s="696">
        <v>24641.688079858475</v>
      </c>
      <c r="BJ84" s="696">
        <v>24590.788981833975</v>
      </c>
      <c r="BK84" s="696">
        <v>12965.510933279553</v>
      </c>
      <c r="BL84" s="696">
        <v>12965.510933279553</v>
      </c>
      <c r="BM84" s="696">
        <v>12965.510933279553</v>
      </c>
      <c r="BN84" s="696">
        <v>12965.510933279553</v>
      </c>
      <c r="BO84" s="696">
        <v>0</v>
      </c>
      <c r="BP84" s="696">
        <v>0</v>
      </c>
      <c r="BQ84" s="696">
        <v>0</v>
      </c>
      <c r="BR84" s="696">
        <v>0</v>
      </c>
      <c r="BS84" s="696">
        <v>0</v>
      </c>
      <c r="BT84" s="697">
        <v>0</v>
      </c>
      <c r="BU84" s="165"/>
    </row>
    <row r="85" spans="2:73">
      <c r="B85" s="691"/>
      <c r="C85" s="691" t="s">
        <v>115</v>
      </c>
      <c r="D85" s="691"/>
      <c r="E85" s="691" t="s">
        <v>692</v>
      </c>
      <c r="F85" s="691" t="s">
        <v>29</v>
      </c>
      <c r="G85" s="691"/>
      <c r="H85" s="691">
        <v>2015</v>
      </c>
      <c r="I85" s="644" t="s">
        <v>584</v>
      </c>
      <c r="J85" s="644" t="s">
        <v>590</v>
      </c>
      <c r="K85" s="633"/>
      <c r="L85" s="695">
        <v>0</v>
      </c>
      <c r="M85" s="696">
        <v>0</v>
      </c>
      <c r="N85" s="696">
        <v>0</v>
      </c>
      <c r="O85" s="696">
        <v>0</v>
      </c>
      <c r="P85" s="696">
        <v>3.4535</v>
      </c>
      <c r="Q85" s="696">
        <v>3.4535</v>
      </c>
      <c r="R85" s="696">
        <v>3.4535</v>
      </c>
      <c r="S85" s="696">
        <v>3.4535</v>
      </c>
      <c r="T85" s="696">
        <v>3.4535</v>
      </c>
      <c r="U85" s="696">
        <v>3.4535</v>
      </c>
      <c r="V85" s="696">
        <v>3.4535</v>
      </c>
      <c r="W85" s="696">
        <v>3.4535</v>
      </c>
      <c r="X85" s="696">
        <v>3.4535</v>
      </c>
      <c r="Y85" s="696">
        <v>3.4535</v>
      </c>
      <c r="Z85" s="696">
        <v>3.4535</v>
      </c>
      <c r="AA85" s="696">
        <v>3.4535</v>
      </c>
      <c r="AB85" s="696">
        <v>3.4535</v>
      </c>
      <c r="AC85" s="696">
        <v>3.4535</v>
      </c>
      <c r="AD85" s="696">
        <v>3.4535</v>
      </c>
      <c r="AE85" s="696">
        <v>3.4535</v>
      </c>
      <c r="AF85" s="696">
        <v>3.4535</v>
      </c>
      <c r="AG85" s="696">
        <v>3.4535</v>
      </c>
      <c r="AH85" s="696">
        <v>3.2050000000000001</v>
      </c>
      <c r="AI85" s="696">
        <v>0</v>
      </c>
      <c r="AJ85" s="696">
        <v>0</v>
      </c>
      <c r="AK85" s="696">
        <v>0</v>
      </c>
      <c r="AL85" s="696">
        <v>0</v>
      </c>
      <c r="AM85" s="696">
        <v>0</v>
      </c>
      <c r="AN85" s="696">
        <v>0</v>
      </c>
      <c r="AO85" s="697">
        <v>0</v>
      </c>
      <c r="AP85" s="633"/>
      <c r="AQ85" s="695">
        <v>0</v>
      </c>
      <c r="AR85" s="696">
        <v>0</v>
      </c>
      <c r="AS85" s="696">
        <v>0</v>
      </c>
      <c r="AT85" s="696">
        <v>0</v>
      </c>
      <c r="AU85" s="696">
        <v>6659.0000000000009</v>
      </c>
      <c r="AV85" s="696">
        <v>6659.0000000000009</v>
      </c>
      <c r="AW85" s="696">
        <v>6659.0000000000009</v>
      </c>
      <c r="AX85" s="696">
        <v>6659.0000000000009</v>
      </c>
      <c r="AY85" s="696">
        <v>6659.0000000000009</v>
      </c>
      <c r="AZ85" s="696">
        <v>6659.0000000000009</v>
      </c>
      <c r="BA85" s="696">
        <v>6659.0000000000009</v>
      </c>
      <c r="BB85" s="696">
        <v>6659.0000000000009</v>
      </c>
      <c r="BC85" s="696">
        <v>6659.0000000000009</v>
      </c>
      <c r="BD85" s="696">
        <v>6659.0000000000009</v>
      </c>
      <c r="BE85" s="696">
        <v>6659.0000000000009</v>
      </c>
      <c r="BF85" s="696">
        <v>6659.0000000000009</v>
      </c>
      <c r="BG85" s="696">
        <v>6659.0000000000009</v>
      </c>
      <c r="BH85" s="696">
        <v>6659.0000000000009</v>
      </c>
      <c r="BI85" s="696">
        <v>6659.0000000000009</v>
      </c>
      <c r="BJ85" s="696">
        <v>6659.0000000000009</v>
      </c>
      <c r="BK85" s="696">
        <v>6659.0000000000009</v>
      </c>
      <c r="BL85" s="696">
        <v>6659.0000000000009</v>
      </c>
      <c r="BM85" s="696">
        <v>6446.9999999999991</v>
      </c>
      <c r="BN85" s="696">
        <v>0</v>
      </c>
      <c r="BO85" s="696">
        <v>0</v>
      </c>
      <c r="BP85" s="696">
        <v>0</v>
      </c>
      <c r="BQ85" s="696">
        <v>0</v>
      </c>
      <c r="BR85" s="696">
        <v>0</v>
      </c>
      <c r="BS85" s="696">
        <v>0</v>
      </c>
      <c r="BT85" s="697">
        <v>0</v>
      </c>
    </row>
    <row r="86" spans="2:73">
      <c r="B86" s="691"/>
      <c r="C86" s="691" t="s">
        <v>119</v>
      </c>
      <c r="D86" s="691"/>
      <c r="E86" s="691" t="s">
        <v>692</v>
      </c>
      <c r="F86" s="691" t="s">
        <v>691</v>
      </c>
      <c r="G86" s="691"/>
      <c r="H86" s="691">
        <v>2015</v>
      </c>
      <c r="I86" s="644" t="s">
        <v>584</v>
      </c>
      <c r="J86" s="644" t="s">
        <v>590</v>
      </c>
      <c r="K86" s="633"/>
      <c r="L86" s="695">
        <v>0</v>
      </c>
      <c r="M86" s="696">
        <v>0</v>
      </c>
      <c r="N86" s="696">
        <v>0</v>
      </c>
      <c r="O86" s="696">
        <v>0</v>
      </c>
      <c r="P86" s="696">
        <v>53.619570761560993</v>
      </c>
      <c r="Q86" s="696">
        <v>53.619570761560993</v>
      </c>
      <c r="R86" s="696">
        <v>53.619570761560993</v>
      </c>
      <c r="S86" s="696">
        <v>53.619570761560993</v>
      </c>
      <c r="T86" s="696">
        <v>53.619570761560993</v>
      </c>
      <c r="U86" s="696">
        <v>53.619570761560993</v>
      </c>
      <c r="V86" s="696">
        <v>52.863186143468724</v>
      </c>
      <c r="W86" s="696">
        <v>52.863186143468724</v>
      </c>
      <c r="X86" s="696">
        <v>52.863186143468724</v>
      </c>
      <c r="Y86" s="696">
        <v>50.474548771036659</v>
      </c>
      <c r="Z86" s="696">
        <v>44.41696172810245</v>
      </c>
      <c r="AA86" s="696">
        <v>44.41696172810245</v>
      </c>
      <c r="AB86" s="696">
        <v>38.65451560166607</v>
      </c>
      <c r="AC86" s="696">
        <v>38.65451560166607</v>
      </c>
      <c r="AD86" s="696">
        <v>38.65451560166607</v>
      </c>
      <c r="AE86" s="696">
        <v>26.61446094087523</v>
      </c>
      <c r="AF86" s="696">
        <v>0</v>
      </c>
      <c r="AG86" s="696">
        <v>0</v>
      </c>
      <c r="AH86" s="696">
        <v>0</v>
      </c>
      <c r="AI86" s="696">
        <v>0</v>
      </c>
      <c r="AJ86" s="696">
        <v>0</v>
      </c>
      <c r="AK86" s="696">
        <v>0</v>
      </c>
      <c r="AL86" s="696">
        <v>0</v>
      </c>
      <c r="AM86" s="696">
        <v>0</v>
      </c>
      <c r="AN86" s="696">
        <v>0</v>
      </c>
      <c r="AO86" s="697">
        <v>0</v>
      </c>
      <c r="AP86" s="633"/>
      <c r="AQ86" s="695">
        <v>0</v>
      </c>
      <c r="AR86" s="696">
        <v>0</v>
      </c>
      <c r="AS86" s="696">
        <v>0</v>
      </c>
      <c r="AT86" s="696">
        <v>0</v>
      </c>
      <c r="AU86" s="696">
        <v>339035.14020330302</v>
      </c>
      <c r="AV86" s="696">
        <v>339035.14020330302</v>
      </c>
      <c r="AW86" s="696">
        <v>339035.14020330302</v>
      </c>
      <c r="AX86" s="696">
        <v>339035.14020330302</v>
      </c>
      <c r="AY86" s="696">
        <v>339035.14020330302</v>
      </c>
      <c r="AZ86" s="696">
        <v>339035.14020330302</v>
      </c>
      <c r="BA86" s="696">
        <v>334126.66464447579</v>
      </c>
      <c r="BB86" s="696">
        <v>334126.66464447579</v>
      </c>
      <c r="BC86" s="696">
        <v>334126.66464447579</v>
      </c>
      <c r="BD86" s="696">
        <v>318625.86269657884</v>
      </c>
      <c r="BE86" s="696">
        <v>277804.07059920212</v>
      </c>
      <c r="BF86" s="696">
        <v>277804.07059920212</v>
      </c>
      <c r="BG86" s="696">
        <v>230182.69983594102</v>
      </c>
      <c r="BH86" s="696">
        <v>230182.69983594102</v>
      </c>
      <c r="BI86" s="696">
        <v>230182.69983594102</v>
      </c>
      <c r="BJ86" s="696">
        <v>158485.71321340813</v>
      </c>
      <c r="BK86" s="696">
        <v>0</v>
      </c>
      <c r="BL86" s="696">
        <v>0</v>
      </c>
      <c r="BM86" s="696">
        <v>0</v>
      </c>
      <c r="BN86" s="696">
        <v>0</v>
      </c>
      <c r="BO86" s="696">
        <v>0</v>
      </c>
      <c r="BP86" s="696">
        <v>0</v>
      </c>
      <c r="BQ86" s="696">
        <v>0</v>
      </c>
      <c r="BR86" s="696">
        <v>0</v>
      </c>
      <c r="BS86" s="696">
        <v>0</v>
      </c>
      <c r="BT86" s="697">
        <v>0</v>
      </c>
    </row>
    <row r="87" spans="2:73">
      <c r="B87" s="691"/>
      <c r="C87" s="691" t="s">
        <v>126</v>
      </c>
      <c r="D87" s="691"/>
      <c r="E87" s="691" t="s">
        <v>692</v>
      </c>
      <c r="F87" s="691" t="s">
        <v>689</v>
      </c>
      <c r="G87" s="691"/>
      <c r="H87" s="691">
        <v>2016</v>
      </c>
      <c r="I87" s="644" t="s">
        <v>584</v>
      </c>
      <c r="J87" s="644" t="s">
        <v>597</v>
      </c>
      <c r="K87" s="633"/>
      <c r="L87" s="695">
        <v>0</v>
      </c>
      <c r="M87" s="696">
        <v>0</v>
      </c>
      <c r="N87" s="696">
        <v>0</v>
      </c>
      <c r="O87" s="696">
        <v>0</v>
      </c>
      <c r="P87" s="696">
        <v>0</v>
      </c>
      <c r="Q87" s="696">
        <v>22.108945842697253</v>
      </c>
      <c r="R87" s="696">
        <v>22.003026268235271</v>
      </c>
      <c r="S87" s="696">
        <v>22.003026268235271</v>
      </c>
      <c r="T87" s="696">
        <v>18.360034843558086</v>
      </c>
      <c r="U87" s="696">
        <v>15.776239163500701</v>
      </c>
      <c r="V87" s="696">
        <v>15.776239163500701</v>
      </c>
      <c r="W87" s="696">
        <v>15.776239163500701</v>
      </c>
      <c r="X87" s="696">
        <v>15.776239163500701</v>
      </c>
      <c r="Y87" s="696">
        <v>15.776239163500701</v>
      </c>
      <c r="Z87" s="696">
        <v>15.776239163500701</v>
      </c>
      <c r="AA87" s="696">
        <v>14.063337762352923</v>
      </c>
      <c r="AB87" s="696">
        <v>13.609060476327098</v>
      </c>
      <c r="AC87" s="696">
        <v>13.609060476327098</v>
      </c>
      <c r="AD87" s="696">
        <v>13.609060476327098</v>
      </c>
      <c r="AE87" s="696">
        <v>13.609060476327098</v>
      </c>
      <c r="AF87" s="696">
        <v>0</v>
      </c>
      <c r="AG87" s="696">
        <v>0</v>
      </c>
      <c r="AH87" s="696">
        <v>0</v>
      </c>
      <c r="AI87" s="696">
        <v>0</v>
      </c>
      <c r="AJ87" s="696">
        <v>0</v>
      </c>
      <c r="AK87" s="696">
        <v>0</v>
      </c>
      <c r="AL87" s="696">
        <v>0</v>
      </c>
      <c r="AM87" s="696">
        <v>0</v>
      </c>
      <c r="AN87" s="696">
        <v>0</v>
      </c>
      <c r="AO87" s="697">
        <v>0</v>
      </c>
      <c r="AP87" s="633"/>
      <c r="AQ87" s="695">
        <v>0</v>
      </c>
      <c r="AR87" s="696">
        <v>0</v>
      </c>
      <c r="AS87" s="696">
        <v>0</v>
      </c>
      <c r="AT87" s="696">
        <v>0</v>
      </c>
      <c r="AU87" s="696">
        <v>0</v>
      </c>
      <c r="AV87" s="696">
        <v>160425.60097554338</v>
      </c>
      <c r="AW87" s="696">
        <v>160024.51855551067</v>
      </c>
      <c r="AX87" s="696">
        <v>160024.51855551067</v>
      </c>
      <c r="AY87" s="696">
        <v>138828.02697156524</v>
      </c>
      <c r="AZ87" s="696">
        <v>123298.61035753968</v>
      </c>
      <c r="BA87" s="696">
        <v>123298.61035753968</v>
      </c>
      <c r="BB87" s="696">
        <v>123298.61035753968</v>
      </c>
      <c r="BC87" s="696">
        <v>123298.61035753968</v>
      </c>
      <c r="BD87" s="696">
        <v>123298.61035753968</v>
      </c>
      <c r="BE87" s="696">
        <v>123298.61035753968</v>
      </c>
      <c r="BF87" s="696">
        <v>116812.41889822288</v>
      </c>
      <c r="BG87" s="696">
        <v>113802.07251231073</v>
      </c>
      <c r="BH87" s="696">
        <v>113802.07251231073</v>
      </c>
      <c r="BI87" s="696">
        <v>113802.07251231073</v>
      </c>
      <c r="BJ87" s="696">
        <v>113802.07251231073</v>
      </c>
      <c r="BK87" s="696">
        <v>0</v>
      </c>
      <c r="BL87" s="696">
        <v>0</v>
      </c>
      <c r="BM87" s="696">
        <v>0</v>
      </c>
      <c r="BN87" s="696">
        <v>0</v>
      </c>
      <c r="BO87" s="696">
        <v>0</v>
      </c>
      <c r="BP87" s="696">
        <v>0</v>
      </c>
      <c r="BQ87" s="696">
        <v>0</v>
      </c>
      <c r="BR87" s="696">
        <v>0</v>
      </c>
      <c r="BS87" s="696">
        <v>0</v>
      </c>
      <c r="BT87" s="697">
        <v>0</v>
      </c>
    </row>
    <row r="88" spans="2:73">
      <c r="B88" s="691"/>
      <c r="C88" s="691" t="s">
        <v>118</v>
      </c>
      <c r="D88" s="691"/>
      <c r="E88" s="691" t="s">
        <v>692</v>
      </c>
      <c r="F88" s="691" t="s">
        <v>689</v>
      </c>
      <c r="G88" s="691"/>
      <c r="H88" s="691">
        <v>2016</v>
      </c>
      <c r="I88" s="644" t="s">
        <v>584</v>
      </c>
      <c r="J88" s="644" t="s">
        <v>597</v>
      </c>
      <c r="K88" s="633"/>
      <c r="L88" s="695">
        <v>0</v>
      </c>
      <c r="M88" s="696">
        <v>0</v>
      </c>
      <c r="N88" s="696">
        <v>0</v>
      </c>
      <c r="O88" s="696">
        <v>0</v>
      </c>
      <c r="P88" s="696">
        <v>0</v>
      </c>
      <c r="Q88" s="696">
        <v>1.7149847194239736</v>
      </c>
      <c r="R88" s="696">
        <v>1.7149847194239736</v>
      </c>
      <c r="S88" s="696">
        <v>1.7149847194239736</v>
      </c>
      <c r="T88" s="696">
        <v>1.7149847194239736</v>
      </c>
      <c r="U88" s="696">
        <v>1.7149847194239736</v>
      </c>
      <c r="V88" s="696">
        <v>1.7149847194239736</v>
      </c>
      <c r="W88" s="696">
        <v>1.7149847194239736</v>
      </c>
      <c r="X88" s="696">
        <v>1.7149847194239736</v>
      </c>
      <c r="Y88" s="696">
        <v>1.7149847194239736</v>
      </c>
      <c r="Z88" s="696">
        <v>1.7149847194239736</v>
      </c>
      <c r="AA88" s="696">
        <v>0.42340981224303831</v>
      </c>
      <c r="AB88" s="696">
        <v>0</v>
      </c>
      <c r="AC88" s="696">
        <v>0</v>
      </c>
      <c r="AD88" s="696">
        <v>0</v>
      </c>
      <c r="AE88" s="696">
        <v>0</v>
      </c>
      <c r="AF88" s="696">
        <v>0</v>
      </c>
      <c r="AG88" s="696">
        <v>0</v>
      </c>
      <c r="AH88" s="696">
        <v>0</v>
      </c>
      <c r="AI88" s="696">
        <v>0</v>
      </c>
      <c r="AJ88" s="696">
        <v>0</v>
      </c>
      <c r="AK88" s="696">
        <v>0</v>
      </c>
      <c r="AL88" s="696">
        <v>0</v>
      </c>
      <c r="AM88" s="696">
        <v>0</v>
      </c>
      <c r="AN88" s="696">
        <v>0</v>
      </c>
      <c r="AO88" s="697">
        <v>0</v>
      </c>
      <c r="AP88" s="633"/>
      <c r="AQ88" s="698">
        <v>0</v>
      </c>
      <c r="AR88" s="699">
        <v>0</v>
      </c>
      <c r="AS88" s="699">
        <v>0</v>
      </c>
      <c r="AT88" s="699">
        <v>0</v>
      </c>
      <c r="AU88" s="699">
        <v>0</v>
      </c>
      <c r="AV88" s="699">
        <v>13142.640539737338</v>
      </c>
      <c r="AW88" s="699">
        <v>13142.640539737338</v>
      </c>
      <c r="AX88" s="699">
        <v>13142.640539737338</v>
      </c>
      <c r="AY88" s="699">
        <v>13142.640539737338</v>
      </c>
      <c r="AZ88" s="699">
        <v>13142.640539737338</v>
      </c>
      <c r="BA88" s="699">
        <v>13142.640539737338</v>
      </c>
      <c r="BB88" s="699">
        <v>13142.640539737338</v>
      </c>
      <c r="BC88" s="699">
        <v>13142.640539737338</v>
      </c>
      <c r="BD88" s="699">
        <v>13142.640539737338</v>
      </c>
      <c r="BE88" s="699">
        <v>13142.640539737338</v>
      </c>
      <c r="BF88" s="699">
        <v>3244.76533247305</v>
      </c>
      <c r="BG88" s="699">
        <v>0</v>
      </c>
      <c r="BH88" s="699">
        <v>0</v>
      </c>
      <c r="BI88" s="699">
        <v>0</v>
      </c>
      <c r="BJ88" s="699">
        <v>0</v>
      </c>
      <c r="BK88" s="699">
        <v>0</v>
      </c>
      <c r="BL88" s="699">
        <v>0</v>
      </c>
      <c r="BM88" s="699">
        <v>0</v>
      </c>
      <c r="BN88" s="699">
        <v>0</v>
      </c>
      <c r="BO88" s="699">
        <v>0</v>
      </c>
      <c r="BP88" s="699">
        <v>0</v>
      </c>
      <c r="BQ88" s="699">
        <v>0</v>
      </c>
      <c r="BR88" s="699">
        <v>0</v>
      </c>
      <c r="BS88" s="699">
        <v>0</v>
      </c>
      <c r="BT88" s="700">
        <v>0</v>
      </c>
    </row>
    <row r="89" spans="2:73">
      <c r="B89" s="691"/>
      <c r="C89" s="691" t="s">
        <v>114</v>
      </c>
      <c r="D89" s="691"/>
      <c r="E89" s="691" t="s">
        <v>692</v>
      </c>
      <c r="F89" s="691" t="s">
        <v>29</v>
      </c>
      <c r="G89" s="691"/>
      <c r="H89" s="691">
        <v>2016</v>
      </c>
      <c r="I89" s="644" t="s">
        <v>584</v>
      </c>
      <c r="J89" s="644" t="s">
        <v>597</v>
      </c>
      <c r="K89" s="633"/>
      <c r="L89" s="695">
        <v>0</v>
      </c>
      <c r="M89" s="696">
        <v>0</v>
      </c>
      <c r="N89" s="696">
        <v>0</v>
      </c>
      <c r="O89" s="696">
        <v>0</v>
      </c>
      <c r="P89" s="696">
        <v>0</v>
      </c>
      <c r="Q89" s="696">
        <v>78.899288230727407</v>
      </c>
      <c r="R89" s="696">
        <v>78.899288230727407</v>
      </c>
      <c r="S89" s="696">
        <v>78.899288230727407</v>
      </c>
      <c r="T89" s="696">
        <v>78.899288230727407</v>
      </c>
      <c r="U89" s="696">
        <v>78.899288230727407</v>
      </c>
      <c r="V89" s="696">
        <v>78.899288230727407</v>
      </c>
      <c r="W89" s="696">
        <v>78.899288230727407</v>
      </c>
      <c r="X89" s="696">
        <v>78.897821942814602</v>
      </c>
      <c r="Y89" s="696">
        <v>78.897821942814602</v>
      </c>
      <c r="Z89" s="696">
        <v>78.589512341895571</v>
      </c>
      <c r="AA89" s="696">
        <v>76.051560252117994</v>
      </c>
      <c r="AB89" s="696">
        <v>76.051481878063541</v>
      </c>
      <c r="AC89" s="696">
        <v>76.051481878063541</v>
      </c>
      <c r="AD89" s="696">
        <v>75.98411483932037</v>
      </c>
      <c r="AE89" s="696">
        <v>67.037969786231201</v>
      </c>
      <c r="AF89" s="696">
        <v>67.037969786231201</v>
      </c>
      <c r="AG89" s="696">
        <v>25.267446777205738</v>
      </c>
      <c r="AH89" s="696">
        <v>0</v>
      </c>
      <c r="AI89" s="696">
        <v>0</v>
      </c>
      <c r="AJ89" s="696">
        <v>0</v>
      </c>
      <c r="AK89" s="696">
        <v>0</v>
      </c>
      <c r="AL89" s="696">
        <v>0</v>
      </c>
      <c r="AM89" s="696">
        <v>0</v>
      </c>
      <c r="AN89" s="696">
        <v>0</v>
      </c>
      <c r="AO89" s="697">
        <v>0</v>
      </c>
      <c r="AP89" s="633"/>
      <c r="AQ89" s="692">
        <v>0</v>
      </c>
      <c r="AR89" s="693">
        <v>0</v>
      </c>
      <c r="AS89" s="693">
        <v>0</v>
      </c>
      <c r="AT89" s="693">
        <v>0</v>
      </c>
      <c r="AU89" s="693">
        <v>0</v>
      </c>
      <c r="AV89" s="693">
        <v>1213321.5909365376</v>
      </c>
      <c r="AW89" s="693">
        <v>1213321.5909365376</v>
      </c>
      <c r="AX89" s="693">
        <v>1213321.5909365376</v>
      </c>
      <c r="AY89" s="693">
        <v>1213321.5909365376</v>
      </c>
      <c r="AZ89" s="693">
        <v>1213321.5909365376</v>
      </c>
      <c r="BA89" s="693">
        <v>1213321.5909365376</v>
      </c>
      <c r="BB89" s="693">
        <v>1213321.5909365376</v>
      </c>
      <c r="BC89" s="693">
        <v>1213158.4068729002</v>
      </c>
      <c r="BD89" s="693">
        <v>1213158.4068729002</v>
      </c>
      <c r="BE89" s="693">
        <v>1208247.2430350757</v>
      </c>
      <c r="BF89" s="693">
        <v>1194785.6641423029</v>
      </c>
      <c r="BG89" s="693">
        <v>1194139.7722764846</v>
      </c>
      <c r="BH89" s="693">
        <v>1194139.7722764846</v>
      </c>
      <c r="BI89" s="693">
        <v>1188438.0904269055</v>
      </c>
      <c r="BJ89" s="693">
        <v>1045932.0382582601</v>
      </c>
      <c r="BK89" s="693">
        <v>1045932.0382582601</v>
      </c>
      <c r="BL89" s="693">
        <v>402493.3719756293</v>
      </c>
      <c r="BM89" s="693">
        <v>0</v>
      </c>
      <c r="BN89" s="693">
        <v>0</v>
      </c>
      <c r="BO89" s="693">
        <v>0</v>
      </c>
      <c r="BP89" s="693">
        <v>0</v>
      </c>
      <c r="BQ89" s="693">
        <v>0</v>
      </c>
      <c r="BR89" s="693">
        <v>0</v>
      </c>
      <c r="BS89" s="693">
        <v>0</v>
      </c>
      <c r="BT89" s="694">
        <v>0</v>
      </c>
    </row>
    <row r="90" spans="2:73">
      <c r="B90" s="691"/>
      <c r="C90" s="691" t="s">
        <v>115</v>
      </c>
      <c r="D90" s="691"/>
      <c r="E90" s="691" t="s">
        <v>692</v>
      </c>
      <c r="F90" s="691" t="s">
        <v>29</v>
      </c>
      <c r="G90" s="691"/>
      <c r="H90" s="691">
        <v>2016</v>
      </c>
      <c r="I90" s="644" t="s">
        <v>584</v>
      </c>
      <c r="J90" s="644" t="s">
        <v>597</v>
      </c>
      <c r="K90" s="633"/>
      <c r="L90" s="695">
        <v>0</v>
      </c>
      <c r="M90" s="696">
        <v>0</v>
      </c>
      <c r="N90" s="696">
        <v>0</v>
      </c>
      <c r="O90" s="696">
        <v>0</v>
      </c>
      <c r="P90" s="696">
        <v>0</v>
      </c>
      <c r="Q90" s="696">
        <v>47.83640000000004</v>
      </c>
      <c r="R90" s="696">
        <v>47.83640000000004</v>
      </c>
      <c r="S90" s="696">
        <v>47.83640000000004</v>
      </c>
      <c r="T90" s="696">
        <v>47.83640000000004</v>
      </c>
      <c r="U90" s="696">
        <v>47.83640000000004</v>
      </c>
      <c r="V90" s="696">
        <v>47.83640000000004</v>
      </c>
      <c r="W90" s="696">
        <v>47.83640000000004</v>
      </c>
      <c r="X90" s="696">
        <v>47.83640000000004</v>
      </c>
      <c r="Y90" s="696">
        <v>47.83640000000004</v>
      </c>
      <c r="Z90" s="696">
        <v>47.83640000000004</v>
      </c>
      <c r="AA90" s="696">
        <v>47.83640000000004</v>
      </c>
      <c r="AB90" s="696">
        <v>47.83640000000004</v>
      </c>
      <c r="AC90" s="696">
        <v>47.83640000000004</v>
      </c>
      <c r="AD90" s="696">
        <v>47.83640000000004</v>
      </c>
      <c r="AE90" s="696">
        <v>47.83640000000004</v>
      </c>
      <c r="AF90" s="696">
        <v>47.83640000000004</v>
      </c>
      <c r="AG90" s="696">
        <v>47.83640000000004</v>
      </c>
      <c r="AH90" s="696">
        <v>47.83640000000004</v>
      </c>
      <c r="AI90" s="696">
        <v>44.846000000000146</v>
      </c>
      <c r="AJ90" s="696">
        <v>0</v>
      </c>
      <c r="AK90" s="696">
        <v>0</v>
      </c>
      <c r="AL90" s="696">
        <v>0</v>
      </c>
      <c r="AM90" s="696">
        <v>0</v>
      </c>
      <c r="AN90" s="696">
        <v>0</v>
      </c>
      <c r="AO90" s="697">
        <v>0</v>
      </c>
      <c r="AP90" s="633"/>
      <c r="AQ90" s="695">
        <v>0</v>
      </c>
      <c r="AR90" s="696">
        <v>0</v>
      </c>
      <c r="AS90" s="696">
        <v>0</v>
      </c>
      <c r="AT90" s="696">
        <v>0</v>
      </c>
      <c r="AU90" s="696">
        <v>0</v>
      </c>
      <c r="AV90" s="696">
        <v>165327.20000000016</v>
      </c>
      <c r="AW90" s="696">
        <v>165327.20000000016</v>
      </c>
      <c r="AX90" s="696">
        <v>165327.20000000016</v>
      </c>
      <c r="AY90" s="696">
        <v>165327.20000000016</v>
      </c>
      <c r="AZ90" s="696">
        <v>165327.20000000016</v>
      </c>
      <c r="BA90" s="696">
        <v>165327.20000000016</v>
      </c>
      <c r="BB90" s="696">
        <v>165327.20000000016</v>
      </c>
      <c r="BC90" s="696">
        <v>165327.20000000016</v>
      </c>
      <c r="BD90" s="696">
        <v>165327.20000000016</v>
      </c>
      <c r="BE90" s="696">
        <v>165327.20000000016</v>
      </c>
      <c r="BF90" s="696">
        <v>165327.20000000016</v>
      </c>
      <c r="BG90" s="696">
        <v>165327.20000000016</v>
      </c>
      <c r="BH90" s="696">
        <v>165327.20000000016</v>
      </c>
      <c r="BI90" s="696">
        <v>165327.20000000016</v>
      </c>
      <c r="BJ90" s="696">
        <v>165327.20000000016</v>
      </c>
      <c r="BK90" s="696">
        <v>165327.20000000016</v>
      </c>
      <c r="BL90" s="696">
        <v>165327.20000000016</v>
      </c>
      <c r="BM90" s="696">
        <v>165327.20000000016</v>
      </c>
      <c r="BN90" s="696">
        <v>162655.99999999988</v>
      </c>
      <c r="BO90" s="696">
        <v>0</v>
      </c>
      <c r="BP90" s="696">
        <v>0</v>
      </c>
      <c r="BQ90" s="696">
        <v>0</v>
      </c>
      <c r="BR90" s="696">
        <v>0</v>
      </c>
      <c r="BS90" s="696">
        <v>0</v>
      </c>
      <c r="BT90" s="697">
        <v>0</v>
      </c>
    </row>
    <row r="91" spans="2:73">
      <c r="B91" s="691"/>
      <c r="C91" s="691" t="s">
        <v>119</v>
      </c>
      <c r="D91" s="691"/>
      <c r="E91" s="691" t="s">
        <v>692</v>
      </c>
      <c r="F91" s="691" t="s">
        <v>691</v>
      </c>
      <c r="G91" s="691"/>
      <c r="H91" s="691">
        <v>2016</v>
      </c>
      <c r="I91" s="644" t="s">
        <v>584</v>
      </c>
      <c r="J91" s="644" t="s">
        <v>597</v>
      </c>
      <c r="K91" s="633"/>
      <c r="L91" s="695">
        <v>0</v>
      </c>
      <c r="M91" s="696">
        <v>0</v>
      </c>
      <c r="N91" s="696">
        <v>0</v>
      </c>
      <c r="O91" s="696">
        <v>0</v>
      </c>
      <c r="P91" s="696">
        <v>0</v>
      </c>
      <c r="Q91" s="696">
        <v>88.675643452987742</v>
      </c>
      <c r="R91" s="696">
        <v>86.977191344639024</v>
      </c>
      <c r="S91" s="696">
        <v>86.977191344639024</v>
      </c>
      <c r="T91" s="696">
        <v>86.977191344639024</v>
      </c>
      <c r="U91" s="696">
        <v>86.977191344639024</v>
      </c>
      <c r="V91" s="696">
        <v>81.484276454079136</v>
      </c>
      <c r="W91" s="696">
        <v>81.484276454079136</v>
      </c>
      <c r="X91" s="696">
        <v>81.484276454079136</v>
      </c>
      <c r="Y91" s="696">
        <v>81.484276454079136</v>
      </c>
      <c r="Z91" s="696">
        <v>81.484276454079136</v>
      </c>
      <c r="AA91" s="696">
        <v>81.484276454079136</v>
      </c>
      <c r="AB91" s="696">
        <v>66.700246000260748</v>
      </c>
      <c r="AC91" s="696">
        <v>44.144101099884395</v>
      </c>
      <c r="AD91" s="696">
        <v>44.144101099884395</v>
      </c>
      <c r="AE91" s="696">
        <v>11.554212199553968</v>
      </c>
      <c r="AF91" s="696">
        <v>0</v>
      </c>
      <c r="AG91" s="696">
        <v>0</v>
      </c>
      <c r="AH91" s="696">
        <v>0</v>
      </c>
      <c r="AI91" s="696">
        <v>0</v>
      </c>
      <c r="AJ91" s="696">
        <v>0</v>
      </c>
      <c r="AK91" s="696">
        <v>0</v>
      </c>
      <c r="AL91" s="696">
        <v>0</v>
      </c>
      <c r="AM91" s="696">
        <v>0</v>
      </c>
      <c r="AN91" s="696">
        <v>0</v>
      </c>
      <c r="AO91" s="697">
        <v>0</v>
      </c>
      <c r="AP91" s="633"/>
      <c r="AQ91" s="695">
        <v>0</v>
      </c>
      <c r="AR91" s="696">
        <v>0</v>
      </c>
      <c r="AS91" s="696">
        <v>0</v>
      </c>
      <c r="AT91" s="696">
        <v>0</v>
      </c>
      <c r="AU91" s="696">
        <v>0</v>
      </c>
      <c r="AV91" s="696">
        <v>685419.37317366735</v>
      </c>
      <c r="AW91" s="696">
        <v>678724.47254545777</v>
      </c>
      <c r="AX91" s="696">
        <v>678724.47254545777</v>
      </c>
      <c r="AY91" s="696">
        <v>678724.47254545777</v>
      </c>
      <c r="AZ91" s="696">
        <v>678724.47254545777</v>
      </c>
      <c r="BA91" s="696">
        <v>644707.39801255171</v>
      </c>
      <c r="BB91" s="696">
        <v>644707.39801255171</v>
      </c>
      <c r="BC91" s="696">
        <v>644707.39801255171</v>
      </c>
      <c r="BD91" s="696">
        <v>644707.39801255171</v>
      </c>
      <c r="BE91" s="696">
        <v>644707.39801255171</v>
      </c>
      <c r="BF91" s="696">
        <v>644707.39801255171</v>
      </c>
      <c r="BG91" s="696">
        <v>585818.9835486575</v>
      </c>
      <c r="BH91" s="696">
        <v>193302.85853254964</v>
      </c>
      <c r="BI91" s="696">
        <v>193302.85853254964</v>
      </c>
      <c r="BJ91" s="696">
        <v>43253.650967321089</v>
      </c>
      <c r="BK91" s="696">
        <v>0</v>
      </c>
      <c r="BL91" s="696">
        <v>0</v>
      </c>
      <c r="BM91" s="696">
        <v>0</v>
      </c>
      <c r="BN91" s="696">
        <v>0</v>
      </c>
      <c r="BO91" s="696">
        <v>0</v>
      </c>
      <c r="BP91" s="696">
        <v>0</v>
      </c>
      <c r="BQ91" s="696">
        <v>0</v>
      </c>
      <c r="BR91" s="696">
        <v>0</v>
      </c>
      <c r="BS91" s="696">
        <v>0</v>
      </c>
      <c r="BT91" s="697">
        <v>0</v>
      </c>
    </row>
    <row r="92" spans="2:73">
      <c r="B92" s="691"/>
      <c r="C92" s="691"/>
      <c r="D92" s="691"/>
      <c r="E92" s="691"/>
      <c r="F92" s="691"/>
      <c r="G92" s="691"/>
      <c r="H92" s="691"/>
      <c r="I92" s="644"/>
      <c r="J92" s="644"/>
      <c r="K92" s="633"/>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3"/>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4"/>
      <c r="J93" s="644"/>
      <c r="K93" s="633"/>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3"/>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4"/>
      <c r="J94" s="644"/>
      <c r="K94" s="633"/>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3"/>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4"/>
      <c r="J95" s="644"/>
      <c r="K95" s="633"/>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3"/>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4"/>
      <c r="J96" s="644"/>
      <c r="K96" s="633"/>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3"/>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4"/>
      <c r="J97" s="644"/>
      <c r="K97" s="633"/>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3"/>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4"/>
      <c r="J98" s="644"/>
      <c r="K98" s="633"/>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3"/>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5"/>
    </row>
    <row r="99" spans="2:73" ht="15.75">
      <c r="B99" s="691"/>
      <c r="C99" s="691"/>
      <c r="D99" s="691"/>
      <c r="E99" s="691"/>
      <c r="F99" s="691"/>
      <c r="G99" s="691"/>
      <c r="H99" s="691"/>
      <c r="I99" s="644"/>
      <c r="J99" s="644"/>
      <c r="K99" s="633"/>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3"/>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5"/>
    </row>
    <row r="100" spans="2:73" ht="15.75">
      <c r="B100" s="691"/>
      <c r="C100" s="691"/>
      <c r="D100" s="691"/>
      <c r="E100" s="691"/>
      <c r="F100" s="691"/>
      <c r="G100" s="691"/>
      <c r="H100" s="691"/>
      <c r="I100" s="644"/>
      <c r="J100" s="644"/>
      <c r="K100" s="633"/>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3"/>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5"/>
    </row>
    <row r="101" spans="2:73">
      <c r="B101" s="691"/>
      <c r="C101" s="691"/>
      <c r="D101" s="691"/>
      <c r="E101" s="691"/>
      <c r="F101" s="691"/>
      <c r="G101" s="691"/>
      <c r="H101" s="691"/>
      <c r="I101" s="644"/>
      <c r="J101" s="644"/>
      <c r="K101" s="633"/>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3"/>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4"/>
      <c r="J102" s="644"/>
      <c r="K102" s="633"/>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3"/>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5"/>
    </row>
    <row r="103" spans="2:73" ht="15.75">
      <c r="B103" s="691"/>
      <c r="C103" s="691"/>
      <c r="D103" s="691"/>
      <c r="E103" s="691"/>
      <c r="F103" s="691"/>
      <c r="G103" s="691"/>
      <c r="H103" s="691"/>
      <c r="I103" s="644"/>
      <c r="J103" s="644"/>
      <c r="K103" s="633"/>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3"/>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5"/>
    </row>
    <row r="104" spans="2:73" ht="15.75">
      <c r="B104" s="691"/>
      <c r="C104" s="691"/>
      <c r="D104" s="691"/>
      <c r="E104" s="691"/>
      <c r="F104" s="691"/>
      <c r="G104" s="691"/>
      <c r="H104" s="691"/>
      <c r="I104" s="644"/>
      <c r="J104" s="644"/>
      <c r="K104" s="633"/>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3"/>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5"/>
    </row>
    <row r="105" spans="2:73" ht="15.75">
      <c r="B105" s="691"/>
      <c r="C105" s="691"/>
      <c r="D105" s="691"/>
      <c r="E105" s="691"/>
      <c r="F105" s="691"/>
      <c r="G105" s="691"/>
      <c r="H105" s="691"/>
      <c r="I105" s="644"/>
      <c r="J105" s="644"/>
      <c r="K105" s="633"/>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3"/>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5"/>
    </row>
    <row r="106" spans="2:73" ht="15.75">
      <c r="B106" s="691"/>
      <c r="C106" s="691"/>
      <c r="D106" s="691"/>
      <c r="E106" s="691"/>
      <c r="F106" s="691"/>
      <c r="G106" s="691"/>
      <c r="H106" s="691"/>
      <c r="I106" s="644"/>
      <c r="J106" s="644"/>
      <c r="K106" s="633"/>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3"/>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5"/>
    </row>
    <row r="107" spans="2:73" ht="15.75">
      <c r="B107" s="691"/>
      <c r="C107" s="691"/>
      <c r="D107" s="691"/>
      <c r="E107" s="691"/>
      <c r="F107" s="691"/>
      <c r="G107" s="691"/>
      <c r="H107" s="691"/>
      <c r="I107" s="644"/>
      <c r="J107" s="644"/>
      <c r="K107" s="633"/>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3"/>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5"/>
    </row>
    <row r="108" spans="2:73" ht="15.75">
      <c r="B108" s="691"/>
      <c r="C108" s="691"/>
      <c r="D108" s="691"/>
      <c r="E108" s="691"/>
      <c r="F108" s="691"/>
      <c r="G108" s="691"/>
      <c r="H108" s="691"/>
      <c r="I108" s="644"/>
      <c r="J108" s="644"/>
      <c r="K108" s="633"/>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3"/>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5"/>
    </row>
    <row r="109" spans="2:73" ht="15.75">
      <c r="B109" s="691"/>
      <c r="C109" s="691"/>
      <c r="D109" s="691"/>
      <c r="E109" s="691"/>
      <c r="F109" s="691"/>
      <c r="G109" s="691"/>
      <c r="H109" s="691"/>
      <c r="I109" s="644"/>
      <c r="J109" s="644"/>
      <c r="K109" s="633"/>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3"/>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5"/>
    </row>
    <row r="110" spans="2:73" ht="15.75">
      <c r="B110" s="691"/>
      <c r="C110" s="691"/>
      <c r="D110" s="691"/>
      <c r="E110" s="691"/>
      <c r="F110" s="691"/>
      <c r="G110" s="691"/>
      <c r="H110" s="691"/>
      <c r="I110" s="644"/>
      <c r="J110" s="644"/>
      <c r="K110" s="633"/>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3"/>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5"/>
    </row>
    <row r="111" spans="2:73" ht="15.75">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5"/>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5"/>
    </row>
    <row r="116" spans="2:73" ht="15.75">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5"/>
    </row>
    <row r="117" spans="2:73" ht="15.75">
      <c r="B117" s="691"/>
      <c r="C117" s="691"/>
      <c r="D117" s="691"/>
      <c r="E117" s="691"/>
      <c r="F117" s="691"/>
      <c r="G117" s="691"/>
      <c r="H117" s="691"/>
      <c r="I117" s="644"/>
      <c r="J117" s="644"/>
      <c r="K117" s="633"/>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5"/>
    </row>
    <row r="118" spans="2:73" ht="15.75">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5"/>
    </row>
    <row r="119" spans="2:73" ht="15.75">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5"/>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5"/>
    </row>
    <row r="122" spans="2:73" ht="15.75">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5"/>
    </row>
  </sheetData>
  <autoFilter ref="C26:BT94">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0866141732283472" right="0.70866141732283472" top="0.74803149606299213" bottom="0.74803149606299213" header="0.31496062992125984" footer="0.31496062992125984"/>
  <pageSetup scale="13"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30" sqref="S30"/>
    </sheetView>
  </sheetViews>
  <sheetFormatPr defaultRowHeight="15"/>
  <cols>
    <col min="1" max="16384" width="9.140625" style="12"/>
  </cols>
  <sheetData>
    <row r="12" spans="2:22" ht="24" customHeight="1"/>
    <row r="13" spans="2:22" ht="15.75">
      <c r="B13" s="588" t="s">
        <v>509</v>
      </c>
    </row>
    <row r="14" spans="2:22" ht="15.75">
      <c r="B14" s="588"/>
    </row>
    <row r="15" spans="2:22" s="668" customFormat="1" ht="27" customHeight="1">
      <c r="B15" s="666" t="s">
        <v>680</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Normal="100" workbookViewId="0">
      <pane ySplit="16" topLeftCell="A17" activePane="bottomLeft" state="frozen"/>
      <selection pane="bottomLeft" activeCell="A17" sqref="A17"/>
    </sheetView>
  </sheetViews>
  <sheetFormatPr defaultRowHeight="15"/>
  <cols>
    <col min="1" max="1" width="9.140625" style="12"/>
    <col min="2" max="2" width="36.85546875" style="719" customWidth="1"/>
    <col min="3" max="3" width="9.140625" style="10"/>
    <col min="4" max="16384" width="9.140625" style="12"/>
  </cols>
  <sheetData>
    <row r="16" spans="2:21" ht="26.25" customHeight="1">
      <c r="B16" s="720" t="s">
        <v>565</v>
      </c>
      <c r="C16" s="823" t="s">
        <v>509</v>
      </c>
      <c r="D16" s="824"/>
      <c r="E16" s="824"/>
      <c r="F16" s="824"/>
      <c r="G16" s="824"/>
      <c r="H16" s="824"/>
      <c r="I16" s="824"/>
      <c r="J16" s="824"/>
      <c r="K16" s="824"/>
      <c r="L16" s="824"/>
      <c r="M16" s="824"/>
      <c r="N16" s="824"/>
      <c r="O16" s="824"/>
      <c r="P16" s="824"/>
      <c r="Q16" s="824"/>
      <c r="R16" s="824"/>
      <c r="S16" s="824"/>
      <c r="T16" s="824"/>
      <c r="U16" s="824"/>
    </row>
    <row r="17" spans="2:21" ht="55.5" customHeight="1">
      <c r="B17" s="721" t="s">
        <v>646</v>
      </c>
      <c r="C17" s="825" t="s">
        <v>647</v>
      </c>
      <c r="D17" s="825"/>
      <c r="E17" s="825"/>
      <c r="F17" s="825"/>
      <c r="G17" s="825"/>
      <c r="H17" s="825"/>
      <c r="I17" s="825"/>
      <c r="J17" s="825"/>
      <c r="K17" s="825"/>
      <c r="L17" s="825"/>
      <c r="M17" s="825"/>
      <c r="N17" s="825"/>
      <c r="O17" s="825"/>
      <c r="P17" s="825"/>
      <c r="Q17" s="825"/>
      <c r="R17" s="825"/>
      <c r="S17" s="825"/>
      <c r="T17" s="825"/>
      <c r="U17" s="826"/>
    </row>
    <row r="18" spans="2:21" ht="15.75">
      <c r="B18" s="722"/>
      <c r="C18" s="723"/>
      <c r="D18" s="724"/>
      <c r="E18" s="724"/>
      <c r="F18" s="724"/>
      <c r="G18" s="724"/>
      <c r="H18" s="724"/>
      <c r="I18" s="724"/>
      <c r="J18" s="724"/>
      <c r="K18" s="724"/>
      <c r="L18" s="724"/>
      <c r="M18" s="724"/>
      <c r="N18" s="724"/>
      <c r="O18" s="724"/>
      <c r="P18" s="724"/>
      <c r="Q18" s="724"/>
      <c r="R18" s="724"/>
      <c r="S18" s="724"/>
      <c r="T18" s="724"/>
      <c r="U18" s="725"/>
    </row>
    <row r="19" spans="2:21" ht="15.75">
      <c r="B19" s="722"/>
      <c r="C19" s="723" t="s">
        <v>651</v>
      </c>
      <c r="D19" s="724"/>
      <c r="E19" s="724"/>
      <c r="F19" s="724"/>
      <c r="G19" s="724"/>
      <c r="H19" s="724"/>
      <c r="I19" s="724"/>
      <c r="J19" s="724"/>
      <c r="K19" s="724"/>
      <c r="L19" s="724"/>
      <c r="M19" s="724"/>
      <c r="N19" s="724"/>
      <c r="O19" s="724"/>
      <c r="P19" s="724"/>
      <c r="Q19" s="724"/>
      <c r="R19" s="724"/>
      <c r="S19" s="724"/>
      <c r="T19" s="724"/>
      <c r="U19" s="725"/>
    </row>
    <row r="20" spans="2:21" ht="15.75">
      <c r="B20" s="722"/>
      <c r="C20" s="723"/>
      <c r="D20" s="724"/>
      <c r="E20" s="724"/>
      <c r="F20" s="724"/>
      <c r="G20" s="724"/>
      <c r="H20" s="724"/>
      <c r="I20" s="724"/>
      <c r="J20" s="724"/>
      <c r="K20" s="724"/>
      <c r="L20" s="724"/>
      <c r="M20" s="724"/>
      <c r="N20" s="724"/>
      <c r="O20" s="724"/>
      <c r="P20" s="724"/>
      <c r="Q20" s="724"/>
      <c r="R20" s="724"/>
      <c r="S20" s="724"/>
      <c r="T20" s="724"/>
      <c r="U20" s="725"/>
    </row>
    <row r="21" spans="2:21" ht="15.75">
      <c r="B21" s="722"/>
      <c r="C21" s="723" t="s">
        <v>648</v>
      </c>
      <c r="D21" s="724"/>
      <c r="E21" s="724"/>
      <c r="F21" s="724"/>
      <c r="G21" s="724"/>
      <c r="H21" s="724"/>
      <c r="I21" s="724"/>
      <c r="J21" s="724"/>
      <c r="K21" s="724"/>
      <c r="L21" s="724"/>
      <c r="M21" s="724"/>
      <c r="N21" s="724"/>
      <c r="O21" s="724"/>
      <c r="P21" s="724"/>
      <c r="Q21" s="724"/>
      <c r="R21" s="724"/>
      <c r="S21" s="724"/>
      <c r="T21" s="724"/>
      <c r="U21" s="725"/>
    </row>
    <row r="22" spans="2:21" ht="15.75">
      <c r="B22" s="722"/>
      <c r="C22" s="723"/>
      <c r="D22" s="724"/>
      <c r="E22" s="724"/>
      <c r="F22" s="724"/>
      <c r="G22" s="724"/>
      <c r="H22" s="724"/>
      <c r="I22" s="724"/>
      <c r="J22" s="724"/>
      <c r="K22" s="724"/>
      <c r="L22" s="724"/>
      <c r="M22" s="724"/>
      <c r="N22" s="724"/>
      <c r="O22" s="724"/>
      <c r="P22" s="724"/>
      <c r="Q22" s="724"/>
      <c r="R22" s="724"/>
      <c r="S22" s="724"/>
      <c r="T22" s="724"/>
      <c r="U22" s="725"/>
    </row>
    <row r="23" spans="2:21" ht="30" customHeight="1">
      <c r="B23" s="722"/>
      <c r="C23" s="819" t="s">
        <v>649</v>
      </c>
      <c r="D23" s="819"/>
      <c r="E23" s="819"/>
      <c r="F23" s="819"/>
      <c r="G23" s="819"/>
      <c r="H23" s="819"/>
      <c r="I23" s="819"/>
      <c r="J23" s="819"/>
      <c r="K23" s="819"/>
      <c r="L23" s="819"/>
      <c r="M23" s="819"/>
      <c r="N23" s="819"/>
      <c r="O23" s="819"/>
      <c r="P23" s="819"/>
      <c r="Q23" s="819"/>
      <c r="R23" s="819"/>
      <c r="S23" s="819"/>
      <c r="T23" s="724"/>
      <c r="U23" s="725"/>
    </row>
    <row r="24" spans="2:21" ht="15.75">
      <c r="B24" s="722"/>
      <c r="C24" s="723"/>
      <c r="D24" s="724"/>
      <c r="E24" s="724"/>
      <c r="F24" s="724"/>
      <c r="G24" s="724"/>
      <c r="H24" s="724"/>
      <c r="I24" s="724"/>
      <c r="J24" s="724"/>
      <c r="K24" s="724"/>
      <c r="L24" s="724"/>
      <c r="M24" s="724"/>
      <c r="N24" s="724"/>
      <c r="O24" s="724"/>
      <c r="P24" s="724"/>
      <c r="Q24" s="724"/>
      <c r="R24" s="724"/>
      <c r="S24" s="724"/>
      <c r="T24" s="724"/>
      <c r="U24" s="725"/>
    </row>
    <row r="25" spans="2:21" ht="15.75">
      <c r="B25" s="722"/>
      <c r="C25" s="723" t="s">
        <v>652</v>
      </c>
      <c r="D25" s="724"/>
      <c r="E25" s="724"/>
      <c r="F25" s="724"/>
      <c r="G25" s="724"/>
      <c r="H25" s="724"/>
      <c r="I25" s="724"/>
      <c r="J25" s="724"/>
      <c r="K25" s="724"/>
      <c r="L25" s="724"/>
      <c r="M25" s="724"/>
      <c r="N25" s="724"/>
      <c r="O25" s="724"/>
      <c r="P25" s="724"/>
      <c r="Q25" s="724"/>
      <c r="R25" s="724"/>
      <c r="S25" s="724"/>
      <c r="T25" s="724"/>
      <c r="U25" s="725"/>
    </row>
    <row r="26" spans="2:21" ht="15.75">
      <c r="B26" s="722"/>
      <c r="C26" s="723"/>
      <c r="D26" s="724"/>
      <c r="E26" s="724"/>
      <c r="F26" s="724"/>
      <c r="G26" s="724"/>
      <c r="H26" s="724"/>
      <c r="I26" s="724"/>
      <c r="J26" s="724"/>
      <c r="K26" s="724"/>
      <c r="L26" s="724"/>
      <c r="M26" s="724"/>
      <c r="N26" s="724"/>
      <c r="O26" s="724"/>
      <c r="P26" s="724"/>
      <c r="Q26" s="724"/>
      <c r="R26" s="724"/>
      <c r="S26" s="724"/>
      <c r="T26" s="724"/>
      <c r="U26" s="725"/>
    </row>
    <row r="27" spans="2:21" ht="31.5" customHeight="1">
      <c r="B27" s="722"/>
      <c r="C27" s="819" t="s">
        <v>650</v>
      </c>
      <c r="D27" s="819"/>
      <c r="E27" s="819"/>
      <c r="F27" s="819"/>
      <c r="G27" s="819"/>
      <c r="H27" s="819"/>
      <c r="I27" s="819"/>
      <c r="J27" s="819"/>
      <c r="K27" s="819"/>
      <c r="L27" s="819"/>
      <c r="M27" s="819"/>
      <c r="N27" s="819"/>
      <c r="O27" s="819"/>
      <c r="P27" s="819"/>
      <c r="Q27" s="819"/>
      <c r="R27" s="819"/>
      <c r="S27" s="819"/>
      <c r="T27" s="819"/>
      <c r="U27" s="820"/>
    </row>
    <row r="28" spans="2:21" ht="15.75">
      <c r="B28" s="722"/>
      <c r="C28" s="723"/>
      <c r="D28" s="724"/>
      <c r="E28" s="724"/>
      <c r="F28" s="724"/>
      <c r="G28" s="724"/>
      <c r="H28" s="724"/>
      <c r="I28" s="724"/>
      <c r="J28" s="724"/>
      <c r="K28" s="724"/>
      <c r="L28" s="724"/>
      <c r="M28" s="724"/>
      <c r="N28" s="724"/>
      <c r="O28" s="724"/>
      <c r="P28" s="724"/>
      <c r="Q28" s="724"/>
      <c r="R28" s="724"/>
      <c r="S28" s="724"/>
      <c r="T28" s="724"/>
      <c r="U28" s="725"/>
    </row>
    <row r="29" spans="2:21" ht="31.5" customHeight="1">
      <c r="B29" s="722"/>
      <c r="C29" s="819" t="s">
        <v>653</v>
      </c>
      <c r="D29" s="819"/>
      <c r="E29" s="819"/>
      <c r="F29" s="819"/>
      <c r="G29" s="819"/>
      <c r="H29" s="819"/>
      <c r="I29" s="819"/>
      <c r="J29" s="819"/>
      <c r="K29" s="819"/>
      <c r="L29" s="819"/>
      <c r="M29" s="819"/>
      <c r="N29" s="819"/>
      <c r="O29" s="819"/>
      <c r="P29" s="819"/>
      <c r="Q29" s="819"/>
      <c r="R29" s="819"/>
      <c r="S29" s="819"/>
      <c r="T29" s="819"/>
      <c r="U29" s="820"/>
    </row>
    <row r="30" spans="2:21" ht="15.75">
      <c r="B30" s="722"/>
      <c r="C30" s="723"/>
      <c r="D30" s="724"/>
      <c r="E30" s="724"/>
      <c r="F30" s="724"/>
      <c r="G30" s="724"/>
      <c r="H30" s="724"/>
      <c r="I30" s="724"/>
      <c r="J30" s="724"/>
      <c r="K30" s="724"/>
      <c r="L30" s="724"/>
      <c r="M30" s="724"/>
      <c r="N30" s="724"/>
      <c r="O30" s="724"/>
      <c r="P30" s="724"/>
      <c r="Q30" s="724"/>
      <c r="R30" s="724"/>
      <c r="S30" s="724"/>
      <c r="T30" s="724"/>
      <c r="U30" s="725"/>
    </row>
    <row r="31" spans="2:21" ht="15.75">
      <c r="B31" s="722"/>
      <c r="C31" s="723" t="s">
        <v>654</v>
      </c>
      <c r="D31" s="724"/>
      <c r="E31" s="724"/>
      <c r="F31" s="724"/>
      <c r="G31" s="724"/>
      <c r="H31" s="724"/>
      <c r="I31" s="724"/>
      <c r="J31" s="724"/>
      <c r="K31" s="724"/>
      <c r="L31" s="724"/>
      <c r="M31" s="724"/>
      <c r="N31" s="724"/>
      <c r="O31" s="724"/>
      <c r="P31" s="724"/>
      <c r="Q31" s="724"/>
      <c r="R31" s="724"/>
      <c r="S31" s="724"/>
      <c r="T31" s="724"/>
      <c r="U31" s="725"/>
    </row>
    <row r="32" spans="2:21" ht="15.75">
      <c r="B32" s="726"/>
      <c r="C32" s="727"/>
      <c r="D32" s="728"/>
      <c r="E32" s="728"/>
      <c r="F32" s="728"/>
      <c r="G32" s="728"/>
      <c r="H32" s="728"/>
      <c r="I32" s="728"/>
      <c r="J32" s="728"/>
      <c r="K32" s="728"/>
      <c r="L32" s="728"/>
      <c r="M32" s="728"/>
      <c r="N32" s="728"/>
      <c r="O32" s="728"/>
      <c r="P32" s="728"/>
      <c r="Q32" s="728"/>
      <c r="R32" s="728"/>
      <c r="S32" s="728"/>
      <c r="T32" s="728"/>
      <c r="U32" s="729"/>
    </row>
    <row r="33" spans="2:21" ht="39" customHeight="1">
      <c r="B33" s="730" t="s">
        <v>655</v>
      </c>
      <c r="C33" s="827" t="s">
        <v>656</v>
      </c>
      <c r="D33" s="827"/>
      <c r="E33" s="827"/>
      <c r="F33" s="827"/>
      <c r="G33" s="827"/>
      <c r="H33" s="827"/>
      <c r="I33" s="827"/>
      <c r="J33" s="827"/>
      <c r="K33" s="827"/>
      <c r="L33" s="827"/>
      <c r="M33" s="827"/>
      <c r="N33" s="827"/>
      <c r="O33" s="827"/>
      <c r="P33" s="827"/>
      <c r="Q33" s="827"/>
      <c r="R33" s="827"/>
      <c r="S33" s="827"/>
      <c r="T33" s="827"/>
      <c r="U33" s="828"/>
    </row>
    <row r="34" spans="2:21">
      <c r="B34" s="731"/>
      <c r="C34" s="732"/>
      <c r="D34" s="732"/>
      <c r="E34" s="732"/>
      <c r="F34" s="732"/>
      <c r="G34" s="732"/>
      <c r="H34" s="732"/>
      <c r="I34" s="732"/>
      <c r="J34" s="732"/>
      <c r="K34" s="732"/>
      <c r="L34" s="732"/>
      <c r="M34" s="732"/>
      <c r="N34" s="732"/>
      <c r="O34" s="732"/>
      <c r="P34" s="732"/>
      <c r="Q34" s="732"/>
      <c r="R34" s="732"/>
      <c r="S34" s="732"/>
      <c r="T34" s="732"/>
      <c r="U34" s="733"/>
    </row>
    <row r="35" spans="2:21" ht="15.75">
      <c r="B35" s="734" t="s">
        <v>657</v>
      </c>
      <c r="C35" s="735" t="s">
        <v>658</v>
      </c>
      <c r="D35" s="724"/>
      <c r="E35" s="724"/>
      <c r="F35" s="724"/>
      <c r="G35" s="724"/>
      <c r="H35" s="724"/>
      <c r="I35" s="724"/>
      <c r="J35" s="724"/>
      <c r="K35" s="724"/>
      <c r="L35" s="724"/>
      <c r="M35" s="724"/>
      <c r="N35" s="724"/>
      <c r="O35" s="724"/>
      <c r="P35" s="724"/>
      <c r="Q35" s="724"/>
      <c r="R35" s="724"/>
      <c r="S35" s="724"/>
      <c r="T35" s="724"/>
      <c r="U35" s="725"/>
    </row>
    <row r="36" spans="2:21">
      <c r="B36" s="736"/>
      <c r="C36" s="728"/>
      <c r="D36" s="728"/>
      <c r="E36" s="728"/>
      <c r="F36" s="728"/>
      <c r="G36" s="728"/>
      <c r="H36" s="728"/>
      <c r="I36" s="728"/>
      <c r="J36" s="728"/>
      <c r="K36" s="728"/>
      <c r="L36" s="728"/>
      <c r="M36" s="728"/>
      <c r="N36" s="728"/>
      <c r="O36" s="728"/>
      <c r="P36" s="728"/>
      <c r="Q36" s="728"/>
      <c r="R36" s="728"/>
      <c r="S36" s="728"/>
      <c r="T36" s="728"/>
      <c r="U36" s="729"/>
    </row>
    <row r="37" spans="2:21" ht="34.5" customHeight="1">
      <c r="B37" s="721" t="s">
        <v>659</v>
      </c>
      <c r="C37" s="821" t="s">
        <v>660</v>
      </c>
      <c r="D37" s="821"/>
      <c r="E37" s="821"/>
      <c r="F37" s="821"/>
      <c r="G37" s="821"/>
      <c r="H37" s="821"/>
      <c r="I37" s="821"/>
      <c r="J37" s="821"/>
      <c r="K37" s="821"/>
      <c r="L37" s="821"/>
      <c r="M37" s="821"/>
      <c r="N37" s="821"/>
      <c r="O37" s="821"/>
      <c r="P37" s="821"/>
      <c r="Q37" s="821"/>
      <c r="R37" s="821"/>
      <c r="S37" s="821"/>
      <c r="T37" s="821"/>
      <c r="U37" s="822"/>
    </row>
    <row r="38" spans="2:21">
      <c r="B38" s="736"/>
      <c r="C38" s="728"/>
      <c r="D38" s="728"/>
      <c r="E38" s="728"/>
      <c r="F38" s="728"/>
      <c r="G38" s="728"/>
      <c r="H38" s="728"/>
      <c r="I38" s="728"/>
      <c r="J38" s="728"/>
      <c r="K38" s="728"/>
      <c r="L38" s="728"/>
      <c r="M38" s="728"/>
      <c r="N38" s="728"/>
      <c r="O38" s="728"/>
      <c r="P38" s="728"/>
      <c r="Q38" s="728"/>
      <c r="R38" s="728"/>
      <c r="S38" s="728"/>
      <c r="T38" s="728"/>
      <c r="U38" s="729"/>
    </row>
    <row r="39" spans="2:21" ht="15.75">
      <c r="B39" s="721" t="s">
        <v>661</v>
      </c>
      <c r="C39" s="737" t="s">
        <v>662</v>
      </c>
      <c r="D39" s="732"/>
      <c r="E39" s="732"/>
      <c r="F39" s="732"/>
      <c r="G39" s="732"/>
      <c r="H39" s="732"/>
      <c r="I39" s="732"/>
      <c r="J39" s="732"/>
      <c r="K39" s="732"/>
      <c r="L39" s="732"/>
      <c r="M39" s="732"/>
      <c r="N39" s="732"/>
      <c r="O39" s="732"/>
      <c r="P39" s="732"/>
      <c r="Q39" s="732"/>
      <c r="R39" s="732"/>
      <c r="S39" s="732"/>
      <c r="T39" s="732"/>
      <c r="U39" s="733"/>
    </row>
    <row r="40" spans="2:21">
      <c r="B40" s="736"/>
      <c r="C40" s="728"/>
      <c r="D40" s="728"/>
      <c r="E40" s="728"/>
      <c r="F40" s="728"/>
      <c r="G40" s="728"/>
      <c r="H40" s="728"/>
      <c r="I40" s="728"/>
      <c r="J40" s="728"/>
      <c r="K40" s="728"/>
      <c r="L40" s="728"/>
      <c r="M40" s="728"/>
      <c r="N40" s="728"/>
      <c r="O40" s="728"/>
      <c r="P40" s="728"/>
      <c r="Q40" s="728"/>
      <c r="R40" s="728"/>
      <c r="S40" s="728"/>
      <c r="T40" s="728"/>
      <c r="U40" s="729"/>
    </row>
    <row r="41" spans="2:21" ht="38.25" customHeight="1">
      <c r="B41" s="730" t="s">
        <v>663</v>
      </c>
      <c r="C41" s="829" t="s">
        <v>664</v>
      </c>
      <c r="D41" s="829"/>
      <c r="E41" s="829"/>
      <c r="F41" s="829"/>
      <c r="G41" s="829"/>
      <c r="H41" s="829"/>
      <c r="I41" s="829"/>
      <c r="J41" s="829"/>
      <c r="K41" s="829"/>
      <c r="L41" s="829"/>
      <c r="M41" s="829"/>
      <c r="N41" s="829"/>
      <c r="O41" s="829"/>
      <c r="P41" s="829"/>
      <c r="Q41" s="829"/>
      <c r="R41" s="829"/>
      <c r="S41" s="829"/>
      <c r="T41" s="829"/>
      <c r="U41" s="830"/>
    </row>
    <row r="42" spans="2:21">
      <c r="B42" s="738"/>
      <c r="C42" s="732"/>
      <c r="D42" s="732"/>
      <c r="E42" s="732"/>
      <c r="F42" s="732"/>
      <c r="G42" s="732"/>
      <c r="H42" s="732"/>
      <c r="I42" s="732"/>
      <c r="J42" s="732"/>
      <c r="K42" s="732"/>
      <c r="L42" s="732"/>
      <c r="M42" s="732"/>
      <c r="N42" s="732"/>
      <c r="O42" s="732"/>
      <c r="P42" s="732"/>
      <c r="Q42" s="732"/>
      <c r="R42" s="732"/>
      <c r="S42" s="732"/>
      <c r="T42" s="732"/>
      <c r="U42" s="733"/>
    </row>
    <row r="43" spans="2:21" ht="15.75">
      <c r="B43" s="734" t="s">
        <v>665</v>
      </c>
      <c r="C43" s="735" t="s">
        <v>666</v>
      </c>
      <c r="D43" s="724"/>
      <c r="E43" s="724"/>
      <c r="F43" s="724"/>
      <c r="G43" s="724"/>
      <c r="H43" s="724"/>
      <c r="I43" s="724"/>
      <c r="J43" s="724"/>
      <c r="K43" s="724"/>
      <c r="L43" s="724"/>
      <c r="M43" s="724"/>
      <c r="N43" s="724"/>
      <c r="O43" s="724"/>
      <c r="P43" s="724"/>
      <c r="Q43" s="724"/>
      <c r="R43" s="724"/>
      <c r="S43" s="724"/>
      <c r="T43" s="724"/>
      <c r="U43" s="725"/>
    </row>
    <row r="44" spans="2:21">
      <c r="B44" s="739"/>
      <c r="C44" s="724"/>
      <c r="D44" s="724"/>
      <c r="E44" s="724"/>
      <c r="F44" s="724"/>
      <c r="G44" s="724"/>
      <c r="H44" s="724"/>
      <c r="I44" s="724"/>
      <c r="J44" s="724"/>
      <c r="K44" s="724"/>
      <c r="L44" s="724"/>
      <c r="M44" s="724"/>
      <c r="N44" s="724"/>
      <c r="O44" s="724"/>
      <c r="P44" s="724"/>
      <c r="Q44" s="724"/>
      <c r="R44" s="724"/>
      <c r="S44" s="724"/>
      <c r="T44" s="724"/>
      <c r="U44" s="725"/>
    </row>
    <row r="45" spans="2:21" ht="36" customHeight="1">
      <c r="B45" s="739"/>
      <c r="C45" s="817" t="s">
        <v>670</v>
      </c>
      <c r="D45" s="817"/>
      <c r="E45" s="817"/>
      <c r="F45" s="817"/>
      <c r="G45" s="817"/>
      <c r="H45" s="817"/>
      <c r="I45" s="817"/>
      <c r="J45" s="817"/>
      <c r="K45" s="817"/>
      <c r="L45" s="817"/>
      <c r="M45" s="817"/>
      <c r="N45" s="817"/>
      <c r="O45" s="817"/>
      <c r="P45" s="817"/>
      <c r="Q45" s="817"/>
      <c r="R45" s="817"/>
      <c r="S45" s="817"/>
      <c r="T45" s="817"/>
      <c r="U45" s="818"/>
    </row>
    <row r="46" spans="2:21">
      <c r="B46" s="739"/>
      <c r="C46" s="740"/>
      <c r="D46" s="724"/>
      <c r="E46" s="724"/>
      <c r="F46" s="724"/>
      <c r="G46" s="724"/>
      <c r="H46" s="724"/>
      <c r="I46" s="724"/>
      <c r="J46" s="724"/>
      <c r="K46" s="724"/>
      <c r="L46" s="724"/>
      <c r="M46" s="724"/>
      <c r="N46" s="724"/>
      <c r="O46" s="724"/>
      <c r="P46" s="724"/>
      <c r="Q46" s="724"/>
      <c r="R46" s="724"/>
      <c r="S46" s="724"/>
      <c r="T46" s="724"/>
      <c r="U46" s="725"/>
    </row>
    <row r="47" spans="2:21" ht="35.25" customHeight="1">
      <c r="B47" s="739"/>
      <c r="C47" s="817" t="s">
        <v>667</v>
      </c>
      <c r="D47" s="817"/>
      <c r="E47" s="817"/>
      <c r="F47" s="817"/>
      <c r="G47" s="817"/>
      <c r="H47" s="817"/>
      <c r="I47" s="817"/>
      <c r="J47" s="817"/>
      <c r="K47" s="817"/>
      <c r="L47" s="817"/>
      <c r="M47" s="817"/>
      <c r="N47" s="817"/>
      <c r="O47" s="817"/>
      <c r="P47" s="817"/>
      <c r="Q47" s="817"/>
      <c r="R47" s="817"/>
      <c r="S47" s="817"/>
      <c r="T47" s="817"/>
      <c r="U47" s="818"/>
    </row>
    <row r="48" spans="2:21">
      <c r="B48" s="739"/>
      <c r="C48" s="740"/>
      <c r="D48" s="724"/>
      <c r="E48" s="724"/>
      <c r="F48" s="724"/>
      <c r="G48" s="724"/>
      <c r="H48" s="724"/>
      <c r="I48" s="724"/>
      <c r="J48" s="724"/>
      <c r="K48" s="724"/>
      <c r="L48" s="724"/>
      <c r="M48" s="724"/>
      <c r="N48" s="724"/>
      <c r="O48" s="724"/>
      <c r="P48" s="724"/>
      <c r="Q48" s="724"/>
      <c r="R48" s="724"/>
      <c r="S48" s="724"/>
      <c r="T48" s="724"/>
      <c r="U48" s="725"/>
    </row>
    <row r="49" spans="2:21" ht="40.5" customHeight="1">
      <c r="B49" s="739"/>
      <c r="C49" s="817" t="s">
        <v>668</v>
      </c>
      <c r="D49" s="817"/>
      <c r="E49" s="817"/>
      <c r="F49" s="817"/>
      <c r="G49" s="817"/>
      <c r="H49" s="817"/>
      <c r="I49" s="817"/>
      <c r="J49" s="817"/>
      <c r="K49" s="817"/>
      <c r="L49" s="817"/>
      <c r="M49" s="817"/>
      <c r="N49" s="817"/>
      <c r="O49" s="817"/>
      <c r="P49" s="817"/>
      <c r="Q49" s="817"/>
      <c r="R49" s="817"/>
      <c r="S49" s="817"/>
      <c r="T49" s="817"/>
      <c r="U49" s="818"/>
    </row>
    <row r="50" spans="2:21">
      <c r="B50" s="739"/>
      <c r="C50" s="740"/>
      <c r="D50" s="724"/>
      <c r="E50" s="724"/>
      <c r="F50" s="724"/>
      <c r="G50" s="724"/>
      <c r="H50" s="724"/>
      <c r="I50" s="724"/>
      <c r="J50" s="724"/>
      <c r="K50" s="724"/>
      <c r="L50" s="724"/>
      <c r="M50" s="724"/>
      <c r="N50" s="724"/>
      <c r="O50" s="724"/>
      <c r="P50" s="724"/>
      <c r="Q50" s="724"/>
      <c r="R50" s="724"/>
      <c r="S50" s="724"/>
      <c r="T50" s="724"/>
      <c r="U50" s="725"/>
    </row>
    <row r="51" spans="2:21" ht="30" customHeight="1">
      <c r="B51" s="739"/>
      <c r="C51" s="817" t="s">
        <v>669</v>
      </c>
      <c r="D51" s="817"/>
      <c r="E51" s="817"/>
      <c r="F51" s="817"/>
      <c r="G51" s="817"/>
      <c r="H51" s="817"/>
      <c r="I51" s="817"/>
      <c r="J51" s="817"/>
      <c r="K51" s="817"/>
      <c r="L51" s="817"/>
      <c r="M51" s="817"/>
      <c r="N51" s="817"/>
      <c r="O51" s="817"/>
      <c r="P51" s="817"/>
      <c r="Q51" s="817"/>
      <c r="R51" s="817"/>
      <c r="S51" s="817"/>
      <c r="T51" s="817"/>
      <c r="U51" s="818"/>
    </row>
    <row r="52" spans="2:21" ht="15.75">
      <c r="B52" s="739"/>
      <c r="C52" s="723"/>
      <c r="D52" s="724"/>
      <c r="E52" s="724"/>
      <c r="F52" s="724"/>
      <c r="G52" s="724"/>
      <c r="H52" s="724"/>
      <c r="I52" s="724"/>
      <c r="J52" s="724"/>
      <c r="K52" s="724"/>
      <c r="L52" s="724"/>
      <c r="M52" s="724"/>
      <c r="N52" s="724"/>
      <c r="O52" s="724"/>
      <c r="P52" s="724"/>
      <c r="Q52" s="724"/>
      <c r="R52" s="724"/>
      <c r="S52" s="724"/>
      <c r="T52" s="724"/>
      <c r="U52" s="725"/>
    </row>
    <row r="53" spans="2:21" ht="31.5" customHeight="1">
      <c r="B53" s="739"/>
      <c r="C53" s="819" t="s">
        <v>671</v>
      </c>
      <c r="D53" s="819"/>
      <c r="E53" s="819"/>
      <c r="F53" s="819"/>
      <c r="G53" s="819"/>
      <c r="H53" s="819"/>
      <c r="I53" s="819"/>
      <c r="J53" s="819"/>
      <c r="K53" s="819"/>
      <c r="L53" s="819"/>
      <c r="M53" s="819"/>
      <c r="N53" s="819"/>
      <c r="O53" s="819"/>
      <c r="P53" s="819"/>
      <c r="Q53" s="819"/>
      <c r="R53" s="819"/>
      <c r="S53" s="819"/>
      <c r="T53" s="819"/>
      <c r="U53" s="820"/>
    </row>
    <row r="54" spans="2:21">
      <c r="B54" s="736"/>
      <c r="C54" s="728"/>
      <c r="D54" s="728"/>
      <c r="E54" s="728"/>
      <c r="F54" s="728"/>
      <c r="G54" s="728"/>
      <c r="H54" s="728"/>
      <c r="I54" s="728"/>
      <c r="J54" s="728"/>
      <c r="K54" s="728"/>
      <c r="L54" s="728"/>
      <c r="M54" s="728"/>
      <c r="N54" s="728"/>
      <c r="O54" s="728"/>
      <c r="P54" s="728"/>
      <c r="Q54" s="728"/>
      <c r="R54" s="728"/>
      <c r="S54" s="728"/>
      <c r="T54" s="728"/>
      <c r="U54" s="729"/>
    </row>
    <row r="55" spans="2:21" ht="48" customHeight="1">
      <c r="B55" s="721" t="s">
        <v>672</v>
      </c>
      <c r="C55" s="821" t="s">
        <v>673</v>
      </c>
      <c r="D55" s="821"/>
      <c r="E55" s="821"/>
      <c r="F55" s="821"/>
      <c r="G55" s="821"/>
      <c r="H55" s="821"/>
      <c r="I55" s="821"/>
      <c r="J55" s="821"/>
      <c r="K55" s="821"/>
      <c r="L55" s="821"/>
      <c r="M55" s="821"/>
      <c r="N55" s="821"/>
      <c r="O55" s="821"/>
      <c r="P55" s="821"/>
      <c r="Q55" s="821"/>
      <c r="R55" s="821"/>
      <c r="S55" s="821"/>
      <c r="T55" s="821"/>
      <c r="U55" s="822"/>
    </row>
    <row r="56" spans="2:21">
      <c r="B56" s="736"/>
      <c r="C56" s="728"/>
      <c r="D56" s="728"/>
      <c r="E56" s="728"/>
      <c r="F56" s="728"/>
      <c r="G56" s="728"/>
      <c r="H56" s="728"/>
      <c r="I56" s="728"/>
      <c r="J56" s="728"/>
      <c r="K56" s="728"/>
      <c r="L56" s="728"/>
      <c r="M56" s="728"/>
      <c r="N56" s="728"/>
      <c r="O56" s="728"/>
      <c r="P56" s="728"/>
      <c r="Q56" s="728"/>
      <c r="R56" s="728"/>
      <c r="S56" s="728"/>
      <c r="T56" s="728"/>
      <c r="U56" s="729"/>
    </row>
    <row r="57" spans="2:21" ht="34.5" customHeight="1">
      <c r="B57" s="721" t="s">
        <v>674</v>
      </c>
      <c r="C57" s="821" t="s">
        <v>675</v>
      </c>
      <c r="D57" s="821"/>
      <c r="E57" s="821"/>
      <c r="F57" s="821"/>
      <c r="G57" s="821"/>
      <c r="H57" s="821"/>
      <c r="I57" s="821"/>
      <c r="J57" s="821"/>
      <c r="K57" s="821"/>
      <c r="L57" s="821"/>
      <c r="M57" s="821"/>
      <c r="N57" s="821"/>
      <c r="O57" s="821"/>
      <c r="P57" s="821"/>
      <c r="Q57" s="821"/>
      <c r="R57" s="821"/>
      <c r="S57" s="821"/>
      <c r="T57" s="821"/>
      <c r="U57" s="822"/>
    </row>
    <row r="58" spans="2:21">
      <c r="B58" s="741"/>
      <c r="C58" s="728"/>
      <c r="D58" s="728"/>
      <c r="E58" s="728"/>
      <c r="F58" s="728"/>
      <c r="G58" s="728"/>
      <c r="H58" s="728"/>
      <c r="I58" s="728"/>
      <c r="J58" s="728"/>
      <c r="K58" s="728"/>
      <c r="L58" s="728"/>
      <c r="M58" s="728"/>
      <c r="N58" s="728"/>
      <c r="O58" s="728"/>
      <c r="P58" s="728"/>
      <c r="Q58" s="728"/>
      <c r="R58" s="728"/>
      <c r="S58" s="728"/>
      <c r="T58" s="728"/>
      <c r="U58" s="729"/>
    </row>
    <row r="59" spans="2:21" ht="30.75" customHeight="1">
      <c r="B59" s="730" t="s">
        <v>676</v>
      </c>
      <c r="C59" s="742" t="s">
        <v>677</v>
      </c>
      <c r="D59" s="743"/>
      <c r="E59" s="743"/>
      <c r="F59" s="743"/>
      <c r="G59" s="743"/>
      <c r="H59" s="743"/>
      <c r="I59" s="743"/>
      <c r="J59" s="743"/>
      <c r="K59" s="743"/>
      <c r="L59" s="743"/>
      <c r="M59" s="743"/>
      <c r="N59" s="743"/>
      <c r="O59" s="743"/>
      <c r="P59" s="743"/>
      <c r="Q59" s="743"/>
      <c r="R59" s="743"/>
      <c r="S59" s="743"/>
      <c r="T59" s="743"/>
      <c r="U59" s="74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49"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22" zoomScale="90" zoomScaleNormal="90" workbookViewId="0">
      <selection activeCell="B13" sqref="B13:B15"/>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2" t="s">
        <v>569</v>
      </c>
      <c r="C3" s="833"/>
      <c r="D3" s="833"/>
      <c r="E3" s="833"/>
      <c r="F3" s="834"/>
      <c r="G3" s="124"/>
    </row>
    <row r="4" spans="2:20" ht="16.5" customHeight="1">
      <c r="B4" s="835"/>
      <c r="C4" s="836"/>
      <c r="D4" s="836"/>
      <c r="E4" s="836"/>
      <c r="F4" s="837"/>
      <c r="G4" s="124"/>
    </row>
    <row r="5" spans="2:20" ht="71.25" customHeight="1">
      <c r="B5" s="835"/>
      <c r="C5" s="836"/>
      <c r="D5" s="836"/>
      <c r="E5" s="836"/>
      <c r="F5" s="837"/>
      <c r="G5" s="124"/>
    </row>
    <row r="6" spans="2:20" ht="21.75" customHeight="1">
      <c r="B6" s="838"/>
      <c r="C6" s="839"/>
      <c r="D6" s="839"/>
      <c r="E6" s="839"/>
      <c r="F6" s="840"/>
      <c r="G6" s="124"/>
    </row>
    <row r="8" spans="2:20" ht="21">
      <c r="B8" s="831" t="s">
        <v>484</v>
      </c>
      <c r="C8" s="831"/>
      <c r="D8" s="831"/>
      <c r="E8" s="831"/>
      <c r="F8" s="831"/>
      <c r="G8" s="831"/>
    </row>
    <row r="9" spans="2:20" ht="24.75" customHeight="1" thickBot="1">
      <c r="B9" s="116"/>
      <c r="C9" s="116"/>
      <c r="D9" s="116"/>
      <c r="E9" s="116"/>
      <c r="F9" s="116"/>
      <c r="G9" s="121"/>
    </row>
    <row r="10" spans="2:20" ht="27.75" customHeight="1" thickBot="1">
      <c r="B10" s="119" t="s">
        <v>172</v>
      </c>
      <c r="C10" s="104" t="s">
        <v>409</v>
      </c>
      <c r="D10" s="116"/>
      <c r="E10" s="116"/>
      <c r="F10" s="116"/>
      <c r="G10" s="121"/>
    </row>
    <row r="11" spans="2:20">
      <c r="B11" s="116"/>
      <c r="C11" s="116"/>
      <c r="D11" s="116"/>
      <c r="E11" s="116"/>
      <c r="F11" s="116"/>
      <c r="G11" s="121"/>
    </row>
    <row r="12" spans="2:20" s="9" customFormat="1" ht="31.5" customHeight="1" thickBot="1">
      <c r="B12" s="85" t="s">
        <v>596</v>
      </c>
      <c r="G12" s="28"/>
      <c r="L12" s="33"/>
      <c r="M12" s="33"/>
      <c r="N12" s="33"/>
      <c r="O12" s="33"/>
      <c r="P12" s="33"/>
      <c r="Q12" s="70"/>
      <c r="S12" s="8"/>
      <c r="T12" s="8"/>
    </row>
    <row r="13" spans="2:20" s="9" customFormat="1" ht="26.25" customHeight="1" thickBot="1">
      <c r="B13" s="104"/>
      <c r="C13" s="126" t="s">
        <v>637</v>
      </c>
      <c r="G13" s="111"/>
      <c r="L13" s="33"/>
      <c r="M13" s="33"/>
      <c r="N13" s="33"/>
      <c r="O13" s="33"/>
      <c r="P13" s="33"/>
      <c r="Q13" s="70"/>
      <c r="S13" s="8"/>
      <c r="T13" s="8"/>
    </row>
    <row r="14" spans="2:20" s="9" customFormat="1" ht="26.25" customHeight="1" thickBot="1">
      <c r="B14" s="104"/>
      <c r="C14" s="174" t="s">
        <v>632</v>
      </c>
      <c r="G14" s="125"/>
      <c r="L14" s="33"/>
      <c r="M14" s="33"/>
      <c r="N14" s="33"/>
      <c r="O14" s="33"/>
      <c r="P14" s="33"/>
      <c r="Q14" s="70"/>
      <c r="S14" s="8"/>
      <c r="T14" s="8"/>
    </row>
    <row r="15" spans="2:20" s="9" customFormat="1" ht="26.25" customHeight="1" thickBot="1">
      <c r="B15" s="104"/>
      <c r="C15" s="174" t="s">
        <v>633</v>
      </c>
      <c r="G15" s="125"/>
      <c r="L15" s="33"/>
      <c r="M15" s="33"/>
      <c r="N15" s="33"/>
      <c r="O15" s="33"/>
      <c r="P15" s="33"/>
      <c r="Q15" s="70"/>
      <c r="S15" s="8"/>
      <c r="T15" s="8"/>
    </row>
    <row r="16" spans="2:20" s="9" customFormat="1" ht="26.25" customHeight="1" thickBot="1">
      <c r="B16" s="104"/>
      <c r="C16" s="174" t="s">
        <v>634</v>
      </c>
      <c r="G16" s="125"/>
      <c r="L16" s="33"/>
      <c r="M16" s="33"/>
      <c r="N16" s="33"/>
      <c r="O16" s="33"/>
      <c r="P16" s="33"/>
      <c r="Q16" s="70"/>
      <c r="S16" s="8"/>
      <c r="T16" s="8"/>
    </row>
    <row r="17" spans="2:20" s="9" customFormat="1" ht="26.25" customHeight="1" thickBot="1">
      <c r="B17" s="104"/>
      <c r="C17" s="126" t="s">
        <v>635</v>
      </c>
      <c r="G17" s="111"/>
      <c r="L17" s="33"/>
      <c r="M17" s="33"/>
      <c r="N17" s="33"/>
      <c r="O17" s="33"/>
      <c r="P17" s="33"/>
      <c r="Q17" s="70"/>
      <c r="S17" s="8"/>
      <c r="T17" s="8"/>
    </row>
    <row r="18" spans="2:20" s="9" customFormat="1" ht="26.25" customHeight="1" thickBot="1">
      <c r="B18" s="104"/>
      <c r="C18" s="126" t="s">
        <v>636</v>
      </c>
      <c r="G18" s="125"/>
      <c r="L18" s="33"/>
      <c r="M18" s="33"/>
      <c r="N18" s="33"/>
      <c r="O18" s="33"/>
      <c r="P18" s="33"/>
      <c r="Q18" s="70"/>
      <c r="S18" s="8"/>
      <c r="T18" s="8"/>
    </row>
    <row r="19" spans="2:20" s="9" customFormat="1" ht="26.25" customHeight="1" thickBot="1">
      <c r="B19" s="104"/>
      <c r="C19" s="126" t="s">
        <v>638</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544</v>
      </c>
      <c r="C21" s="245" t="s">
        <v>474</v>
      </c>
      <c r="D21" s="245" t="s">
        <v>450</v>
      </c>
      <c r="E21" s="245" t="s">
        <v>442</v>
      </c>
      <c r="F21" s="245" t="s">
        <v>557</v>
      </c>
      <c r="G21" s="40"/>
      <c r="M21" s="25"/>
      <c r="T21" s="25"/>
    </row>
    <row r="22" spans="2:20" s="105" customFormat="1" ht="36" customHeight="1">
      <c r="B22" s="647" t="s">
        <v>547</v>
      </c>
      <c r="C22" s="653" t="s">
        <v>440</v>
      </c>
      <c r="D22" s="656" t="s">
        <v>446</v>
      </c>
      <c r="E22" s="660" t="s">
        <v>595</v>
      </c>
      <c r="F22" s="656" t="s">
        <v>451</v>
      </c>
      <c r="G22" s="176"/>
      <c r="M22" s="645"/>
      <c r="T22" s="645"/>
    </row>
    <row r="23" spans="2:20" s="105" customFormat="1" ht="35.25" customHeight="1">
      <c r="B23" s="648" t="s">
        <v>461</v>
      </c>
      <c r="C23" s="654" t="s">
        <v>441</v>
      </c>
      <c r="D23" s="657" t="s">
        <v>447</v>
      </c>
      <c r="E23" s="661" t="s">
        <v>595</v>
      </c>
      <c r="F23" s="657" t="s">
        <v>451</v>
      </c>
      <c r="G23" s="176"/>
      <c r="M23" s="645"/>
      <c r="T23" s="645"/>
    </row>
    <row r="24" spans="2:20" s="105" customFormat="1" ht="34.5" customHeight="1">
      <c r="B24" s="648" t="s">
        <v>458</v>
      </c>
      <c r="C24" s="654" t="s">
        <v>441</v>
      </c>
      <c r="D24" s="657" t="s">
        <v>448</v>
      </c>
      <c r="E24" s="661" t="s">
        <v>595</v>
      </c>
      <c r="F24" s="657" t="s">
        <v>451</v>
      </c>
      <c r="G24" s="176"/>
      <c r="M24" s="645"/>
      <c r="T24" s="645"/>
    </row>
    <row r="25" spans="2:20" s="105" customFormat="1" ht="32.25" customHeight="1">
      <c r="B25" s="649" t="s">
        <v>459</v>
      </c>
      <c r="C25" s="654" t="s">
        <v>440</v>
      </c>
      <c r="D25" s="657" t="s">
        <v>449</v>
      </c>
      <c r="E25" s="662" t="s">
        <v>614</v>
      </c>
      <c r="F25" s="665"/>
      <c r="G25" s="176"/>
      <c r="M25" s="645"/>
      <c r="T25" s="645"/>
    </row>
    <row r="26" spans="2:20" s="105" customFormat="1" ht="30.75" customHeight="1">
      <c r="B26" s="650" t="s">
        <v>545</v>
      </c>
      <c r="C26" s="654" t="s">
        <v>440</v>
      </c>
      <c r="D26" s="657"/>
      <c r="E26" s="662"/>
      <c r="F26" s="665"/>
      <c r="G26" s="176"/>
      <c r="M26" s="645"/>
      <c r="T26" s="645"/>
    </row>
    <row r="27" spans="2:20" s="105" customFormat="1" ht="32.25" customHeight="1">
      <c r="B27" s="651" t="s">
        <v>546</v>
      </c>
      <c r="C27" s="654" t="s">
        <v>440</v>
      </c>
      <c r="D27" s="658" t="s">
        <v>542</v>
      </c>
      <c r="E27" s="662"/>
      <c r="F27" s="665"/>
      <c r="G27" s="176"/>
      <c r="M27" s="645"/>
      <c r="T27" s="645"/>
    </row>
    <row r="28" spans="2:20" s="105" customFormat="1" ht="27" customHeight="1">
      <c r="B28" s="649" t="s">
        <v>460</v>
      </c>
      <c r="C28" s="654" t="s">
        <v>443</v>
      </c>
      <c r="D28" s="657" t="s">
        <v>485</v>
      </c>
      <c r="E28" s="662" t="s">
        <v>462</v>
      </c>
      <c r="F28" s="665"/>
      <c r="G28" s="176"/>
      <c r="M28" s="645"/>
      <c r="T28" s="645"/>
    </row>
    <row r="29" spans="2:20" s="105" customFormat="1" ht="27" customHeight="1">
      <c r="B29" s="651" t="s">
        <v>455</v>
      </c>
      <c r="C29" s="654" t="s">
        <v>440</v>
      </c>
      <c r="D29" s="657"/>
      <c r="E29" s="662"/>
      <c r="F29" s="657" t="s">
        <v>410</v>
      </c>
      <c r="G29" s="176"/>
      <c r="M29" s="645"/>
      <c r="T29" s="645"/>
    </row>
    <row r="30" spans="2:20" s="105" customFormat="1" ht="32.25" customHeight="1">
      <c r="B30" s="649" t="s">
        <v>208</v>
      </c>
      <c r="C30" s="654" t="s">
        <v>445</v>
      </c>
      <c r="D30" s="657" t="s">
        <v>559</v>
      </c>
      <c r="E30" s="663"/>
      <c r="F30" s="657" t="s">
        <v>558</v>
      </c>
      <c r="G30" s="646"/>
      <c r="M30" s="645"/>
    </row>
    <row r="31" spans="2:20" s="105" customFormat="1" ht="27.75" customHeight="1">
      <c r="B31" s="652" t="s">
        <v>543</v>
      </c>
      <c r="C31" s="655" t="s">
        <v>444</v>
      </c>
      <c r="D31" s="659"/>
      <c r="E31" s="664"/>
      <c r="F31" s="659"/>
      <c r="G31" s="646"/>
      <c r="M31" s="645"/>
    </row>
    <row r="32" spans="2:20" s="105" customFormat="1" ht="23.25" customHeight="1">
      <c r="C32" s="177"/>
      <c r="D32" s="177"/>
      <c r="E32" s="177"/>
      <c r="G32" s="646"/>
      <c r="M32" s="645"/>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413</v>
      </c>
      <c r="B1" s="8" t="s">
        <v>41</v>
      </c>
      <c r="C1" s="122" t="s">
        <v>235</v>
      </c>
      <c r="D1" s="8" t="s">
        <v>418</v>
      </c>
      <c r="E1" s="122" t="s">
        <v>453</v>
      </c>
      <c r="F1" s="122" t="s">
        <v>553</v>
      </c>
      <c r="G1" s="122" t="s">
        <v>578</v>
      </c>
      <c r="H1" s="122" t="s">
        <v>589</v>
      </c>
    </row>
    <row r="2" spans="1:8">
      <c r="A2" s="12" t="s">
        <v>29</v>
      </c>
      <c r="B2" s="12" t="s">
        <v>27</v>
      </c>
      <c r="C2" s="10">
        <v>2006</v>
      </c>
      <c r="D2" s="12" t="s">
        <v>419</v>
      </c>
      <c r="E2" s="10">
        <f>'2. LRAMVA Threshold'!D9</f>
        <v>2013</v>
      </c>
      <c r="F2" s="26" t="s">
        <v>171</v>
      </c>
      <c r="G2" s="12" t="s">
        <v>579</v>
      </c>
      <c r="H2" s="12" t="s">
        <v>597</v>
      </c>
    </row>
    <row r="3" spans="1:8">
      <c r="A3" s="12" t="s">
        <v>374</v>
      </c>
      <c r="B3" s="12" t="s">
        <v>27</v>
      </c>
      <c r="C3" s="10">
        <v>2007</v>
      </c>
      <c r="D3" s="12" t="s">
        <v>420</v>
      </c>
      <c r="E3" s="10">
        <f>'2. LRAMVA Threshold'!D24</f>
        <v>0</v>
      </c>
      <c r="F3" s="12" t="s">
        <v>554</v>
      </c>
      <c r="G3" s="12" t="s">
        <v>580</v>
      </c>
      <c r="H3" s="12" t="s">
        <v>590</v>
      </c>
    </row>
    <row r="4" spans="1:8">
      <c r="A4" s="12" t="s">
        <v>375</v>
      </c>
      <c r="B4" s="12" t="s">
        <v>28</v>
      </c>
      <c r="C4" s="10">
        <v>2008</v>
      </c>
      <c r="D4" s="12" t="s">
        <v>421</v>
      </c>
      <c r="F4" s="12" t="s">
        <v>170</v>
      </c>
      <c r="G4" s="12" t="s">
        <v>581</v>
      </c>
    </row>
    <row r="5" spans="1:8">
      <c r="A5" s="12" t="s">
        <v>376</v>
      </c>
      <c r="B5" s="12" t="s">
        <v>28</v>
      </c>
      <c r="C5" s="10">
        <v>2009</v>
      </c>
      <c r="F5" s="12" t="s">
        <v>371</v>
      </c>
      <c r="G5" s="12" t="s">
        <v>582</v>
      </c>
    </row>
    <row r="6" spans="1:8">
      <c r="A6" s="12" t="s">
        <v>377</v>
      </c>
      <c r="B6" s="12" t="s">
        <v>28</v>
      </c>
      <c r="C6" s="10">
        <v>2010</v>
      </c>
      <c r="F6" s="12" t="s">
        <v>372</v>
      </c>
      <c r="G6" s="12" t="s">
        <v>583</v>
      </c>
    </row>
    <row r="7" spans="1:8">
      <c r="A7" s="12" t="s">
        <v>378</v>
      </c>
      <c r="B7" s="12" t="s">
        <v>28</v>
      </c>
      <c r="C7" s="10">
        <v>2011</v>
      </c>
      <c r="F7" s="12" t="s">
        <v>373</v>
      </c>
      <c r="G7" s="12" t="s">
        <v>584</v>
      </c>
    </row>
    <row r="8" spans="1:8">
      <c r="A8" s="12" t="s">
        <v>379</v>
      </c>
      <c r="B8" s="12" t="s">
        <v>28</v>
      </c>
      <c r="C8" s="10">
        <v>2012</v>
      </c>
      <c r="F8" s="12" t="s">
        <v>562</v>
      </c>
      <c r="G8" s="12" t="s">
        <v>585</v>
      </c>
    </row>
    <row r="9" spans="1:8">
      <c r="A9" s="12" t="s">
        <v>380</v>
      </c>
      <c r="B9" s="12" t="s">
        <v>28</v>
      </c>
      <c r="C9" s="10">
        <v>2013</v>
      </c>
      <c r="G9" s="12" t="s">
        <v>586</v>
      </c>
    </row>
    <row r="10" spans="1:8">
      <c r="A10" s="12" t="s">
        <v>381</v>
      </c>
      <c r="B10" s="12" t="s">
        <v>28</v>
      </c>
      <c r="C10" s="10">
        <v>2014</v>
      </c>
      <c r="G10" s="12" t="s">
        <v>587</v>
      </c>
    </row>
    <row r="11" spans="1:8">
      <c r="A11" s="12" t="s">
        <v>382</v>
      </c>
      <c r="B11" s="12" t="s">
        <v>28</v>
      </c>
      <c r="C11" s="10">
        <v>2015</v>
      </c>
      <c r="G11" s="12" t="s">
        <v>588</v>
      </c>
    </row>
    <row r="12" spans="1:8">
      <c r="A12" s="12" t="s">
        <v>383</v>
      </c>
      <c r="B12" s="12" t="s">
        <v>28</v>
      </c>
      <c r="C12" s="10">
        <v>2016</v>
      </c>
    </row>
    <row r="13" spans="1:8">
      <c r="A13" s="12" t="s">
        <v>384</v>
      </c>
      <c r="B13" s="12" t="s">
        <v>28</v>
      </c>
      <c r="C13" s="10">
        <v>2017</v>
      </c>
    </row>
    <row r="14" spans="1:8">
      <c r="A14" s="12" t="s">
        <v>385</v>
      </c>
      <c r="B14" s="12" t="s">
        <v>28</v>
      </c>
      <c r="C14" s="10">
        <v>2018</v>
      </c>
    </row>
    <row r="15" spans="1:8">
      <c r="A15" s="12" t="s">
        <v>386</v>
      </c>
      <c r="B15" s="12" t="s">
        <v>28</v>
      </c>
      <c r="C15" s="10">
        <v>2019</v>
      </c>
    </row>
    <row r="16" spans="1:8">
      <c r="A16" s="12" t="s">
        <v>387</v>
      </c>
      <c r="B16" s="12" t="s">
        <v>28</v>
      </c>
      <c r="C16" s="10">
        <v>2020</v>
      </c>
    </row>
    <row r="17" spans="1:2">
      <c r="A17" s="12" t="s">
        <v>388</v>
      </c>
      <c r="B17" s="12" t="s">
        <v>28</v>
      </c>
    </row>
    <row r="18" spans="1:2">
      <c r="A18" s="12" t="s">
        <v>389</v>
      </c>
      <c r="B18" s="12" t="s">
        <v>28</v>
      </c>
    </row>
    <row r="19" spans="1:2">
      <c r="A19" s="12" t="s">
        <v>390</v>
      </c>
      <c r="B19" s="12" t="s">
        <v>28</v>
      </c>
    </row>
    <row r="20" spans="1:2">
      <c r="A20" s="12" t="s">
        <v>391</v>
      </c>
      <c r="B20" s="12" t="s">
        <v>28</v>
      </c>
    </row>
    <row r="21" spans="1:2">
      <c r="A21" s="12" t="s">
        <v>392</v>
      </c>
      <c r="B21" s="12" t="s">
        <v>28</v>
      </c>
    </row>
    <row r="22" spans="1:2">
      <c r="A22" s="12" t="s">
        <v>393</v>
      </c>
      <c r="B22" s="12" t="s">
        <v>28</v>
      </c>
    </row>
    <row r="23" spans="1:2">
      <c r="A23" s="12" t="s">
        <v>394</v>
      </c>
      <c r="B23" s="12" t="s">
        <v>28</v>
      </c>
    </row>
    <row r="24" spans="1:2">
      <c r="A24" s="12" t="s">
        <v>395</v>
      </c>
      <c r="B24" s="12" t="s">
        <v>28</v>
      </c>
    </row>
    <row r="25" spans="1:2">
      <c r="A25" s="12" t="s">
        <v>396</v>
      </c>
      <c r="B25" s="12" t="s">
        <v>28</v>
      </c>
    </row>
    <row r="26" spans="1:2">
      <c r="A26" s="12" t="s">
        <v>32</v>
      </c>
      <c r="B26" s="12" t="s">
        <v>27</v>
      </c>
    </row>
    <row r="27" spans="1:2">
      <c r="A27" s="12" t="s">
        <v>397</v>
      </c>
      <c r="B27" s="12" t="s">
        <v>28</v>
      </c>
    </row>
    <row r="28" spans="1:2">
      <c r="A28" s="12" t="s">
        <v>398</v>
      </c>
      <c r="B28" s="12" t="s">
        <v>28</v>
      </c>
    </row>
    <row r="29" spans="1:2">
      <c r="A29" s="12" t="s">
        <v>399</v>
      </c>
      <c r="B29" s="12" t="s">
        <v>28</v>
      </c>
    </row>
    <row r="30" spans="1:2">
      <c r="A30" s="12" t="s">
        <v>30</v>
      </c>
      <c r="B30" s="12" t="s">
        <v>28</v>
      </c>
    </row>
    <row r="31" spans="1:2">
      <c r="A31" s="12" t="s">
        <v>400</v>
      </c>
      <c r="B31" s="12" t="s">
        <v>28</v>
      </c>
    </row>
    <row r="32" spans="1:2">
      <c r="A32" s="12" t="s">
        <v>401</v>
      </c>
      <c r="B32" s="12" t="s">
        <v>28</v>
      </c>
    </row>
    <row r="33" spans="1:2">
      <c r="A33" s="12" t="s">
        <v>402</v>
      </c>
      <c r="B33" s="12" t="s">
        <v>28</v>
      </c>
    </row>
    <row r="34" spans="1:2">
      <c r="A34" s="12" t="s">
        <v>403</v>
      </c>
      <c r="B34" s="12" t="s">
        <v>28</v>
      </c>
    </row>
    <row r="35" spans="1:2">
      <c r="A35" s="12" t="s">
        <v>404</v>
      </c>
      <c r="B35" s="12" t="s">
        <v>28</v>
      </c>
    </row>
    <row r="36" spans="1:2">
      <c r="A36" s="12" t="s">
        <v>405</v>
      </c>
      <c r="B36" s="12" t="s">
        <v>28</v>
      </c>
    </row>
    <row r="37" spans="1:2">
      <c r="A37" s="12" t="s">
        <v>406</v>
      </c>
      <c r="B37" s="12" t="s">
        <v>28</v>
      </c>
    </row>
    <row r="38" spans="1:2">
      <c r="A38" s="12" t="s">
        <v>407</v>
      </c>
      <c r="B38" s="12" t="s">
        <v>28</v>
      </c>
    </row>
    <row r="39" spans="1:2">
      <c r="A39" s="12" t="s">
        <v>408</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8"/>
  <sheetViews>
    <sheetView topLeftCell="A49" workbookViewId="0">
      <selection activeCell="B50" sqref="B50:H87"/>
    </sheetView>
  </sheetViews>
  <sheetFormatPr defaultRowHeight="15.75"/>
  <cols>
    <col min="1" max="1" width="2.7109375" style="27" customWidth="1"/>
    <col min="2" max="2" width="17.85546875" style="27" customWidth="1"/>
    <col min="3" max="3" width="15.140625" style="27" customWidth="1"/>
    <col min="4" max="4" width="15.140625" style="92" customWidth="1"/>
    <col min="5" max="6" width="15.140625" style="27" customWidth="1"/>
    <col min="7" max="7" width="16.140625" style="27" customWidth="1"/>
    <col min="8" max="8" width="17.85546875" style="27" customWidth="1"/>
    <col min="9" max="9" width="22" style="27" hidden="1" customWidth="1"/>
    <col min="10" max="10" width="19.7109375" style="27" hidden="1" customWidth="1"/>
    <col min="11" max="11" width="21.7109375" style="27" hidden="1" customWidth="1"/>
    <col min="12" max="12" width="24" style="27" hidden="1" customWidth="1"/>
    <col min="13" max="13" width="24.140625" style="27" hidden="1" customWidth="1"/>
    <col min="14" max="14" width="21.42578125" style="27" hidden="1" customWidth="1"/>
    <col min="15" max="15" width="22.140625" style="27" hidden="1" customWidth="1"/>
    <col min="16" max="16" width="16.42578125" style="27" hidden="1" customWidth="1"/>
    <col min="17" max="17" width="15.5703125" style="27" hidden="1" customWidth="1"/>
    <col min="18" max="18" width="17.140625" style="27" hidden="1" customWidth="1"/>
    <col min="19" max="19" width="13.7109375" style="91" hidden="1" customWidth="1"/>
    <col min="20" max="20" width="6.28515625" style="91" hidden="1" customWidth="1"/>
    <col min="21" max="21" width="13.5703125" style="27" hidden="1" customWidth="1"/>
    <col min="22" max="22" width="15.28515625" style="27" hidden="1" customWidth="1"/>
    <col min="23" max="24" width="0" style="27" hidden="1" customWidth="1"/>
    <col min="25" max="26" width="12" style="27" hidden="1" customWidth="1"/>
    <col min="27" max="27" width="12.7109375" style="27" hidden="1" customWidth="1"/>
    <col min="28" max="28" width="12.28515625" style="27" hidden="1" customWidth="1"/>
    <col min="29" max="29" width="19.7109375" style="27" hidden="1" customWidth="1"/>
    <col min="30" max="16384" width="9.140625" style="27"/>
  </cols>
  <sheetData>
    <row r="1" spans="2:21" ht="144" hidden="1" customHeight="1"/>
    <row r="2" spans="2:21" ht="49.5" hidden="1" customHeight="1">
      <c r="D2" s="27"/>
      <c r="E2" s="92"/>
      <c r="G2" s="63"/>
      <c r="H2" s="769"/>
      <c r="J2" s="770"/>
      <c r="K2" s="770"/>
      <c r="S2" s="27"/>
      <c r="U2" s="91"/>
    </row>
    <row r="3" spans="2:21" ht="16.5" hidden="1" customHeight="1" thickBot="1">
      <c r="D3" s="27"/>
      <c r="E3" s="92"/>
      <c r="G3" s="63"/>
      <c r="H3" s="769"/>
      <c r="J3" s="770"/>
      <c r="K3" s="770"/>
      <c r="S3" s="27"/>
      <c r="U3" s="91"/>
    </row>
    <row r="4" spans="2:21" ht="24.75" hidden="1" customHeight="1" thickBot="1">
      <c r="B4" s="537" t="s">
        <v>172</v>
      </c>
      <c r="D4" s="27"/>
      <c r="S4" s="27"/>
      <c r="U4" s="91"/>
    </row>
    <row r="5" spans="2:21" ht="26.25" hidden="1" customHeight="1" thickBot="1">
      <c r="D5" s="27"/>
      <c r="S5" s="27"/>
      <c r="U5" s="91"/>
    </row>
    <row r="6" spans="2:21" ht="27" hidden="1" customHeight="1" thickBot="1">
      <c r="B6" s="537"/>
      <c r="C6" s="92"/>
      <c r="D6" s="27"/>
      <c r="S6" s="27"/>
      <c r="U6" s="91"/>
    </row>
    <row r="7" spans="2:21" ht="21" hidden="1" customHeight="1">
      <c r="B7" s="537"/>
      <c r="C7" s="92"/>
      <c r="D7" s="27"/>
      <c r="S7" s="27"/>
      <c r="U7" s="91"/>
    </row>
    <row r="8" spans="2:21" ht="24.75" hidden="1" customHeight="1">
      <c r="B8" s="750" t="s">
        <v>240</v>
      </c>
      <c r="C8" s="771"/>
      <c r="D8" s="27"/>
      <c r="S8" s="27"/>
      <c r="U8" s="91"/>
    </row>
    <row r="9" spans="2:21" ht="41.25" hidden="1" customHeight="1">
      <c r="B9" s="551" t="s">
        <v>524</v>
      </c>
      <c r="C9" s="545"/>
      <c r="D9" s="545"/>
      <c r="E9" s="545"/>
      <c r="F9" s="545"/>
      <c r="G9" s="545"/>
      <c r="H9" s="545"/>
      <c r="I9" s="546"/>
      <c r="J9" s="546"/>
      <c r="K9" s="546"/>
      <c r="L9" s="29"/>
      <c r="S9" s="27"/>
      <c r="U9" s="91"/>
    </row>
    <row r="10" spans="2:21" ht="10.5" hidden="1" customHeight="1">
      <c r="B10" s="551"/>
      <c r="C10" s="545"/>
      <c r="D10" s="545"/>
      <c r="E10" s="545"/>
      <c r="F10" s="545"/>
      <c r="G10" s="545"/>
      <c r="H10" s="545"/>
      <c r="I10" s="546"/>
      <c r="J10" s="546"/>
      <c r="K10" s="546"/>
      <c r="L10" s="29"/>
      <c r="S10" s="27"/>
      <c r="U10" s="91"/>
    </row>
    <row r="11" spans="2:21" s="111" customFormat="1" ht="26.25" hidden="1" customHeight="1">
      <c r="B11" s="568" t="s">
        <v>560</v>
      </c>
      <c r="C11" s="772"/>
      <c r="D11" s="772"/>
      <c r="E11" s="772"/>
      <c r="F11" s="772"/>
      <c r="G11" s="772"/>
      <c r="S11" s="773"/>
      <c r="T11" s="773"/>
    </row>
    <row r="12" spans="2:21" s="769" customFormat="1" ht="18.75" hidden="1" customHeight="1">
      <c r="B12" s="544"/>
      <c r="S12" s="774"/>
      <c r="T12" s="774"/>
    </row>
    <row r="13" spans="2:21" s="769" customFormat="1" ht="22.5" hidden="1" customHeight="1" thickBot="1">
      <c r="B13" s="187" t="s">
        <v>512</v>
      </c>
      <c r="E13" s="187" t="s">
        <v>513</v>
      </c>
      <c r="F13" s="770"/>
      <c r="G13" s="775"/>
      <c r="H13" s="27"/>
      <c r="I13" s="186" t="s">
        <v>510</v>
      </c>
      <c r="M13" s="178"/>
      <c r="O13" s="27"/>
      <c r="P13" s="189"/>
      <c r="Q13" s="42"/>
      <c r="S13" s="774"/>
      <c r="T13" s="774"/>
    </row>
    <row r="14" spans="2:21" ht="29.25" hidden="1" customHeight="1" thickBot="1">
      <c r="B14" s="126" t="s">
        <v>551</v>
      </c>
      <c r="C14" s="542"/>
      <c r="D14" s="132"/>
      <c r="E14" s="126" t="s">
        <v>552</v>
      </c>
      <c r="G14" s="542" t="s">
        <v>694</v>
      </c>
      <c r="I14" s="126" t="s">
        <v>519</v>
      </c>
      <c r="K14" s="134"/>
      <c r="M14" s="178"/>
      <c r="P14" s="197"/>
      <c r="Q14" s="98"/>
    </row>
    <row r="15" spans="2:21" ht="26.25" hidden="1" customHeight="1" thickBot="1">
      <c r="B15" s="126" t="s">
        <v>427</v>
      </c>
      <c r="C15" s="542" t="s">
        <v>242</v>
      </c>
      <c r="E15" s="126" t="s">
        <v>417</v>
      </c>
      <c r="F15" s="129"/>
      <c r="G15" s="542" t="s">
        <v>685</v>
      </c>
      <c r="H15" s="92"/>
      <c r="I15" s="126" t="s">
        <v>520</v>
      </c>
      <c r="K15" s="134"/>
      <c r="L15" s="178"/>
      <c r="P15" s="197"/>
      <c r="Q15" s="98"/>
    </row>
    <row r="16" spans="2:21" ht="28.5" hidden="1" customHeight="1" thickBot="1">
      <c r="B16" s="126" t="s">
        <v>457</v>
      </c>
      <c r="C16" s="543" t="s">
        <v>508</v>
      </c>
      <c r="D16" s="178"/>
      <c r="E16" s="126" t="s">
        <v>437</v>
      </c>
      <c r="F16" s="127"/>
      <c r="G16" s="543" t="s">
        <v>182</v>
      </c>
      <c r="H16" s="178"/>
      <c r="J16" s="197"/>
      <c r="K16" s="197"/>
      <c r="L16" s="197"/>
      <c r="M16" s="197"/>
      <c r="P16" s="197"/>
      <c r="Q16" s="98"/>
    </row>
    <row r="17" spans="1:20" ht="29.25" hidden="1" customHeight="1" thickBot="1">
      <c r="B17" s="126" t="s">
        <v>424</v>
      </c>
      <c r="C17" s="134">
        <v>0</v>
      </c>
      <c r="D17" s="123"/>
      <c r="E17" s="126" t="s">
        <v>438</v>
      </c>
      <c r="F17" s="603" t="s">
        <v>365</v>
      </c>
      <c r="G17" s="244">
        <f>SUM(Q52,Q55,Q58,Q61,Q64,Q67)</f>
        <v>285377.5342373256</v>
      </c>
      <c r="H17" s="92"/>
      <c r="J17" s="197"/>
      <c r="K17" s="197"/>
      <c r="L17" s="197"/>
      <c r="M17" s="197"/>
      <c r="O17" s="197"/>
      <c r="P17" s="197"/>
      <c r="Q17" s="98"/>
    </row>
    <row r="18" spans="1:20" ht="27.75" hidden="1" customHeight="1" thickBot="1">
      <c r="D18" s="27"/>
      <c r="E18" s="126" t="s">
        <v>439</v>
      </c>
      <c r="F18" s="603" t="s">
        <v>366</v>
      </c>
      <c r="G18" s="133">
        <f>-SUM(Q53,Q56,Q59,Q62,Q65,Q68)</f>
        <v>135096.2452</v>
      </c>
      <c r="H18" s="92"/>
      <c r="I18" s="197"/>
      <c r="J18" s="197"/>
      <c r="K18" s="197"/>
      <c r="L18" s="197"/>
      <c r="M18" s="197"/>
      <c r="O18" s="197"/>
      <c r="P18" s="197"/>
      <c r="Q18" s="98"/>
    </row>
    <row r="19" spans="1:20" ht="27.75" hidden="1" customHeight="1" thickBot="1">
      <c r="D19" s="27"/>
      <c r="E19" s="126" t="s">
        <v>411</v>
      </c>
      <c r="F19" s="603" t="s">
        <v>367</v>
      </c>
      <c r="G19" s="190">
        <f>Q82</f>
        <v>757.66816556318304</v>
      </c>
      <c r="H19" s="92"/>
      <c r="I19" s="197"/>
      <c r="O19" s="197"/>
      <c r="P19" s="197"/>
      <c r="Q19" s="98"/>
    </row>
    <row r="20" spans="1:20" ht="27.75" hidden="1" customHeight="1">
      <c r="C20" s="769"/>
      <c r="D20" s="769"/>
      <c r="E20" s="126" t="s">
        <v>514</v>
      </c>
      <c r="F20" s="603" t="s">
        <v>452</v>
      </c>
      <c r="G20" s="190">
        <f>G17-G18+G19</f>
        <v>151038.95720288876</v>
      </c>
      <c r="H20" s="178"/>
      <c r="O20" s="197"/>
      <c r="P20" s="197"/>
      <c r="Q20" s="98"/>
    </row>
    <row r="21" spans="1:20" ht="22.5" hidden="1" customHeight="1">
      <c r="A21" s="776"/>
      <c r="D21" s="27"/>
    </row>
    <row r="22" spans="1:20" ht="13.5" hidden="1" customHeight="1">
      <c r="A22" s="776"/>
      <c r="B22" s="120" t="s">
        <v>422</v>
      </c>
      <c r="D22" s="27"/>
    </row>
    <row r="23" spans="1:20" ht="13.5" hidden="1" customHeight="1">
      <c r="A23" s="776"/>
      <c r="B23" s="120"/>
      <c r="D23" s="27"/>
    </row>
    <row r="24" spans="1:20" ht="138" hidden="1" customHeight="1">
      <c r="A24" s="776"/>
      <c r="B24" s="841" t="s">
        <v>641</v>
      </c>
      <c r="C24" s="841"/>
      <c r="D24" s="841"/>
      <c r="E24" s="841"/>
      <c r="F24" s="841"/>
    </row>
    <row r="25" spans="1:20" ht="14.25" hidden="1" customHeight="1">
      <c r="A25" s="776"/>
      <c r="B25" s="548"/>
      <c r="C25" s="538"/>
      <c r="D25" s="538"/>
      <c r="E25" s="538"/>
      <c r="F25" s="548"/>
    </row>
    <row r="26" spans="1:20" s="92" customFormat="1" ht="27" hidden="1" customHeight="1">
      <c r="B26" s="749" t="s">
        <v>511</v>
      </c>
      <c r="C26" s="135" t="s">
        <v>41</v>
      </c>
      <c r="D26" s="136" t="s">
        <v>571</v>
      </c>
      <c r="E26" s="136" t="s">
        <v>411</v>
      </c>
      <c r="F26" s="137" t="s">
        <v>412</v>
      </c>
      <c r="S26" s="199"/>
      <c r="T26" s="199"/>
    </row>
    <row r="27" spans="1:20" ht="20.25" hidden="1" customHeight="1">
      <c r="B27" s="747" t="s">
        <v>29</v>
      </c>
      <c r="C27" s="638" t="s">
        <v>27</v>
      </c>
      <c r="D27" s="140">
        <f>SUM(C52:C81)</f>
        <v>149484.53669277582</v>
      </c>
      <c r="E27" s="141">
        <f>C82</f>
        <v>182.18716932132187</v>
      </c>
      <c r="F27" s="140">
        <f>D27+E27</f>
        <v>149666.72386209713</v>
      </c>
    </row>
    <row r="28" spans="1:20" ht="20.25" hidden="1" customHeight="1">
      <c r="B28" s="747" t="s">
        <v>374</v>
      </c>
      <c r="C28" s="638" t="s">
        <v>27</v>
      </c>
      <c r="D28" s="142">
        <f>SUM(D52:D81)</f>
        <v>190120.80046457768</v>
      </c>
      <c r="E28" s="143">
        <f>D82</f>
        <v>325.94727677175337</v>
      </c>
      <c r="F28" s="142">
        <f>D28+E28</f>
        <v>190446.74774134945</v>
      </c>
    </row>
    <row r="29" spans="1:20" ht="20.25" hidden="1" customHeight="1">
      <c r="B29" s="747" t="s">
        <v>375</v>
      </c>
      <c r="C29" s="638" t="s">
        <v>28</v>
      </c>
      <c r="D29" s="142">
        <f>SUM(E52:E81)</f>
        <v>-44693.477903567444</v>
      </c>
      <c r="E29" s="143">
        <f>E82</f>
        <v>-114.12351077815033</v>
      </c>
      <c r="F29" s="142">
        <f t="shared" ref="F29:F30" si="0">D29+E29</f>
        <v>-44807.60141434559</v>
      </c>
    </row>
    <row r="30" spans="1:20" ht="20.25" hidden="1" customHeight="1">
      <c r="B30" s="747" t="s">
        <v>686</v>
      </c>
      <c r="C30" s="638" t="s">
        <v>28</v>
      </c>
      <c r="D30" s="142">
        <f>SUM(F52:F81)</f>
        <v>70748.190113052231</v>
      </c>
      <c r="E30" s="143">
        <f>F82</f>
        <v>-14.898193566666665</v>
      </c>
      <c r="F30" s="142">
        <f t="shared" si="0"/>
        <v>70733.291919485564</v>
      </c>
    </row>
    <row r="31" spans="1:20" ht="20.25" hidden="1" customHeight="1">
      <c r="B31" s="747" t="s">
        <v>32</v>
      </c>
      <c r="C31" s="638" t="s">
        <v>704</v>
      </c>
      <c r="D31" s="142">
        <f>SUM(G52:G81)</f>
        <v>-168.624</v>
      </c>
      <c r="E31" s="143">
        <f>G82</f>
        <v>-0.27865896666666667</v>
      </c>
      <c r="F31" s="142">
        <f>D31+E31</f>
        <v>-168.90265896666665</v>
      </c>
    </row>
    <row r="32" spans="1:20" ht="20.25" hidden="1" customHeight="1">
      <c r="B32" s="747"/>
      <c r="C32" s="638"/>
      <c r="D32" s="142">
        <f>SUM(H52:H81)</f>
        <v>365491.42536683817</v>
      </c>
      <c r="E32" s="143">
        <f>H82</f>
        <v>378.83408278159152</v>
      </c>
      <c r="F32" s="142">
        <f t="shared" ref="F32" si="1">D32+E32</f>
        <v>365870.25944961974</v>
      </c>
    </row>
    <row r="33" spans="2:21" ht="20.25" hidden="1" customHeight="1">
      <c r="B33" s="747"/>
      <c r="C33" s="638"/>
      <c r="D33" s="142">
        <f>SUM(I52:I81)</f>
        <v>0</v>
      </c>
      <c r="E33" s="143">
        <f>I82</f>
        <v>0</v>
      </c>
      <c r="F33" s="142">
        <f>D33+E33</f>
        <v>0</v>
      </c>
    </row>
    <row r="34" spans="2:21" ht="20.25" hidden="1" customHeight="1">
      <c r="B34" s="747"/>
      <c r="C34" s="638"/>
      <c r="D34" s="142">
        <f>SUM(J52:J81)</f>
        <v>0</v>
      </c>
      <c r="E34" s="143">
        <f>J82</f>
        <v>0</v>
      </c>
      <c r="F34" s="142">
        <f t="shared" ref="F34:F40" si="2">D34+E34</f>
        <v>0</v>
      </c>
    </row>
    <row r="35" spans="2:21" ht="20.25" hidden="1" customHeight="1">
      <c r="B35" s="747"/>
      <c r="C35" s="638"/>
      <c r="D35" s="142">
        <f>SUM(K52:K81)</f>
        <v>0</v>
      </c>
      <c r="E35" s="143">
        <f>K82</f>
        <v>0</v>
      </c>
      <c r="F35" s="142">
        <f t="shared" si="2"/>
        <v>0</v>
      </c>
    </row>
    <row r="36" spans="2:21" ht="20.25" hidden="1" customHeight="1">
      <c r="B36" s="747"/>
      <c r="C36" s="638"/>
      <c r="D36" s="142">
        <f>SUM(L52:L81)</f>
        <v>0</v>
      </c>
      <c r="E36" s="143">
        <f>L82</f>
        <v>0</v>
      </c>
      <c r="F36" s="142">
        <f t="shared" si="2"/>
        <v>0</v>
      </c>
    </row>
    <row r="37" spans="2:21" ht="20.25" hidden="1" customHeight="1">
      <c r="B37" s="747"/>
      <c r="C37" s="638"/>
      <c r="D37" s="142">
        <f>SUM(M52:M81)</f>
        <v>0</v>
      </c>
      <c r="E37" s="143">
        <f>M82</f>
        <v>0</v>
      </c>
      <c r="F37" s="142">
        <f t="shared" si="2"/>
        <v>0</v>
      </c>
    </row>
    <row r="38" spans="2:21" ht="20.25" hidden="1" customHeight="1">
      <c r="B38" s="747"/>
      <c r="C38" s="638"/>
      <c r="D38" s="142">
        <f>SUM(N52:N81)</f>
        <v>0</v>
      </c>
      <c r="E38" s="143">
        <f>N82</f>
        <v>0</v>
      </c>
      <c r="F38" s="142">
        <f t="shared" si="2"/>
        <v>0</v>
      </c>
    </row>
    <row r="39" spans="2:21" ht="20.25" hidden="1" customHeight="1">
      <c r="B39" s="747"/>
      <c r="C39" s="638"/>
      <c r="D39" s="142">
        <f>SUM(O52:O81)</f>
        <v>0</v>
      </c>
      <c r="E39" s="143">
        <f>O82</f>
        <v>0</v>
      </c>
      <c r="F39" s="142">
        <f t="shared" si="2"/>
        <v>0</v>
      </c>
    </row>
    <row r="40" spans="2:21" ht="20.25" hidden="1" customHeight="1">
      <c r="B40" s="747"/>
      <c r="C40" s="639"/>
      <c r="D40" s="144">
        <f>SUM(P52:P81)</f>
        <v>0</v>
      </c>
      <c r="E40" s="145">
        <f>P82</f>
        <v>0</v>
      </c>
      <c r="F40" s="144">
        <f t="shared" si="2"/>
        <v>0</v>
      </c>
    </row>
    <row r="41" spans="2:21" s="91" customFormat="1" ht="21" hidden="1" customHeight="1">
      <c r="B41" s="748" t="s">
        <v>26</v>
      </c>
      <c r="C41" s="777"/>
      <c r="D41" s="146">
        <f>SUM(D27:D40)</f>
        <v>730982.85073367646</v>
      </c>
      <c r="E41" s="146">
        <f>SUM(E27:E40)</f>
        <v>757.66816556318304</v>
      </c>
      <c r="F41" s="146">
        <f>SUM(F27:F40)</f>
        <v>731740.5188992396</v>
      </c>
      <c r="G41" s="778"/>
    </row>
    <row r="42" spans="2:21" ht="18" hidden="1" customHeight="1">
      <c r="C42" s="96"/>
      <c r="D42" s="27"/>
      <c r="E42" s="92"/>
    </row>
    <row r="43" spans="2:21" s="776" customFormat="1" ht="20.25" hidden="1">
      <c r="C43" s="770"/>
      <c r="D43" s="770"/>
      <c r="E43" s="770"/>
      <c r="F43" s="770"/>
      <c r="G43" s="770"/>
      <c r="H43" s="770"/>
      <c r="I43" s="770"/>
      <c r="J43" s="770"/>
      <c r="K43" s="770"/>
      <c r="L43" s="779"/>
      <c r="M43" s="770"/>
      <c r="N43" s="770"/>
      <c r="O43" s="770"/>
      <c r="P43" s="770"/>
      <c r="Q43" s="770"/>
      <c r="S43" s="780"/>
      <c r="T43" s="781"/>
      <c r="U43" s="782"/>
    </row>
    <row r="44" spans="2:21" ht="12" hidden="1" customHeight="1">
      <c r="B44" s="120" t="s">
        <v>463</v>
      </c>
      <c r="C44" s="775"/>
      <c r="D44" s="783"/>
      <c r="E44" s="775"/>
      <c r="F44" s="775"/>
      <c r="G44" s="775"/>
      <c r="H44" s="775"/>
      <c r="I44" s="775"/>
      <c r="J44" s="775"/>
      <c r="K44" s="775"/>
      <c r="L44" s="775"/>
      <c r="M44" s="775"/>
      <c r="N44" s="775"/>
      <c r="O44" s="775"/>
      <c r="P44" s="775"/>
      <c r="Q44" s="775"/>
      <c r="T44" s="781"/>
      <c r="U44" s="784"/>
    </row>
    <row r="45" spans="2:21" ht="12" hidden="1" customHeight="1">
      <c r="B45" s="120"/>
      <c r="C45" s="775"/>
      <c r="D45" s="775"/>
      <c r="E45" s="775"/>
      <c r="F45" s="775"/>
      <c r="G45" s="775"/>
      <c r="H45" s="775"/>
      <c r="I45" s="775"/>
      <c r="J45" s="775"/>
      <c r="K45" s="775"/>
      <c r="L45" s="775"/>
      <c r="M45" s="775"/>
      <c r="N45" s="775"/>
      <c r="O45" s="775"/>
      <c r="P45" s="775"/>
      <c r="Q45" s="775"/>
      <c r="T45" s="781"/>
      <c r="U45" s="784"/>
    </row>
    <row r="46" spans="2:21" s="776" customFormat="1" ht="41.25" hidden="1" customHeight="1">
      <c r="B46" s="841" t="s">
        <v>617</v>
      </c>
      <c r="C46" s="841"/>
      <c r="D46" s="841"/>
      <c r="E46" s="841"/>
      <c r="F46" s="841"/>
      <c r="G46" s="841"/>
      <c r="H46" s="841"/>
      <c r="I46" s="841"/>
      <c r="J46" s="841"/>
      <c r="K46" s="841"/>
      <c r="L46" s="617"/>
      <c r="M46" s="746"/>
      <c r="N46" s="746"/>
      <c r="O46" s="746"/>
      <c r="P46" s="746"/>
      <c r="Q46" s="746"/>
      <c r="S46" s="780"/>
      <c r="T46" s="781"/>
      <c r="U46" s="782"/>
    </row>
    <row r="47" spans="2:21" s="776" customFormat="1" ht="48" hidden="1" customHeight="1">
      <c r="B47" s="841" t="s">
        <v>570</v>
      </c>
      <c r="C47" s="841"/>
      <c r="D47" s="841"/>
      <c r="E47" s="841"/>
      <c r="F47" s="841"/>
      <c r="G47" s="841"/>
      <c r="H47" s="841"/>
      <c r="I47" s="841"/>
      <c r="J47" s="841"/>
      <c r="K47" s="841"/>
      <c r="L47" s="617"/>
      <c r="M47" s="746"/>
      <c r="N47" s="746"/>
      <c r="O47" s="746"/>
      <c r="P47" s="746"/>
      <c r="Q47" s="746"/>
      <c r="S47" s="780"/>
      <c r="T47" s="781"/>
      <c r="U47" s="782"/>
    </row>
    <row r="48" spans="2:21" s="776" customFormat="1" ht="26.25" hidden="1" customHeight="1">
      <c r="B48" s="841" t="s">
        <v>626</v>
      </c>
      <c r="C48" s="841"/>
      <c r="D48" s="841"/>
      <c r="E48" s="841"/>
      <c r="F48" s="841"/>
      <c r="G48" s="841"/>
      <c r="H48" s="841"/>
      <c r="I48" s="841"/>
      <c r="J48" s="841"/>
      <c r="K48" s="841"/>
      <c r="L48" s="617"/>
      <c r="M48" s="746"/>
      <c r="N48" s="746"/>
      <c r="O48" s="746"/>
      <c r="P48" s="746"/>
      <c r="Q48" s="746"/>
      <c r="S48" s="780"/>
      <c r="T48" s="781"/>
      <c r="U48" s="782"/>
    </row>
    <row r="49" spans="2:21" ht="15" customHeight="1">
      <c r="B49" s="613"/>
      <c r="C49" s="775"/>
      <c r="D49" s="775"/>
      <c r="E49" s="775"/>
      <c r="F49" s="775"/>
      <c r="G49" s="775"/>
      <c r="H49" s="775"/>
      <c r="I49" s="775"/>
      <c r="J49" s="775"/>
      <c r="K49" s="775"/>
      <c r="L49" s="775"/>
      <c r="M49" s="775"/>
      <c r="N49" s="775"/>
      <c r="O49" s="775"/>
      <c r="P49" s="775"/>
      <c r="Q49" s="775"/>
      <c r="T49" s="781"/>
      <c r="U49" s="784"/>
    </row>
    <row r="50" spans="2:21" s="92" customFormat="1" ht="40.5" customHeight="1">
      <c r="B50" s="810" t="s">
        <v>34</v>
      </c>
      <c r="C50" s="811" t="str">
        <f>IF($B27&lt;&gt;"",$B27,"")</f>
        <v>Residential</v>
      </c>
      <c r="D50" s="811" t="str">
        <f>IF($B28&lt;&gt;"",$B28,"")</f>
        <v>GS&lt;50 kW</v>
      </c>
      <c r="E50" s="811" t="str">
        <f>IF($B29&lt;&gt;"",$B29,"")</f>
        <v>GS&gt;50 kW</v>
      </c>
      <c r="F50" s="811" t="str">
        <f>IF($B30&lt;&gt;"",$B30,"")</f>
        <v>Streetlights</v>
      </c>
      <c r="G50" s="812" t="str">
        <f>IF($B31&lt;&gt;"",$B31,"")</f>
        <v>Unmetered Scattered Load</v>
      </c>
      <c r="H50" s="811" t="s">
        <v>26</v>
      </c>
      <c r="I50" s="137" t="str">
        <f>IF($B33&lt;&gt;"",$B33,"")</f>
        <v/>
      </c>
      <c r="J50" s="137" t="str">
        <f>IF($B34&lt;&gt;"",$B34,"")</f>
        <v/>
      </c>
      <c r="K50" s="137" t="str">
        <f>IF($B35&lt;&gt;"",$B35,"")</f>
        <v/>
      </c>
      <c r="L50" s="137" t="str">
        <f>IF($B36&lt;&gt;"",$B36,"")</f>
        <v/>
      </c>
      <c r="M50" s="137" t="str">
        <f>IF($B37&lt;&gt;"",$B37,"")</f>
        <v/>
      </c>
      <c r="N50" s="137" t="str">
        <f>IF($B38&lt;&gt;"",$B38,"")</f>
        <v/>
      </c>
      <c r="O50" s="137" t="str">
        <f>IF($B39&lt;&gt;"",$B39,"")</f>
        <v/>
      </c>
      <c r="P50" s="137" t="str">
        <f>IF($B40&lt;&gt;"",$B40,"")</f>
        <v/>
      </c>
      <c r="Q50" s="245" t="s">
        <v>26</v>
      </c>
      <c r="S50" s="199"/>
      <c r="T50" s="785"/>
    </row>
    <row r="51" spans="2:21" s="786" customFormat="1" ht="15.75" customHeight="1">
      <c r="B51" s="757"/>
      <c r="C51" s="758" t="str">
        <f>C27</f>
        <v>kWh</v>
      </c>
      <c r="D51" s="758" t="str">
        <f>C28</f>
        <v>kWh</v>
      </c>
      <c r="E51" s="758" t="str">
        <f>C29</f>
        <v>kW</v>
      </c>
      <c r="F51" s="758" t="str">
        <f>C30</f>
        <v>kW</v>
      </c>
      <c r="G51" s="758" t="str">
        <f>C31</f>
        <v>KWh</v>
      </c>
      <c r="H51" s="764"/>
      <c r="I51" s="576">
        <f>C33</f>
        <v>0</v>
      </c>
      <c r="J51" s="576">
        <f>C34</f>
        <v>0</v>
      </c>
      <c r="K51" s="576">
        <f>C35</f>
        <v>0</v>
      </c>
      <c r="L51" s="576">
        <f>C36</f>
        <v>0</v>
      </c>
      <c r="M51" s="576">
        <f>C37</f>
        <v>0</v>
      </c>
      <c r="N51" s="576">
        <f>C38</f>
        <v>0</v>
      </c>
      <c r="O51" s="576">
        <f>C39</f>
        <v>0</v>
      </c>
      <c r="P51" s="576">
        <f>C40</f>
        <v>0</v>
      </c>
      <c r="Q51" s="577"/>
      <c r="T51" s="158"/>
    </row>
    <row r="52" spans="2:21" s="92" customFormat="1" hidden="1">
      <c r="B52" s="156" t="s">
        <v>143</v>
      </c>
      <c r="C52" s="158"/>
      <c r="D52" s="158"/>
      <c r="E52" s="158"/>
      <c r="F52" s="158"/>
      <c r="G52" s="158"/>
      <c r="H52" s="765">
        <f>'4.  2011-2014 LRAM'!AD131</f>
        <v>0</v>
      </c>
      <c r="I52" s="752">
        <f>'4.  2011-2014 LRAM'!AE131</f>
        <v>0</v>
      </c>
      <c r="J52" s="152">
        <f>'4.  2011-2014 LRAM'!AF131</f>
        <v>0</v>
      </c>
      <c r="K52" s="152">
        <f>'4.  2011-2014 LRAM'!AG131</f>
        <v>0</v>
      </c>
      <c r="L52" s="152">
        <f>'4.  2011-2014 LRAM'!AH131</f>
        <v>0</v>
      </c>
      <c r="M52" s="152">
        <f>'4.  2011-2014 LRAM'!AI131</f>
        <v>0</v>
      </c>
      <c r="N52" s="152">
        <f>'4.  2011-2014 LRAM'!AJ131</f>
        <v>0</v>
      </c>
      <c r="O52" s="152">
        <f>'4.  2011-2014 LRAM'!AK131</f>
        <v>0</v>
      </c>
      <c r="P52" s="152">
        <f>'4.  2011-2014 LRAM'!AL131</f>
        <v>0</v>
      </c>
      <c r="Q52" s="153">
        <f>SUM(C52:P52)</f>
        <v>0</v>
      </c>
      <c r="T52" s="166"/>
      <c r="U52" s="787"/>
    </row>
    <row r="53" spans="2:21" s="92" customFormat="1" hidden="1">
      <c r="B53" s="156" t="s">
        <v>35</v>
      </c>
      <c r="C53" s="158"/>
      <c r="D53" s="158"/>
      <c r="E53" s="158"/>
      <c r="F53" s="158"/>
      <c r="G53" s="158"/>
      <c r="H53" s="765">
        <f>-'4.  2011-2014 LRAM'!AD132</f>
        <v>0</v>
      </c>
      <c r="I53" s="158">
        <f>-'4.  2011-2014 LRAM'!AE132</f>
        <v>0</v>
      </c>
      <c r="J53" s="158">
        <f>-'4.  2011-2014 LRAM'!AF132</f>
        <v>0</v>
      </c>
      <c r="K53" s="158">
        <f>-'4.  2011-2014 LRAM'!AG132</f>
        <v>0</v>
      </c>
      <c r="L53" s="158">
        <f>-'4.  2011-2014 LRAM'!AH132</f>
        <v>0</v>
      </c>
      <c r="M53" s="158">
        <f>-'4.  2011-2014 LRAM'!AI132</f>
        <v>0</v>
      </c>
      <c r="N53" s="158">
        <f>-'4.  2011-2014 LRAM'!AJ132</f>
        <v>0</v>
      </c>
      <c r="O53" s="158">
        <f>-'4.  2011-2014 LRAM'!AK132</f>
        <v>0</v>
      </c>
      <c r="P53" s="158">
        <f>-'4.  2011-2014 LRAM'!AL132</f>
        <v>0</v>
      </c>
      <c r="Q53" s="159">
        <f>SUM(C53:P53)</f>
        <v>0</v>
      </c>
      <c r="R53" s="788"/>
      <c r="S53" s="199"/>
      <c r="T53" s="789"/>
      <c r="U53" s="787"/>
    </row>
    <row r="54" spans="2:21" s="199" customFormat="1" hidden="1">
      <c r="B54" s="759" t="s">
        <v>67</v>
      </c>
      <c r="C54" s="760"/>
      <c r="D54" s="760"/>
      <c r="E54" s="760"/>
      <c r="F54" s="760"/>
      <c r="G54" s="760"/>
      <c r="H54" s="766"/>
      <c r="I54" s="753"/>
      <c r="J54" s="163"/>
      <c r="K54" s="163"/>
      <c r="L54" s="163"/>
      <c r="M54" s="163"/>
      <c r="N54" s="163"/>
      <c r="O54" s="163"/>
      <c r="P54" s="163"/>
      <c r="Q54" s="164"/>
      <c r="T54" s="789"/>
      <c r="U54" s="787"/>
    </row>
    <row r="55" spans="2:21" s="92" customFormat="1" hidden="1">
      <c r="B55" s="156" t="s">
        <v>144</v>
      </c>
      <c r="C55" s="158"/>
      <c r="D55" s="158"/>
      <c r="E55" s="158"/>
      <c r="F55" s="158"/>
      <c r="G55" s="158"/>
      <c r="H55" s="765">
        <f>'4.  2011-2014 LRAM'!AD261</f>
        <v>0</v>
      </c>
      <c r="I55" s="158">
        <f>'4.  2011-2014 LRAM'!AE261</f>
        <v>0</v>
      </c>
      <c r="J55" s="158">
        <f>'4.  2011-2014 LRAM'!AF261</f>
        <v>0</v>
      </c>
      <c r="K55" s="158">
        <f>'4.  2011-2014 LRAM'!AG261</f>
        <v>0</v>
      </c>
      <c r="L55" s="158">
        <f>'4.  2011-2014 LRAM'!AH261</f>
        <v>0</v>
      </c>
      <c r="M55" s="158">
        <f>'4.  2011-2014 LRAM'!AI261</f>
        <v>0</v>
      </c>
      <c r="N55" s="158">
        <f>'4.  2011-2014 LRAM'!AJ261</f>
        <v>0</v>
      </c>
      <c r="O55" s="158">
        <f>'4.  2011-2014 LRAM'!AK261</f>
        <v>0</v>
      </c>
      <c r="P55" s="158">
        <f>'4.  2011-2014 LRAM'!AL261</f>
        <v>0</v>
      </c>
      <c r="Q55" s="159">
        <f>SUM(C55:P55)</f>
        <v>0</v>
      </c>
      <c r="T55" s="166"/>
      <c r="U55" s="787"/>
    </row>
    <row r="56" spans="2:21" s="92" customFormat="1" hidden="1">
      <c r="B56" s="156" t="s">
        <v>36</v>
      </c>
      <c r="C56" s="158"/>
      <c r="D56" s="158"/>
      <c r="E56" s="158"/>
      <c r="F56" s="158"/>
      <c r="G56" s="158"/>
      <c r="H56" s="765">
        <f>-'4.  2011-2014 LRAM'!AD262</f>
        <v>0</v>
      </c>
      <c r="I56" s="158">
        <f>-'4.  2011-2014 LRAM'!AE262</f>
        <v>0</v>
      </c>
      <c r="J56" s="158">
        <f>-'4.  2011-2014 LRAM'!AF262</f>
        <v>0</v>
      </c>
      <c r="K56" s="158">
        <f>-'4.  2011-2014 LRAM'!AG262</f>
        <v>0</v>
      </c>
      <c r="L56" s="158">
        <f>-'4.  2011-2014 LRAM'!AH262</f>
        <v>0</v>
      </c>
      <c r="M56" s="158">
        <f>-'4.  2011-2014 LRAM'!AI262</f>
        <v>0</v>
      </c>
      <c r="N56" s="158">
        <f>-'4.  2011-2014 LRAM'!AJ262</f>
        <v>0</v>
      </c>
      <c r="O56" s="158">
        <f>-'4.  2011-2014 LRAM'!AK262</f>
        <v>0</v>
      </c>
      <c r="P56" s="158">
        <f>-'4.  2011-2014 LRAM'!AL262</f>
        <v>0</v>
      </c>
      <c r="Q56" s="159">
        <f>SUM(C56:P56)</f>
        <v>0</v>
      </c>
      <c r="R56" s="788"/>
      <c r="T56" s="166"/>
      <c r="U56" s="787"/>
    </row>
    <row r="57" spans="2:21" s="199" customFormat="1" hidden="1">
      <c r="B57" s="759" t="s">
        <v>67</v>
      </c>
      <c r="C57" s="760"/>
      <c r="D57" s="760"/>
      <c r="E57" s="760"/>
      <c r="F57" s="760"/>
      <c r="G57" s="760"/>
      <c r="H57" s="766"/>
      <c r="I57" s="753"/>
      <c r="J57" s="163"/>
      <c r="K57" s="163"/>
      <c r="L57" s="163"/>
      <c r="M57" s="163"/>
      <c r="N57" s="163"/>
      <c r="O57" s="163"/>
      <c r="P57" s="163"/>
      <c r="Q57" s="164"/>
      <c r="T57" s="789"/>
      <c r="U57" s="787"/>
    </row>
    <row r="58" spans="2:21" s="40" customFormat="1" hidden="1">
      <c r="B58" s="156" t="s">
        <v>38</v>
      </c>
      <c r="C58" s="158"/>
      <c r="D58" s="158"/>
      <c r="E58" s="158"/>
      <c r="F58" s="158"/>
      <c r="G58" s="158"/>
      <c r="H58" s="765">
        <f>'4.  2011-2014 LRAM'!AD391</f>
        <v>0</v>
      </c>
      <c r="I58" s="158">
        <f>'4.  2011-2014 LRAM'!AE391</f>
        <v>0</v>
      </c>
      <c r="J58" s="158">
        <f>'4.  2011-2014 LRAM'!AF391</f>
        <v>0</v>
      </c>
      <c r="K58" s="158">
        <f>'4.  2011-2014 LRAM'!AG391</f>
        <v>0</v>
      </c>
      <c r="L58" s="158">
        <f>'4.  2011-2014 LRAM'!AH391</f>
        <v>0</v>
      </c>
      <c r="M58" s="158">
        <f>'4.  2011-2014 LRAM'!AI391</f>
        <v>0</v>
      </c>
      <c r="N58" s="158">
        <f>'4.  2011-2014 LRAM'!AJ391</f>
        <v>0</v>
      </c>
      <c r="O58" s="158">
        <f>'4.  2011-2014 LRAM'!AK391</f>
        <v>0</v>
      </c>
      <c r="P58" s="158">
        <f>'4.  2011-2014 LRAM'!AL391</f>
        <v>0</v>
      </c>
      <c r="Q58" s="159">
        <f>SUM(C58:P58)</f>
        <v>0</v>
      </c>
      <c r="T58" s="166"/>
      <c r="U58" s="787"/>
    </row>
    <row r="59" spans="2:21" s="40" customFormat="1" hidden="1">
      <c r="B59" s="156" t="s">
        <v>37</v>
      </c>
      <c r="C59" s="158"/>
      <c r="D59" s="158"/>
      <c r="E59" s="158"/>
      <c r="F59" s="158"/>
      <c r="G59" s="158"/>
      <c r="H59" s="765">
        <f>-'4.  2011-2014 LRAM'!AD392</f>
        <v>0</v>
      </c>
      <c r="I59" s="158">
        <f>-'4.  2011-2014 LRAM'!AE392</f>
        <v>0</v>
      </c>
      <c r="J59" s="158">
        <f>-'4.  2011-2014 LRAM'!AF392</f>
        <v>0</v>
      </c>
      <c r="K59" s="158">
        <f>-'4.  2011-2014 LRAM'!AG392</f>
        <v>0</v>
      </c>
      <c r="L59" s="158">
        <f>-'4.  2011-2014 LRAM'!AH392</f>
        <v>0</v>
      </c>
      <c r="M59" s="158">
        <f>-'4.  2011-2014 LRAM'!AI392</f>
        <v>0</v>
      </c>
      <c r="N59" s="158">
        <f>-'4.  2011-2014 LRAM'!AJ392</f>
        <v>0</v>
      </c>
      <c r="O59" s="158">
        <f>-'4.  2011-2014 LRAM'!AK392</f>
        <v>0</v>
      </c>
      <c r="P59" s="158">
        <f>-'4.  2011-2014 LRAM'!AL392</f>
        <v>0</v>
      </c>
      <c r="Q59" s="159">
        <f>SUM(C59:P59)</f>
        <v>0</v>
      </c>
      <c r="R59" s="788"/>
      <c r="T59" s="166"/>
      <c r="U59" s="787"/>
    </row>
    <row r="60" spans="2:21" s="199" customFormat="1" hidden="1">
      <c r="B60" s="759" t="s">
        <v>67</v>
      </c>
      <c r="C60" s="760"/>
      <c r="D60" s="760"/>
      <c r="E60" s="760"/>
      <c r="F60" s="760"/>
      <c r="G60" s="760"/>
      <c r="H60" s="766"/>
      <c r="I60" s="753"/>
      <c r="J60" s="163"/>
      <c r="K60" s="163"/>
      <c r="L60" s="163"/>
      <c r="M60" s="163"/>
      <c r="N60" s="163"/>
      <c r="O60" s="163"/>
      <c r="P60" s="163"/>
      <c r="Q60" s="164"/>
      <c r="T60" s="789"/>
      <c r="U60" s="787"/>
    </row>
    <row r="61" spans="2:21" s="40" customFormat="1" hidden="1">
      <c r="B61" s="156" t="s">
        <v>40</v>
      </c>
      <c r="C61" s="158"/>
      <c r="D61" s="158"/>
      <c r="E61" s="158"/>
      <c r="F61" s="158"/>
      <c r="G61" s="158"/>
      <c r="H61" s="765">
        <f>'4.  2011-2014 LRAM'!AD521</f>
        <v>0</v>
      </c>
      <c r="I61" s="158">
        <f>'4.  2011-2014 LRAM'!AE521</f>
        <v>0</v>
      </c>
      <c r="J61" s="158">
        <f>'4.  2011-2014 LRAM'!AF521</f>
        <v>0</v>
      </c>
      <c r="K61" s="158">
        <f>'4.  2011-2014 LRAM'!AG521</f>
        <v>0</v>
      </c>
      <c r="L61" s="158">
        <f>'4.  2011-2014 LRAM'!AH521</f>
        <v>0</v>
      </c>
      <c r="M61" s="158">
        <f>'4.  2011-2014 LRAM'!AI521</f>
        <v>0</v>
      </c>
      <c r="N61" s="158">
        <f>'4.  2011-2014 LRAM'!AJ521</f>
        <v>0</v>
      </c>
      <c r="O61" s="158">
        <f>'4.  2011-2014 LRAM'!AK521</f>
        <v>0</v>
      </c>
      <c r="P61" s="158">
        <f>'4.  2011-2014 LRAM'!AL521</f>
        <v>0</v>
      </c>
      <c r="Q61" s="159">
        <f>SUM(C61:P61)</f>
        <v>0</v>
      </c>
      <c r="T61" s="166"/>
      <c r="U61" s="787"/>
    </row>
    <row r="62" spans="2:21" s="40" customFormat="1" hidden="1">
      <c r="B62" s="156" t="s">
        <v>39</v>
      </c>
      <c r="C62" s="158"/>
      <c r="D62" s="158"/>
      <c r="E62" s="158"/>
      <c r="F62" s="158"/>
      <c r="G62" s="158"/>
      <c r="H62" s="765">
        <f>-'4.  2011-2014 LRAM'!AD522</f>
        <v>0</v>
      </c>
      <c r="I62" s="158">
        <f>-'4.  2011-2014 LRAM'!AE522</f>
        <v>0</v>
      </c>
      <c r="J62" s="158">
        <f>-'4.  2011-2014 LRAM'!AF522</f>
        <v>0</v>
      </c>
      <c r="K62" s="158">
        <f>-'4.  2011-2014 LRAM'!AG522</f>
        <v>0</v>
      </c>
      <c r="L62" s="158">
        <f>-'4.  2011-2014 LRAM'!AH522</f>
        <v>0</v>
      </c>
      <c r="M62" s="158">
        <f>-'4.  2011-2014 LRAM'!AI522</f>
        <v>0</v>
      </c>
      <c r="N62" s="158">
        <f>-'4.  2011-2014 LRAM'!AJ522</f>
        <v>0</v>
      </c>
      <c r="O62" s="158">
        <f>-'4.  2011-2014 LRAM'!AK522</f>
        <v>0</v>
      </c>
      <c r="P62" s="158">
        <f>-'4.  2011-2014 LRAM'!AL522</f>
        <v>0</v>
      </c>
      <c r="Q62" s="159">
        <f>SUM(C62:P62)</f>
        <v>0</v>
      </c>
      <c r="R62" s="788"/>
      <c r="T62" s="166"/>
      <c r="U62" s="787"/>
    </row>
    <row r="63" spans="2:21" s="199" customFormat="1" hidden="1">
      <c r="B63" s="759" t="s">
        <v>67</v>
      </c>
      <c r="C63" s="760"/>
      <c r="D63" s="760"/>
      <c r="E63" s="760"/>
      <c r="F63" s="760"/>
      <c r="G63" s="760"/>
      <c r="H63" s="766"/>
      <c r="I63" s="753"/>
      <c r="J63" s="163"/>
      <c r="K63" s="163"/>
      <c r="L63" s="163"/>
      <c r="M63" s="163"/>
      <c r="N63" s="163"/>
      <c r="O63" s="163"/>
      <c r="P63" s="163"/>
      <c r="Q63" s="164"/>
      <c r="T63" s="789"/>
      <c r="U63" s="787"/>
    </row>
    <row r="64" spans="2:21" s="40" customFormat="1" hidden="1">
      <c r="B64" s="156" t="s">
        <v>94</v>
      </c>
      <c r="C64" s="166"/>
      <c r="D64" s="166"/>
      <c r="E64" s="166"/>
      <c r="F64" s="166"/>
      <c r="G64" s="166"/>
      <c r="H64" s="767">
        <f>'5.  2015-2020 LRAM'!AD204</f>
        <v>0</v>
      </c>
      <c r="I64" s="166">
        <f>'5.  2015-2020 LRAM'!AE204</f>
        <v>0</v>
      </c>
      <c r="J64" s="166">
        <f>'5.  2015-2020 LRAM'!AF204</f>
        <v>0</v>
      </c>
      <c r="K64" s="166">
        <f>'5.  2015-2020 LRAM'!AG204</f>
        <v>0</v>
      </c>
      <c r="L64" s="166">
        <f>'5.  2015-2020 LRAM'!AH204</f>
        <v>0</v>
      </c>
      <c r="M64" s="166">
        <f>'5.  2015-2020 LRAM'!AI204</f>
        <v>0</v>
      </c>
      <c r="N64" s="166">
        <f>'5.  2015-2020 LRAM'!AJ204</f>
        <v>0</v>
      </c>
      <c r="O64" s="166">
        <f>'5.  2015-2020 LRAM'!AK204</f>
        <v>0</v>
      </c>
      <c r="P64" s="166">
        <f>'5.  2015-2020 LRAM'!AL204</f>
        <v>0</v>
      </c>
      <c r="Q64" s="159">
        <f>SUM(C64:P64)</f>
        <v>0</v>
      </c>
      <c r="T64" s="166"/>
      <c r="U64" s="787"/>
    </row>
    <row r="65" spans="2:31" s="40" customFormat="1" hidden="1">
      <c r="B65" s="156" t="s">
        <v>93</v>
      </c>
      <c r="C65" s="166"/>
      <c r="D65" s="166"/>
      <c r="E65" s="166"/>
      <c r="F65" s="166"/>
      <c r="G65" s="166"/>
      <c r="H65" s="767">
        <f>-'5.  2015-2020 LRAM'!AD205</f>
        <v>0</v>
      </c>
      <c r="I65" s="166">
        <f>-'5.  2015-2020 LRAM'!AE205</f>
        <v>0</v>
      </c>
      <c r="J65" s="166">
        <f>-'5.  2015-2020 LRAM'!AF205</f>
        <v>0</v>
      </c>
      <c r="K65" s="166">
        <f>-'5.  2015-2020 LRAM'!AG205</f>
        <v>0</v>
      </c>
      <c r="L65" s="166">
        <f>-'5.  2015-2020 LRAM'!AH205</f>
        <v>0</v>
      </c>
      <c r="M65" s="166">
        <f>-'5.  2015-2020 LRAM'!AI205</f>
        <v>0</v>
      </c>
      <c r="N65" s="166">
        <f>-'5.  2015-2020 LRAM'!AJ205</f>
        <v>0</v>
      </c>
      <c r="O65" s="166">
        <f>-'5.  2015-2020 LRAM'!AK205</f>
        <v>0</v>
      </c>
      <c r="P65" s="166">
        <f>-'5.  2015-2020 LRAM'!AL205</f>
        <v>0</v>
      </c>
      <c r="Q65" s="159">
        <f>SUM(C65:P65)</f>
        <v>0</v>
      </c>
      <c r="R65" s="788"/>
      <c r="T65" s="166"/>
      <c r="U65" s="787"/>
    </row>
    <row r="66" spans="2:31" s="199" customFormat="1" hidden="1">
      <c r="B66" s="759" t="s">
        <v>67</v>
      </c>
      <c r="C66" s="760"/>
      <c r="D66" s="760"/>
      <c r="E66" s="760"/>
      <c r="F66" s="760"/>
      <c r="G66" s="760"/>
      <c r="H66" s="766"/>
      <c r="I66" s="753"/>
      <c r="J66" s="163"/>
      <c r="K66" s="163"/>
      <c r="L66" s="163"/>
      <c r="M66" s="163"/>
      <c r="N66" s="163"/>
      <c r="O66" s="163"/>
      <c r="P66" s="163"/>
      <c r="Q66" s="164"/>
      <c r="T66" s="789"/>
      <c r="U66" s="787"/>
      <c r="Y66" s="199" t="s">
        <v>29</v>
      </c>
      <c r="Z66" s="199" t="s">
        <v>374</v>
      </c>
      <c r="AA66" s="199" t="s">
        <v>375</v>
      </c>
      <c r="AB66" s="199" t="s">
        <v>686</v>
      </c>
      <c r="AC66" s="199" t="s">
        <v>32</v>
      </c>
    </row>
    <row r="67" spans="2:31" s="40" customFormat="1">
      <c r="B67" s="156" t="s">
        <v>226</v>
      </c>
      <c r="C67" s="795">
        <f>'5.  2015-2020 LRAM'!Y388</f>
        <v>58866.848747204342</v>
      </c>
      <c r="D67" s="795">
        <f>'5.  2015-2020 LRAM'!Z388</f>
        <v>72090.964024975867</v>
      </c>
      <c r="E67" s="795">
        <f>'5.  2015-2020 LRAM'!AA388</f>
        <v>11730.954346482582</v>
      </c>
      <c r="F67" s="795">
        <f>'5.  2015-2020 LRAM'!AB388</f>
        <v>0</v>
      </c>
      <c r="G67" s="795">
        <f>'5.  2015-2020 LRAM'!AC388</f>
        <v>0</v>
      </c>
      <c r="H67" s="796">
        <f>SUM(C67:G67)</f>
        <v>142688.7671186628</v>
      </c>
      <c r="I67" s="158">
        <f>'5.  2015-2020 LRAM'!AE388</f>
        <v>0</v>
      </c>
      <c r="J67" s="158">
        <f>'5.  2015-2020 LRAM'!AF388</f>
        <v>0</v>
      </c>
      <c r="K67" s="158">
        <f>'5.  2015-2020 LRAM'!AG388</f>
        <v>0</v>
      </c>
      <c r="L67" s="158">
        <f>'5.  2015-2020 LRAM'!AH388</f>
        <v>0</v>
      </c>
      <c r="M67" s="158">
        <f>'5.  2015-2020 LRAM'!AI388</f>
        <v>0</v>
      </c>
      <c r="N67" s="158">
        <f>'5.  2015-2020 LRAM'!AJ388</f>
        <v>0</v>
      </c>
      <c r="O67" s="158">
        <f>'5.  2015-2020 LRAM'!AK388</f>
        <v>0</v>
      </c>
      <c r="P67" s="158">
        <f>'5.  2015-2020 LRAM'!AL388</f>
        <v>0</v>
      </c>
      <c r="Q67" s="159">
        <f>SUM(C67:P67)</f>
        <v>285377.5342373256</v>
      </c>
      <c r="T67" s="166"/>
      <c r="U67" s="787"/>
      <c r="Y67" s="790">
        <f>C67+C68</f>
        <v>36136.298047204342</v>
      </c>
      <c r="Z67" s="790">
        <f t="shared" ref="Z67:AC67" si="3">D67+D68</f>
        <v>64650.699524975869</v>
      </c>
      <c r="AA67" s="790">
        <f t="shared" si="3"/>
        <v>-22636.06825351742</v>
      </c>
      <c r="AB67" s="790">
        <f t="shared" si="3"/>
        <v>-2955.0135999999998</v>
      </c>
      <c r="AC67" s="790">
        <f t="shared" si="3"/>
        <v>-55.2712</v>
      </c>
      <c r="AD67" s="790"/>
      <c r="AE67" s="790"/>
    </row>
    <row r="68" spans="2:31" s="40" customFormat="1">
      <c r="B68" s="156" t="s">
        <v>225</v>
      </c>
      <c r="C68" s="797">
        <f>-'5.  2015-2020 LRAM'!Y389</f>
        <v>-22730.550699999996</v>
      </c>
      <c r="D68" s="797">
        <f>-'5.  2015-2020 LRAM'!Z389</f>
        <v>-7440.2645000000002</v>
      </c>
      <c r="E68" s="797">
        <f>-'5.  2015-2020 LRAM'!AA389</f>
        <v>-34367.022600000004</v>
      </c>
      <c r="F68" s="797">
        <f>-'5.  2015-2020 LRAM'!AB389</f>
        <v>-2955.0135999999998</v>
      </c>
      <c r="G68" s="797">
        <f>-'5.  2015-2020 LRAM'!AC389</f>
        <v>-55.2712</v>
      </c>
      <c r="H68" s="798">
        <f t="shared" ref="H68:H86" si="4">SUM(C68:G68)</f>
        <v>-67548.122600000002</v>
      </c>
      <c r="I68" s="158">
        <f>-'5.  2015-2020 LRAM'!AE389</f>
        <v>0</v>
      </c>
      <c r="J68" s="158">
        <f>-'5.  2015-2020 LRAM'!AF389</f>
        <v>0</v>
      </c>
      <c r="K68" s="158">
        <f>-'5.  2015-2020 LRAM'!AG389</f>
        <v>0</v>
      </c>
      <c r="L68" s="158">
        <f>-'5.  2015-2020 LRAM'!AH389</f>
        <v>0</v>
      </c>
      <c r="M68" s="158">
        <f>-'5.  2015-2020 LRAM'!AI389</f>
        <v>0</v>
      </c>
      <c r="N68" s="158">
        <f>-'5.  2015-2020 LRAM'!AJ389</f>
        <v>0</v>
      </c>
      <c r="O68" s="158">
        <f>-'5.  2015-2020 LRAM'!AK389</f>
        <v>0</v>
      </c>
      <c r="P68" s="158">
        <f>-'5.  2015-2020 LRAM'!AL389</f>
        <v>0</v>
      </c>
      <c r="Q68" s="159">
        <f>SUM(C68:P68)</f>
        <v>-135096.2452</v>
      </c>
      <c r="R68" s="788"/>
      <c r="T68" s="166"/>
      <c r="U68" s="787"/>
    </row>
    <row r="69" spans="2:31" s="199" customFormat="1" hidden="1">
      <c r="B69" s="759" t="s">
        <v>67</v>
      </c>
      <c r="C69" s="799"/>
      <c r="D69" s="799"/>
      <c r="E69" s="799"/>
      <c r="F69" s="799"/>
      <c r="G69" s="799"/>
      <c r="H69" s="800">
        <f t="shared" si="4"/>
        <v>0</v>
      </c>
      <c r="I69" s="753"/>
      <c r="J69" s="163"/>
      <c r="K69" s="163"/>
      <c r="L69" s="163"/>
      <c r="M69" s="163"/>
      <c r="N69" s="163"/>
      <c r="O69" s="163"/>
      <c r="P69" s="163"/>
      <c r="Q69" s="164"/>
      <c r="T69" s="789"/>
      <c r="U69" s="787"/>
    </row>
    <row r="70" spans="2:31" s="40" customFormat="1" hidden="1">
      <c r="B70" s="156" t="s">
        <v>228</v>
      </c>
      <c r="C70" s="795">
        <f>'5.  2015-2020 LRAM'!Y572</f>
        <v>89317.425909527548</v>
      </c>
      <c r="D70" s="795">
        <f>'5.  2015-2020 LRAM'!Z572</f>
        <v>69807.927713596015</v>
      </c>
      <c r="E70" s="795">
        <f>'5.  2015-2020 LRAM'!AA572</f>
        <v>23849.366558185236</v>
      </c>
      <c r="F70" s="795">
        <f>'5.  2015-2020 LRAM'!AB572</f>
        <v>38982.085584483088</v>
      </c>
      <c r="G70" s="795">
        <f>'5.  2015-2020 LRAM'!AC572</f>
        <v>0</v>
      </c>
      <c r="H70" s="796">
        <f t="shared" si="4"/>
        <v>221956.80576579185</v>
      </c>
      <c r="I70" s="158">
        <f>'5.  2015-2020 LRAM'!AE572</f>
        <v>0</v>
      </c>
      <c r="J70" s="158">
        <f>'5.  2015-2020 LRAM'!AF572</f>
        <v>0</v>
      </c>
      <c r="K70" s="158">
        <f>'5.  2015-2020 LRAM'!AG572</f>
        <v>0</v>
      </c>
      <c r="L70" s="158">
        <f>'5.  2015-2020 LRAM'!AH572</f>
        <v>0</v>
      </c>
      <c r="M70" s="158">
        <f>'5.  2015-2020 LRAM'!AI572</f>
        <v>0</v>
      </c>
      <c r="N70" s="158">
        <f>'5.  2015-2020 LRAM'!AJ572</f>
        <v>0</v>
      </c>
      <c r="O70" s="158">
        <f>'5.  2015-2020 LRAM'!AK572</f>
        <v>0</v>
      </c>
      <c r="P70" s="158">
        <f>'5.  2015-2020 LRAM'!AL572</f>
        <v>0</v>
      </c>
      <c r="Q70" s="159">
        <f>SUM(C70:P70)</f>
        <v>443913.61153158371</v>
      </c>
      <c r="T70" s="166"/>
      <c r="U70" s="787"/>
    </row>
    <row r="71" spans="2:31" s="40" customFormat="1" hidden="1">
      <c r="B71" s="156" t="s">
        <v>227</v>
      </c>
      <c r="C71" s="795">
        <f>-'5.  2015-2020 LRAM'!Y573</f>
        <v>-16274.5363</v>
      </c>
      <c r="D71" s="795">
        <f>-'5.  2015-2020 LRAM'!Z573</f>
        <v>-7548.8814999999995</v>
      </c>
      <c r="E71" s="795">
        <f>-'5.  2015-2020 LRAM'!AA573</f>
        <v>-35041.429799999998</v>
      </c>
      <c r="F71" s="795">
        <f>-'5.  2015-2020 LRAM'!AB573</f>
        <v>-3018.596</v>
      </c>
      <c r="G71" s="795">
        <f>-'5.  2015-2020 LRAM'!AC573</f>
        <v>-56.207999999999998</v>
      </c>
      <c r="H71" s="796">
        <f t="shared" si="4"/>
        <v>-61939.65159999999</v>
      </c>
      <c r="I71" s="158">
        <f>-'5.  2015-2020 LRAM'!AE573</f>
        <v>0</v>
      </c>
      <c r="J71" s="158">
        <f>-'5.  2015-2020 LRAM'!AF573</f>
        <v>0</v>
      </c>
      <c r="K71" s="158">
        <f>-'5.  2015-2020 LRAM'!AG573</f>
        <v>0</v>
      </c>
      <c r="L71" s="158">
        <f>-'5.  2015-2020 LRAM'!AH573</f>
        <v>0</v>
      </c>
      <c r="M71" s="158">
        <f>-'5.  2015-2020 LRAM'!AI573</f>
        <v>0</v>
      </c>
      <c r="N71" s="158">
        <f>-'5.  2015-2020 LRAM'!AJ573</f>
        <v>0</v>
      </c>
      <c r="O71" s="158">
        <f>-'5.  2015-2020 LRAM'!AK573</f>
        <v>0</v>
      </c>
      <c r="P71" s="158">
        <f>-'5.  2015-2020 LRAM'!AL573</f>
        <v>0</v>
      </c>
      <c r="Q71" s="159">
        <f>SUM(C71:P71)</f>
        <v>-123879.30319999998</v>
      </c>
      <c r="R71" s="788"/>
      <c r="T71" s="166"/>
      <c r="U71" s="787"/>
    </row>
    <row r="72" spans="2:31" s="199" customFormat="1" hidden="1">
      <c r="B72" s="759" t="s">
        <v>67</v>
      </c>
      <c r="C72" s="799"/>
      <c r="D72" s="799"/>
      <c r="E72" s="799"/>
      <c r="F72" s="799"/>
      <c r="G72" s="799"/>
      <c r="H72" s="800">
        <f t="shared" si="4"/>
        <v>0</v>
      </c>
      <c r="I72" s="753"/>
      <c r="J72" s="163"/>
      <c r="K72" s="163"/>
      <c r="L72" s="163"/>
      <c r="M72" s="163"/>
      <c r="N72" s="163"/>
      <c r="O72" s="163"/>
      <c r="P72" s="163"/>
      <c r="Q72" s="164"/>
      <c r="T72" s="789"/>
      <c r="U72" s="787"/>
    </row>
    <row r="73" spans="2:31" s="40" customFormat="1" hidden="1">
      <c r="B73" s="156" t="s">
        <v>230</v>
      </c>
      <c r="C73" s="795">
        <f>'5.  2015-2020 LRAM'!Y756</f>
        <v>49854.870336043896</v>
      </c>
      <c r="D73" s="795">
        <f>'5.  2015-2020 LRAM'!Z756</f>
        <v>70868.55322600581</v>
      </c>
      <c r="E73" s="795">
        <f>'5.  2015-2020 LRAM'!AA756</f>
        <v>24613.594391764742</v>
      </c>
      <c r="F73" s="795">
        <f>'5.  2015-2020 LRAM'!AB756</f>
        <v>40797.76492856913</v>
      </c>
      <c r="G73" s="795">
        <f>'5.  2015-2020 LRAM'!AC756</f>
        <v>0</v>
      </c>
      <c r="H73" s="796">
        <f t="shared" si="4"/>
        <v>186134.78288238356</v>
      </c>
      <c r="I73" s="158">
        <f>'5.  2015-2020 LRAM'!AE756</f>
        <v>0</v>
      </c>
      <c r="J73" s="158">
        <f>'5.  2015-2020 LRAM'!AF756</f>
        <v>0</v>
      </c>
      <c r="K73" s="158">
        <f>'5.  2015-2020 LRAM'!AG756</f>
        <v>0</v>
      </c>
      <c r="L73" s="158">
        <f>'5.  2015-2020 LRAM'!AH756</f>
        <v>0</v>
      </c>
      <c r="M73" s="158">
        <f>'5.  2015-2020 LRAM'!AI756</f>
        <v>0</v>
      </c>
      <c r="N73" s="158">
        <f>'5.  2015-2020 LRAM'!AJ756</f>
        <v>0</v>
      </c>
      <c r="O73" s="158">
        <f>'5.  2015-2020 LRAM'!AK756</f>
        <v>0</v>
      </c>
      <c r="P73" s="158">
        <f>'5.  2015-2020 LRAM'!AL756</f>
        <v>0</v>
      </c>
      <c r="Q73" s="159">
        <f>SUM(C73:P73)</f>
        <v>372269.56576476712</v>
      </c>
      <c r="T73" s="166"/>
      <c r="U73" s="787"/>
    </row>
    <row r="74" spans="2:31" s="40" customFormat="1" ht="16.5" hidden="1" customHeight="1">
      <c r="B74" s="156" t="s">
        <v>229</v>
      </c>
      <c r="C74" s="795">
        <f>-'5.  2015-2020 LRAM'!Y757</f>
        <v>-9549.5213000000003</v>
      </c>
      <c r="D74" s="795">
        <f>-'5.  2015-2020 LRAM'!Z757</f>
        <v>-7657.4984999999997</v>
      </c>
      <c r="E74" s="795">
        <f>-'5.  2015-2020 LRAM'!AA757</f>
        <v>-35478.940800000004</v>
      </c>
      <c r="F74" s="795">
        <f>-'5.  2015-2020 LRAM'!AB757</f>
        <v>-3058.0508</v>
      </c>
      <c r="G74" s="795">
        <f>-'5.  2015-2020 LRAM'!AC757</f>
        <v>-57.144800000000004</v>
      </c>
      <c r="H74" s="796">
        <f t="shared" si="4"/>
        <v>-55801.156200000005</v>
      </c>
      <c r="I74" s="158">
        <f>-'5.  2015-2020 LRAM'!AE757</f>
        <v>0</v>
      </c>
      <c r="J74" s="158">
        <f>-'5.  2015-2020 LRAM'!AF757</f>
        <v>0</v>
      </c>
      <c r="K74" s="158">
        <f>-'5.  2015-2020 LRAM'!AG757</f>
        <v>0</v>
      </c>
      <c r="L74" s="158">
        <f>-'5.  2015-2020 LRAM'!AH757</f>
        <v>0</v>
      </c>
      <c r="M74" s="158">
        <f>-'5.  2015-2020 LRAM'!AI757</f>
        <v>0</v>
      </c>
      <c r="N74" s="158">
        <f>-'5.  2015-2020 LRAM'!AJ757</f>
        <v>0</v>
      </c>
      <c r="O74" s="158">
        <f>-'5.  2015-2020 LRAM'!AK757</f>
        <v>0</v>
      </c>
      <c r="P74" s="158">
        <f>-'5.  2015-2020 LRAM'!AL757</f>
        <v>0</v>
      </c>
      <c r="Q74" s="159">
        <f>SUM(C74:P74)</f>
        <v>-111602.31240000001</v>
      </c>
      <c r="R74" s="788"/>
      <c r="T74" s="166"/>
      <c r="U74" s="787"/>
    </row>
    <row r="75" spans="2:31" s="199" customFormat="1" hidden="1">
      <c r="B75" s="759" t="s">
        <v>67</v>
      </c>
      <c r="C75" s="799"/>
      <c r="D75" s="799"/>
      <c r="E75" s="799"/>
      <c r="F75" s="799"/>
      <c r="G75" s="799"/>
      <c r="H75" s="800">
        <f t="shared" si="4"/>
        <v>0</v>
      </c>
      <c r="I75" s="753"/>
      <c r="J75" s="163"/>
      <c r="K75" s="163"/>
      <c r="L75" s="163"/>
      <c r="M75" s="163"/>
      <c r="N75" s="163"/>
      <c r="O75" s="163"/>
      <c r="P75" s="163"/>
      <c r="Q75" s="164"/>
      <c r="T75" s="789"/>
      <c r="U75" s="787"/>
    </row>
    <row r="76" spans="2:31" s="40" customFormat="1" hidden="1">
      <c r="B76" s="156" t="s">
        <v>232</v>
      </c>
      <c r="C76" s="795">
        <f>'5.  2015-2020 LRAM'!Y940</f>
        <v>0</v>
      </c>
      <c r="D76" s="795">
        <f>'5.  2015-2020 LRAM'!Z940</f>
        <v>0</v>
      </c>
      <c r="E76" s="795">
        <f>'5.  2015-2020 LRAM'!AA940</f>
        <v>0</v>
      </c>
      <c r="F76" s="795">
        <f>'5.  2015-2020 LRAM'!AB940</f>
        <v>0</v>
      </c>
      <c r="G76" s="795">
        <f>'5.  2015-2020 LRAM'!AC940</f>
        <v>0</v>
      </c>
      <c r="H76" s="796">
        <f t="shared" si="4"/>
        <v>0</v>
      </c>
      <c r="I76" s="158">
        <f>'5.  2015-2020 LRAM'!AE940</f>
        <v>0</v>
      </c>
      <c r="J76" s="158">
        <f>'5.  2015-2020 LRAM'!AF940</f>
        <v>0</v>
      </c>
      <c r="K76" s="158">
        <f>'5.  2015-2020 LRAM'!AG940</f>
        <v>0</v>
      </c>
      <c r="L76" s="158">
        <f>'5.  2015-2020 LRAM'!AH940</f>
        <v>0</v>
      </c>
      <c r="M76" s="158">
        <f>'5.  2015-2020 LRAM'!AI940</f>
        <v>0</v>
      </c>
      <c r="N76" s="158">
        <f>'5.  2015-2020 LRAM'!AJ940</f>
        <v>0</v>
      </c>
      <c r="O76" s="158">
        <f>'5.  2015-2020 LRAM'!AK940</f>
        <v>0</v>
      </c>
      <c r="P76" s="158">
        <f>'5.  2015-2020 LRAM'!AL940</f>
        <v>0</v>
      </c>
      <c r="Q76" s="159">
        <f>SUM(C76:P76)</f>
        <v>0</v>
      </c>
      <c r="T76" s="166"/>
      <c r="U76" s="787"/>
    </row>
    <row r="77" spans="2:31" s="40" customFormat="1" hidden="1">
      <c r="B77" s="156" t="s">
        <v>231</v>
      </c>
      <c r="C77" s="795">
        <f>-'5.  2015-2020 LRAM'!Y941</f>
        <v>0</v>
      </c>
      <c r="D77" s="795">
        <f>-'5.  2015-2020 LRAM'!Z941</f>
        <v>0</v>
      </c>
      <c r="E77" s="795">
        <f>-'5.  2015-2020 LRAM'!AA941</f>
        <v>0</v>
      </c>
      <c r="F77" s="795">
        <f>-'5.  2015-2020 LRAM'!AB941</f>
        <v>0</v>
      </c>
      <c r="G77" s="795">
        <f>-'5.  2015-2020 LRAM'!AC941</f>
        <v>0</v>
      </c>
      <c r="H77" s="796">
        <f t="shared" si="4"/>
        <v>0</v>
      </c>
      <c r="I77" s="158">
        <f>-'5.  2015-2020 LRAM'!AE941</f>
        <v>0</v>
      </c>
      <c r="J77" s="158">
        <f>-'5.  2015-2020 LRAM'!AF941</f>
        <v>0</v>
      </c>
      <c r="K77" s="158">
        <f>-'5.  2015-2020 LRAM'!AG941</f>
        <v>0</v>
      </c>
      <c r="L77" s="158">
        <f>-'5.  2015-2020 LRAM'!AH941</f>
        <v>0</v>
      </c>
      <c r="M77" s="158">
        <f>-'5.  2015-2020 LRAM'!AI941</f>
        <v>0</v>
      </c>
      <c r="N77" s="158">
        <f>-'5.  2015-2020 LRAM'!AJ941</f>
        <v>0</v>
      </c>
      <c r="O77" s="158">
        <f>-'5.  2015-2020 LRAM'!AK941</f>
        <v>0</v>
      </c>
      <c r="P77" s="158">
        <f>-'5.  2015-2020 LRAM'!AL941</f>
        <v>0</v>
      </c>
      <c r="Q77" s="159">
        <f>SUM(C77:P77)</f>
        <v>0</v>
      </c>
      <c r="R77" s="788"/>
      <c r="T77" s="166"/>
      <c r="U77" s="787"/>
    </row>
    <row r="78" spans="2:31" s="199" customFormat="1" hidden="1">
      <c r="B78" s="759" t="s">
        <v>67</v>
      </c>
      <c r="C78" s="799"/>
      <c r="D78" s="799"/>
      <c r="E78" s="799"/>
      <c r="F78" s="799"/>
      <c r="G78" s="799"/>
      <c r="H78" s="800">
        <f t="shared" si="4"/>
        <v>0</v>
      </c>
      <c r="I78" s="753"/>
      <c r="J78" s="163"/>
      <c r="K78" s="163"/>
      <c r="L78" s="163"/>
      <c r="M78" s="163"/>
      <c r="N78" s="163"/>
      <c r="O78" s="163"/>
      <c r="P78" s="163"/>
      <c r="Q78" s="164"/>
      <c r="T78" s="789"/>
      <c r="U78" s="787"/>
    </row>
    <row r="79" spans="2:31" s="40" customFormat="1" hidden="1">
      <c r="B79" s="156" t="s">
        <v>234</v>
      </c>
      <c r="C79" s="795">
        <f>'5.  2015-2020 LRAM'!Y1124</f>
        <v>0</v>
      </c>
      <c r="D79" s="795">
        <f>'5.  2015-2020 LRAM'!Z1124</f>
        <v>0</v>
      </c>
      <c r="E79" s="795">
        <f>'5.  2015-2020 LRAM'!AA1124</f>
        <v>0</v>
      </c>
      <c r="F79" s="795">
        <f>'5.  2015-2020 LRAM'!AB1124</f>
        <v>0</v>
      </c>
      <c r="G79" s="795">
        <f>'5.  2015-2020 LRAM'!AC1124</f>
        <v>0</v>
      </c>
      <c r="H79" s="796">
        <f t="shared" si="4"/>
        <v>0</v>
      </c>
      <c r="I79" s="158">
        <f>'5.  2015-2020 LRAM'!AE1124</f>
        <v>0</v>
      </c>
      <c r="J79" s="158">
        <f>'5.  2015-2020 LRAM'!AF1124</f>
        <v>0</v>
      </c>
      <c r="K79" s="158">
        <f>'5.  2015-2020 LRAM'!AG1124</f>
        <v>0</v>
      </c>
      <c r="L79" s="158">
        <f>'5.  2015-2020 LRAM'!AH1124</f>
        <v>0</v>
      </c>
      <c r="M79" s="158">
        <f>'5.  2015-2020 LRAM'!AI1124</f>
        <v>0</v>
      </c>
      <c r="N79" s="158">
        <f>'5.  2015-2020 LRAM'!AJ1124</f>
        <v>0</v>
      </c>
      <c r="O79" s="158">
        <f>'5.  2015-2020 LRAM'!AK1124</f>
        <v>0</v>
      </c>
      <c r="P79" s="158">
        <f>'5.  2015-2020 LRAM'!AL1124</f>
        <v>0</v>
      </c>
      <c r="Q79" s="159">
        <f>SUM(C79:P79)</f>
        <v>0</v>
      </c>
      <c r="T79" s="166"/>
      <c r="U79" s="787"/>
    </row>
    <row r="80" spans="2:31" s="40" customFormat="1" hidden="1">
      <c r="B80" s="156" t="s">
        <v>233</v>
      </c>
      <c r="C80" s="795">
        <f>-'5.  2015-2020 LRAM'!Y1125</f>
        <v>0</v>
      </c>
      <c r="D80" s="795">
        <f>-'5.  2015-2020 LRAM'!Z1125</f>
        <v>0</v>
      </c>
      <c r="E80" s="795">
        <f>-'5.  2015-2020 LRAM'!AA1125</f>
        <v>0</v>
      </c>
      <c r="F80" s="795">
        <f>-'5.  2015-2020 LRAM'!AB1125</f>
        <v>0</v>
      </c>
      <c r="G80" s="795">
        <f>-'5.  2015-2020 LRAM'!AC1125</f>
        <v>0</v>
      </c>
      <c r="H80" s="796">
        <f t="shared" si="4"/>
        <v>0</v>
      </c>
      <c r="I80" s="158">
        <f>-'5.  2015-2020 LRAM'!AE1125</f>
        <v>0</v>
      </c>
      <c r="J80" s="158">
        <f>-'5.  2015-2020 LRAM'!AF1125</f>
        <v>0</v>
      </c>
      <c r="K80" s="158">
        <f>-'5.  2015-2020 LRAM'!AG1125</f>
        <v>0</v>
      </c>
      <c r="L80" s="158">
        <f>-'5.  2015-2020 LRAM'!AH1125</f>
        <v>0</v>
      </c>
      <c r="M80" s="158">
        <f>-'5.  2015-2020 LRAM'!AI1125</f>
        <v>0</v>
      </c>
      <c r="N80" s="158">
        <f>-'5.  2015-2020 LRAM'!AJ1125</f>
        <v>0</v>
      </c>
      <c r="O80" s="158">
        <f>-'5.  2015-2020 LRAM'!AK1125</f>
        <v>0</v>
      </c>
      <c r="P80" s="158">
        <f>-'5.  2015-2020 LRAM'!AL1125</f>
        <v>0</v>
      </c>
      <c r="Q80" s="159">
        <f>SUM(C80:P80)</f>
        <v>0</v>
      </c>
      <c r="R80" s="788"/>
      <c r="T80" s="166"/>
      <c r="U80" s="787"/>
    </row>
    <row r="81" spans="2:21" s="199" customFormat="1" hidden="1">
      <c r="B81" s="759" t="s">
        <v>67</v>
      </c>
      <c r="C81" s="799"/>
      <c r="D81" s="799"/>
      <c r="E81" s="799"/>
      <c r="F81" s="799"/>
      <c r="G81" s="799"/>
      <c r="H81" s="800">
        <f t="shared" si="4"/>
        <v>0</v>
      </c>
      <c r="I81" s="753"/>
      <c r="J81" s="163"/>
      <c r="K81" s="163"/>
      <c r="L81" s="163"/>
      <c r="M81" s="163"/>
      <c r="N81" s="163"/>
      <c r="O81" s="163"/>
      <c r="P81" s="163"/>
      <c r="Q81" s="164"/>
      <c r="T81" s="789"/>
      <c r="U81" s="787"/>
    </row>
    <row r="82" spans="2:21" s="92" customFormat="1" ht="20.25" hidden="1" customHeight="1">
      <c r="B82" s="762" t="s">
        <v>43</v>
      </c>
      <c r="C82" s="795">
        <f>'6.  Carrying Charges'!I102</f>
        <v>182.18716932132187</v>
      </c>
      <c r="D82" s="795">
        <f>'6.  Carrying Charges'!J102</f>
        <v>325.94727677175337</v>
      </c>
      <c r="E82" s="795">
        <f>'6.  Carrying Charges'!K102</f>
        <v>-114.12351077815033</v>
      </c>
      <c r="F82" s="795">
        <f>'6.  Carrying Charges'!L102</f>
        <v>-14.898193566666665</v>
      </c>
      <c r="G82" s="795">
        <f>'6.  Carrying Charges'!M102</f>
        <v>-0.27865896666666667</v>
      </c>
      <c r="H82" s="796">
        <f t="shared" si="4"/>
        <v>378.83408278159152</v>
      </c>
      <c r="I82" s="754">
        <f>'6.  Carrying Charges'!O102</f>
        <v>0</v>
      </c>
      <c r="J82" s="679">
        <f>'6.  Carrying Charges'!P102</f>
        <v>0</v>
      </c>
      <c r="K82" s="679">
        <f>'6.  Carrying Charges'!Q102</f>
        <v>0</v>
      </c>
      <c r="L82" s="679">
        <f>'6.  Carrying Charges'!R102</f>
        <v>0</v>
      </c>
      <c r="M82" s="679">
        <f>'6.  Carrying Charges'!S102</f>
        <v>0</v>
      </c>
      <c r="N82" s="679">
        <f>'6.  Carrying Charges'!T102</f>
        <v>0</v>
      </c>
      <c r="O82" s="679">
        <f>'6.  Carrying Charges'!U102</f>
        <v>0</v>
      </c>
      <c r="P82" s="679">
        <f>'6.  Carrying Charges'!V102</f>
        <v>0</v>
      </c>
      <c r="Q82" s="680">
        <f>SUM(C82:P82)</f>
        <v>757.66816556318304</v>
      </c>
      <c r="T82" s="166"/>
      <c r="U82" s="787"/>
    </row>
    <row r="83" spans="2:21" s="40" customFormat="1" ht="21.75" hidden="1" customHeight="1">
      <c r="B83" s="761" t="s">
        <v>241</v>
      </c>
      <c r="C83" s="801">
        <f>SUM(C52:C80)+C82</f>
        <v>149666.72386209713</v>
      </c>
      <c r="D83" s="801">
        <f t="shared" ref="D83:G83" si="5">SUM(D52:D80)+D82</f>
        <v>190446.74774134945</v>
      </c>
      <c r="E83" s="801">
        <f t="shared" si="5"/>
        <v>-44807.60141434559</v>
      </c>
      <c r="F83" s="801">
        <f t="shared" si="5"/>
        <v>70733.291919485564</v>
      </c>
      <c r="G83" s="801">
        <f t="shared" si="5"/>
        <v>-168.90265896666665</v>
      </c>
      <c r="H83" s="796">
        <f t="shared" si="4"/>
        <v>365870.25944961986</v>
      </c>
      <c r="I83" s="755">
        <f t="shared" ref="I83:P83" si="6">SUM(I52:I69)+I82</f>
        <v>0</v>
      </c>
      <c r="J83" s="623">
        <f t="shared" si="6"/>
        <v>0</v>
      </c>
      <c r="K83" s="623">
        <f t="shared" si="6"/>
        <v>0</v>
      </c>
      <c r="L83" s="623">
        <f t="shared" si="6"/>
        <v>0</v>
      </c>
      <c r="M83" s="623">
        <f t="shared" si="6"/>
        <v>0</v>
      </c>
      <c r="N83" s="623">
        <f t="shared" si="6"/>
        <v>0</v>
      </c>
      <c r="O83" s="623">
        <f t="shared" si="6"/>
        <v>0</v>
      </c>
      <c r="P83" s="623">
        <f t="shared" si="6"/>
        <v>0</v>
      </c>
      <c r="Q83" s="623">
        <f>SUM(Q52:Q69)+Q82</f>
        <v>151038.95720288876</v>
      </c>
      <c r="T83" s="166"/>
      <c r="U83" s="787"/>
    </row>
    <row r="84" spans="2:21" ht="20.25" hidden="1" customHeight="1">
      <c r="B84" s="791" t="s">
        <v>540</v>
      </c>
      <c r="C84" s="802"/>
      <c r="D84" s="802"/>
      <c r="E84" s="802"/>
      <c r="F84" s="802"/>
      <c r="G84" s="802"/>
      <c r="H84" s="803">
        <f t="shared" si="4"/>
        <v>0</v>
      </c>
      <c r="I84" s="771"/>
      <c r="J84" s="771"/>
      <c r="K84" s="771"/>
      <c r="L84" s="771"/>
      <c r="M84" s="771"/>
      <c r="N84" s="771"/>
      <c r="O84" s="771"/>
      <c r="P84" s="771"/>
      <c r="Q84" s="771"/>
      <c r="U84" s="784"/>
    </row>
    <row r="85" spans="2:21" ht="20.25" customHeight="1">
      <c r="B85" s="768" t="s">
        <v>705</v>
      </c>
      <c r="C85" s="804">
        <f>C67+C68</f>
        <v>36136.298047204342</v>
      </c>
      <c r="D85" s="804">
        <f t="shared" ref="D85:H85" si="7">D67+D68</f>
        <v>64650.699524975869</v>
      </c>
      <c r="E85" s="804">
        <f t="shared" si="7"/>
        <v>-22636.06825351742</v>
      </c>
      <c r="F85" s="804">
        <f t="shared" si="7"/>
        <v>-2955.0135999999998</v>
      </c>
      <c r="G85" s="804">
        <f t="shared" si="7"/>
        <v>-55.2712</v>
      </c>
      <c r="H85" s="805">
        <f t="shared" si="7"/>
        <v>75140.644518662797</v>
      </c>
      <c r="I85" s="771"/>
      <c r="J85" s="771"/>
      <c r="K85" s="771"/>
      <c r="L85" s="771"/>
      <c r="M85" s="771"/>
      <c r="N85" s="771"/>
      <c r="O85" s="771"/>
      <c r="P85" s="771"/>
      <c r="Q85" s="771"/>
      <c r="U85" s="784"/>
    </row>
    <row r="86" spans="2:21" ht="20.25" customHeight="1">
      <c r="B86" s="763" t="s">
        <v>43</v>
      </c>
      <c r="C86" s="806">
        <f>'1.  LRAMVA Summary'!D82</f>
        <v>182.18716932132187</v>
      </c>
      <c r="D86" s="806">
        <f>'1.  LRAMVA Summary'!E82</f>
        <v>325.94727677175337</v>
      </c>
      <c r="E86" s="806">
        <f>'1.  LRAMVA Summary'!F82</f>
        <v>-114.12351077815033</v>
      </c>
      <c r="F86" s="806">
        <f>'1.  LRAMVA Summary'!G82</f>
        <v>-14.898193566666665</v>
      </c>
      <c r="G86" s="806">
        <f>'1.  LRAMVA Summary'!H82</f>
        <v>-0.27865896666666667</v>
      </c>
      <c r="H86" s="807">
        <f t="shared" si="4"/>
        <v>378.83408278159152</v>
      </c>
      <c r="I86" s="771"/>
      <c r="J86" s="771"/>
      <c r="K86" s="771"/>
      <c r="L86" s="771"/>
      <c r="M86" s="771"/>
      <c r="N86" s="771"/>
      <c r="O86" s="771"/>
      <c r="P86" s="771"/>
      <c r="Q86" s="771"/>
      <c r="U86" s="784"/>
    </row>
    <row r="87" spans="2:21" ht="20.25" customHeight="1">
      <c r="B87" s="756" t="s">
        <v>26</v>
      </c>
      <c r="C87" s="808">
        <f>C85+C86</f>
        <v>36318.485216525667</v>
      </c>
      <c r="D87" s="808">
        <f t="shared" ref="D87:H87" si="8">D85+D86</f>
        <v>64976.646801747622</v>
      </c>
      <c r="E87" s="808">
        <f t="shared" si="8"/>
        <v>-22750.19176429557</v>
      </c>
      <c r="F87" s="808">
        <f t="shared" si="8"/>
        <v>-2969.9117935666663</v>
      </c>
      <c r="G87" s="808">
        <f t="shared" si="8"/>
        <v>-55.549858966666669</v>
      </c>
      <c r="H87" s="809">
        <f t="shared" si="8"/>
        <v>75519.478601444382</v>
      </c>
      <c r="U87" s="784"/>
    </row>
    <row r="88" spans="2:21" ht="15">
      <c r="D88" s="27"/>
    </row>
    <row r="89" spans="2:21" ht="21" hidden="1" customHeight="1">
      <c r="B89" s="120" t="s">
        <v>541</v>
      </c>
      <c r="E89" s="792"/>
    </row>
    <row r="90" spans="2:21" s="111" customFormat="1" ht="27.75" hidden="1" customHeight="1">
      <c r="B90" s="570" t="s">
        <v>561</v>
      </c>
      <c r="C90" s="793"/>
      <c r="D90" s="794"/>
      <c r="E90" s="793"/>
      <c r="F90" s="793"/>
      <c r="G90" s="793"/>
      <c r="H90" s="793"/>
      <c r="I90" s="793"/>
      <c r="S90" s="773"/>
      <c r="T90" s="773"/>
    </row>
    <row r="91" spans="2:21" ht="11.25" hidden="1" customHeight="1">
      <c r="B91" s="112"/>
    </row>
    <row r="92" spans="2:21" s="562" customFormat="1" ht="25.5" hidden="1" customHeight="1">
      <c r="B92" s="564"/>
      <c r="C92" s="560">
        <v>2012</v>
      </c>
      <c r="D92" s="560">
        <v>2013</v>
      </c>
      <c r="E92" s="560">
        <v>2014</v>
      </c>
      <c r="F92" s="560">
        <v>2015</v>
      </c>
      <c r="G92" s="560">
        <v>2016</v>
      </c>
      <c r="H92" s="560">
        <v>2017</v>
      </c>
      <c r="I92" s="560">
        <v>2018</v>
      </c>
      <c r="J92" s="560">
        <v>2019</v>
      </c>
      <c r="K92" s="560">
        <v>2020</v>
      </c>
      <c r="L92" s="561" t="s">
        <v>26</v>
      </c>
      <c r="S92" s="563"/>
      <c r="T92" s="563"/>
    </row>
    <row r="93" spans="2:21" s="92" customFormat="1" ht="23.25" hidden="1" customHeight="1">
      <c r="B93" s="200">
        <v>2011</v>
      </c>
      <c r="C93" s="556">
        <f>SUM('4.  2011-2014 LRAM'!Y259:AL259)</f>
        <v>9256.729708014409</v>
      </c>
      <c r="D93" s="556">
        <f>SUM('4.  2011-2014 LRAM'!Y388:AL388)</f>
        <v>9690.2931107264467</v>
      </c>
      <c r="E93" s="557">
        <f>SUM('4.  2011-2014 LRAM'!Y517:AL517)</f>
        <v>9851.9720558461122</v>
      </c>
      <c r="F93" s="557">
        <f>SUM('5.  2015-2020 LRAM'!Y199:AL199)</f>
        <v>9389.4754856566033</v>
      </c>
      <c r="G93" s="556">
        <f>SUM('5.  2015-2020 LRAM'!Y382:AL382)</f>
        <v>7925.644270104588</v>
      </c>
      <c r="H93" s="557">
        <f>SUM('5.  2015-2020 LRAM'!Y565:AL565)</f>
        <v>5914.2674687928411</v>
      </c>
      <c r="I93" s="556">
        <f>SUM('5.  2015-2020 LRAM'!Y748:AL748)</f>
        <v>5211.6115828638231</v>
      </c>
      <c r="J93" s="556">
        <f>SUM('5.  2015-2020 LRAM'!Y931:AL931)</f>
        <v>0</v>
      </c>
      <c r="K93" s="556">
        <f>SUM('5.  2015-2020 LRAM'!Y1114:AL1114)</f>
        <v>0</v>
      </c>
      <c r="L93" s="556">
        <f>SUM(C93:K93)</f>
        <v>57239.993682004824</v>
      </c>
      <c r="S93" s="199"/>
      <c r="T93" s="199"/>
    </row>
    <row r="94" spans="2:21" s="92" customFormat="1" ht="23.25" hidden="1" customHeight="1">
      <c r="B94" s="200">
        <v>2012</v>
      </c>
      <c r="C94" s="557">
        <f>SUM('4.  2011-2014 LRAM'!Y260:AL260)</f>
        <v>19092.144128927968</v>
      </c>
      <c r="D94" s="556">
        <f>SUM('4.  2011-2014 LRAM'!Y389:AL389)</f>
        <v>19800.193507441854</v>
      </c>
      <c r="E94" s="557">
        <f>SUM('4.  2011-2014 LRAM'!Y518:AL518)</f>
        <v>22436.908561039458</v>
      </c>
      <c r="F94" s="557">
        <f>SUM('5.  2015-2020 LRAM'!Y200:AL200)</f>
        <v>21100.484744945374</v>
      </c>
      <c r="G94" s="556">
        <f>SUM('5.  2015-2020 LRAM'!Y383:AL383)</f>
        <v>20618.192450250866</v>
      </c>
      <c r="H94" s="557">
        <f>SUM('5.  2015-2020 LRAM'!Y566:AL566)</f>
        <v>18267.061270741797</v>
      </c>
      <c r="I94" s="556">
        <f>SUM('5.  2015-2020 LRAM'!Y749:AL749)</f>
        <v>17550.130990760834</v>
      </c>
      <c r="J94" s="556">
        <f>SUM('5.  2015-2020 LRAM'!Y932:AL932)</f>
        <v>0</v>
      </c>
      <c r="K94" s="556">
        <f>SUM('5.  2015-2020 LRAM'!Y1115:AL1115)</f>
        <v>0</v>
      </c>
      <c r="L94" s="556">
        <f>SUM(C94:K94)</f>
        <v>138865.11565410814</v>
      </c>
      <c r="S94" s="199"/>
      <c r="T94" s="199"/>
    </row>
    <row r="95" spans="2:21" s="92" customFormat="1" ht="23.25" hidden="1" customHeight="1">
      <c r="B95" s="200">
        <v>2013</v>
      </c>
      <c r="C95" s="559"/>
      <c r="D95" s="557">
        <f>SUM('4.  2011-2014 LRAM'!Y390:AL390)</f>
        <v>19458.491601667793</v>
      </c>
      <c r="E95" s="557">
        <f>SUM('4.  2011-2014 LRAM'!Y519:AL519)</f>
        <v>21869.118430028284</v>
      </c>
      <c r="F95" s="557">
        <f>SUM('5.  2015-2020 LRAM'!Y201:AL201)</f>
        <v>21667.034881278854</v>
      </c>
      <c r="G95" s="556">
        <f>SUM('5.  2015-2020 LRAM'!Y384:AL384)</f>
        <v>20088.031335389078</v>
      </c>
      <c r="H95" s="557">
        <f>SUM('5.  2015-2020 LRAM'!Y567:AL567)</f>
        <v>17925.777483748894</v>
      </c>
      <c r="I95" s="556">
        <f>SUM('5.  2015-2020 LRAM'!Y750:AL750)</f>
        <v>17140.138383714562</v>
      </c>
      <c r="J95" s="556">
        <f>SUM('5.  2015-2020 LRAM'!Y933:AL933)</f>
        <v>0</v>
      </c>
      <c r="K95" s="556">
        <f>SUM('5.  2015-2020 LRAM'!Y1116:AL1116)</f>
        <v>0</v>
      </c>
      <c r="L95" s="556">
        <f>SUM(C95:K95)</f>
        <v>118148.59211582749</v>
      </c>
      <c r="S95" s="199"/>
      <c r="T95" s="199"/>
    </row>
    <row r="96" spans="2:21" s="92" customFormat="1" ht="23.25" hidden="1" customHeight="1">
      <c r="B96" s="200">
        <v>2014</v>
      </c>
      <c r="C96" s="559"/>
      <c r="D96" s="559"/>
      <c r="E96" s="557">
        <f>SUM('4.  2011-2014 LRAM'!Y520:AL520)</f>
        <v>33623.917604630478</v>
      </c>
      <c r="F96" s="557">
        <f>SUM('5.  2015-2020 LRAM'!Y202:AL202)</f>
        <v>32616.644552784208</v>
      </c>
      <c r="G96" s="556">
        <f>SUM('5.  2015-2020 LRAM'!Y385:AL385)</f>
        <v>26428.348103604498</v>
      </c>
      <c r="H96" s="557">
        <f>SUM('5.  2015-2020 LRAM'!Y568:AL568)</f>
        <v>23074.955225433245</v>
      </c>
      <c r="I96" s="556">
        <f>SUM('5.  2015-2020 LRAM'!Y751:AL751)</f>
        <v>18855.333538309082</v>
      </c>
      <c r="J96" s="556">
        <f>SUM('5.  2015-2020 LRAM'!Y934:AL934)</f>
        <v>0</v>
      </c>
      <c r="K96" s="556">
        <f>SUM('5.  2015-2020 LRAM'!Y1117:AL1117)</f>
        <v>0</v>
      </c>
      <c r="L96" s="556">
        <f>SUM(E96:K96)</f>
        <v>134599.1990247615</v>
      </c>
      <c r="S96" s="199"/>
      <c r="T96" s="199"/>
    </row>
    <row r="97" spans="2:20" s="92" customFormat="1" ht="23.25" hidden="1" customHeight="1">
      <c r="B97" s="200">
        <v>2015</v>
      </c>
      <c r="C97" s="559"/>
      <c r="D97" s="559"/>
      <c r="E97" s="559"/>
      <c r="F97" s="557">
        <f>SUM('5.  2015-2020 LRAM'!Y203:AL203)</f>
        <v>28394.941169135556</v>
      </c>
      <c r="G97" s="556">
        <f>SUM('5.  2015-2020 LRAM'!Y386:AL386)</f>
        <v>26531.144840803423</v>
      </c>
      <c r="H97" s="557">
        <f>SUM('5.  2015-2020 LRAM'!Y569:AL569)</f>
        <v>23572.84253570397</v>
      </c>
      <c r="I97" s="556">
        <f>SUM('5.  2015-2020 LRAM'!Y752:AL752)</f>
        <v>20909.74330085731</v>
      </c>
      <c r="J97" s="556">
        <f>SUM('5.  2015-2020 LRAM'!Y935:AL935)</f>
        <v>0</v>
      </c>
      <c r="K97" s="556">
        <f>SUM('5.  2015-2020 LRAM'!Y1118:AL1118)</f>
        <v>0</v>
      </c>
      <c r="L97" s="556">
        <f>SUM(F97:K97)</f>
        <v>99408.671846500263</v>
      </c>
      <c r="S97" s="199"/>
      <c r="T97" s="199"/>
    </row>
    <row r="98" spans="2:20" s="92" customFormat="1" ht="23.25" hidden="1" customHeight="1">
      <c r="B98" s="200">
        <v>2016</v>
      </c>
      <c r="C98" s="559"/>
      <c r="D98" s="559"/>
      <c r="E98" s="559"/>
      <c r="F98" s="559"/>
      <c r="G98" s="556">
        <f>SUM('5.  2015-2020 LRAM'!Y387:AL387)</f>
        <v>41097.406118510335</v>
      </c>
      <c r="H98" s="557">
        <f>SUM('5.  2015-2020 LRAM'!Y570:AL570)</f>
        <v>28561.677106211588</v>
      </c>
      <c r="I98" s="556">
        <f>SUM('5.  2015-2020 LRAM'!Y753:AL753)</f>
        <v>21064.929317273825</v>
      </c>
      <c r="J98" s="556">
        <f>SUM('5.  2015-2020 LRAM'!Y936:AL936)</f>
        <v>0</v>
      </c>
      <c r="K98" s="556">
        <f>SUM('5.  2015-2020 LRAM'!Y1119:AL1119)</f>
        <v>0</v>
      </c>
      <c r="L98" s="556">
        <f>SUM(G98:K98)</f>
        <v>90724.012541995748</v>
      </c>
      <c r="S98" s="199"/>
      <c r="T98" s="199"/>
    </row>
    <row r="99" spans="2:20" s="92" customFormat="1" ht="23.25" hidden="1" customHeight="1">
      <c r="B99" s="200">
        <v>2017</v>
      </c>
      <c r="C99" s="559"/>
      <c r="D99" s="559"/>
      <c r="E99" s="559"/>
      <c r="F99" s="559"/>
      <c r="G99" s="559"/>
      <c r="H99" s="556">
        <f>SUM('5.  2015-2020 LRAM'!Y571:AL571)</f>
        <v>104640.22467515952</v>
      </c>
      <c r="I99" s="556">
        <f>SUM('5.  2015-2020 LRAM'!Y754:AL754)</f>
        <v>80587.283146155169</v>
      </c>
      <c r="J99" s="556">
        <f>SUM('5.  2015-2020 LRAM'!Y937:AL937)</f>
        <v>0</v>
      </c>
      <c r="K99" s="556">
        <f>SUM('5.  2015-2020 LRAM'!Y1120:AL1120)</f>
        <v>0</v>
      </c>
      <c r="L99" s="556">
        <f>SUM(H99:K99)</f>
        <v>185227.50782131468</v>
      </c>
      <c r="S99" s="199"/>
      <c r="T99" s="199"/>
    </row>
    <row r="100" spans="2:20" s="92" customFormat="1" ht="23.25" hidden="1" customHeight="1">
      <c r="B100" s="200">
        <v>2018</v>
      </c>
      <c r="C100" s="559"/>
      <c r="D100" s="559"/>
      <c r="E100" s="559"/>
      <c r="F100" s="559"/>
      <c r="G100" s="559"/>
      <c r="H100" s="559"/>
      <c r="I100" s="556">
        <f>SUM('5.  2015-2020 LRAM'!Y755:AL755)</f>
        <v>4815.6126224489599</v>
      </c>
      <c r="J100" s="556">
        <f>SUM('5.  2015-2020 LRAM'!Y938:AL938)</f>
        <v>0</v>
      </c>
      <c r="K100" s="556">
        <f>SUM('5.  2015-2020 LRAM'!Y1121:AL1121)</f>
        <v>0</v>
      </c>
      <c r="L100" s="556">
        <f>SUM(I100:K100)</f>
        <v>4815.6126224489599</v>
      </c>
      <c r="S100" s="199"/>
      <c r="T100" s="199"/>
    </row>
    <row r="101" spans="2:20" s="92" customFormat="1" ht="23.25" hidden="1" customHeight="1">
      <c r="B101" s="200">
        <v>2019</v>
      </c>
      <c r="C101" s="559"/>
      <c r="D101" s="559"/>
      <c r="E101" s="559"/>
      <c r="F101" s="559"/>
      <c r="G101" s="559"/>
      <c r="H101" s="559"/>
      <c r="I101" s="559"/>
      <c r="J101" s="556">
        <f>SUM('5.  2015-2020 LRAM'!Y939:AL939)</f>
        <v>0</v>
      </c>
      <c r="K101" s="556">
        <f>SUM('5.  2015-2020 LRAM'!Y1122:AL1122)</f>
        <v>0</v>
      </c>
      <c r="L101" s="556">
        <f>SUM(J101:K101)</f>
        <v>0</v>
      </c>
      <c r="S101" s="199"/>
      <c r="T101" s="199"/>
    </row>
    <row r="102" spans="2:20" s="92" customFormat="1" ht="23.25" hidden="1" customHeight="1">
      <c r="B102" s="200">
        <v>2020</v>
      </c>
      <c r="C102" s="559"/>
      <c r="D102" s="559"/>
      <c r="E102" s="559"/>
      <c r="F102" s="559"/>
      <c r="G102" s="559"/>
      <c r="H102" s="559"/>
      <c r="I102" s="559"/>
      <c r="J102" s="559"/>
      <c r="K102" s="558">
        <f>SUM('5.  2015-2020 LRAM'!Y1123:AL1123)</f>
        <v>0</v>
      </c>
      <c r="L102" s="558">
        <f>K102</f>
        <v>0</v>
      </c>
      <c r="S102" s="199"/>
      <c r="T102" s="199"/>
    </row>
    <row r="103" spans="2:20" s="198" customFormat="1" ht="24" hidden="1" customHeight="1">
      <c r="B103" s="571" t="s">
        <v>523</v>
      </c>
      <c r="C103" s="556">
        <f>C93+C94</f>
        <v>28348.873836942377</v>
      </c>
      <c r="D103" s="556">
        <f>D93+D94+D95</f>
        <v>48948.978219836092</v>
      </c>
      <c r="E103" s="556">
        <f>E93+E94+E95+E96</f>
        <v>87781.916651544336</v>
      </c>
      <c r="F103" s="556">
        <f>F93+F94+F95+F96+F97</f>
        <v>113168.5808338006</v>
      </c>
      <c r="G103" s="556">
        <f>G93+G94+G95+G96+G97+G98</f>
        <v>142688.76711866277</v>
      </c>
      <c r="H103" s="556">
        <f>H93+H94+H95+H96+H97+H98+H99</f>
        <v>221956.80576579185</v>
      </c>
      <c r="I103" s="556">
        <f>I93+I94+I95+I96+I97+I98+I99+I100</f>
        <v>186134.78288238359</v>
      </c>
      <c r="J103" s="556">
        <f>J93+J94+J95+J96+J97+J98+J99+J100+J101</f>
        <v>0</v>
      </c>
      <c r="K103" s="556">
        <f>SUM(K93:K102)</f>
        <v>0</v>
      </c>
      <c r="L103" s="556">
        <f>SUM(L93:L102)</f>
        <v>829028.70530896168</v>
      </c>
      <c r="S103" s="201"/>
      <c r="T103" s="201"/>
    </row>
    <row r="104" spans="2:20" ht="24.75" hidden="1" customHeight="1">
      <c r="B104" s="572" t="s">
        <v>522</v>
      </c>
      <c r="C104" s="554">
        <f>'4.  2011-2014 LRAM'!AM262</f>
        <v>0</v>
      </c>
      <c r="D104" s="554">
        <f>'4.  2011-2014 LRAM'!AM392</f>
        <v>61929.956399999995</v>
      </c>
      <c r="E104" s="554">
        <f>'4.  2011-2014 LRAM'!AM522</f>
        <v>69920.1446</v>
      </c>
      <c r="F104" s="554">
        <f>'5.  2015-2020 LRAM'!AM205</f>
        <v>70517.137900000002</v>
      </c>
      <c r="G104" s="554">
        <f>'5.  2015-2020 LRAM'!AM389</f>
        <v>67548.122600000002</v>
      </c>
      <c r="H104" s="554">
        <f>'5.  2015-2020 LRAM'!AM573</f>
        <v>61939.65159999999</v>
      </c>
      <c r="I104" s="554">
        <f>'5.  2015-2020 LRAM'!AM757</f>
        <v>55801.156200000005</v>
      </c>
      <c r="J104" s="554">
        <f>'5.  2015-2020 LRAM'!AM941</f>
        <v>0</v>
      </c>
      <c r="K104" s="554">
        <f>'5.  2015-2020 LRAM'!AM1125</f>
        <v>0</v>
      </c>
      <c r="L104" s="556">
        <f>SUM(C104:K104)</f>
        <v>387656.16930000001</v>
      </c>
    </row>
    <row r="105" spans="2:20" ht="24.75" hidden="1" customHeight="1">
      <c r="B105" s="572" t="s">
        <v>43</v>
      </c>
      <c r="C105" s="554">
        <f>'6.  Carrying Charges'!W42</f>
        <v>0</v>
      </c>
      <c r="D105" s="554">
        <f>'6.  Carrying Charges'!W57</f>
        <v>0</v>
      </c>
      <c r="E105" s="554">
        <f>'6.  Carrying Charges'!W72</f>
        <v>0</v>
      </c>
      <c r="F105" s="554">
        <f>'6.  Carrying Charges'!W87</f>
        <v>0</v>
      </c>
      <c r="G105" s="554">
        <f>'6.  Carrying Charges'!W102</f>
        <v>378.83408278159152</v>
      </c>
      <c r="H105" s="554">
        <f>'6.  Carrying Charges'!W117</f>
        <v>1280.521817005545</v>
      </c>
      <c r="I105" s="554">
        <f>'6.  Carrying Charges'!W132</f>
        <v>2680.0163211656404</v>
      </c>
      <c r="J105" s="554">
        <f>'6.  Carrying Charges'!W147</f>
        <v>3495.2923141931328</v>
      </c>
      <c r="K105" s="554">
        <f>'6.  Carrying Charges'!W162</f>
        <v>3495.2923141931328</v>
      </c>
      <c r="L105" s="556">
        <f>SUM(C105:K105)</f>
        <v>11329.956849339043</v>
      </c>
    </row>
    <row r="106" spans="2:20" ht="23.25" hidden="1" customHeight="1">
      <c r="B106" s="571" t="s">
        <v>26</v>
      </c>
      <c r="C106" s="554">
        <f t="shared" ref="C106:I106" si="9">C103-C104+C105</f>
        <v>28348.873836942377</v>
      </c>
      <c r="D106" s="554">
        <f t="shared" si="9"/>
        <v>-12980.978180163904</v>
      </c>
      <c r="E106" s="554">
        <f t="shared" si="9"/>
        <v>17861.772051544336</v>
      </c>
      <c r="F106" s="554">
        <f t="shared" si="9"/>
        <v>42651.442933800601</v>
      </c>
      <c r="G106" s="554">
        <f t="shared" si="9"/>
        <v>75519.478601444353</v>
      </c>
      <c r="H106" s="554">
        <f t="shared" si="9"/>
        <v>161297.6759827974</v>
      </c>
      <c r="I106" s="554">
        <f t="shared" si="9"/>
        <v>133013.64300354922</v>
      </c>
      <c r="J106" s="554">
        <f>J103-J104+J105</f>
        <v>3495.2923141931328</v>
      </c>
      <c r="K106" s="554">
        <f>K103-K104+K105</f>
        <v>3495.2923141931328</v>
      </c>
      <c r="L106" s="554">
        <f>L103-L104+L105</f>
        <v>452702.49285830074</v>
      </c>
    </row>
    <row r="107" spans="2:20" hidden="1"/>
    <row r="108" spans="2:20" hidden="1">
      <c r="B108" s="792" t="s">
        <v>530</v>
      </c>
    </row>
  </sheetData>
  <mergeCells count="4">
    <mergeCell ref="B47:K47"/>
    <mergeCell ref="B48:K48"/>
    <mergeCell ref="B46:K46"/>
    <mergeCell ref="B24:F24"/>
  </mergeCells>
  <hyperlinks>
    <hyperlink ref="B82" location="'6.  Carrying Charges'!A1" display="Carrying Charges"/>
    <hyperlink ref="B108" location="'1.  LRAMVA Summary'!A1" display="Return to top"/>
  </hyperlinks>
  <pageMargins left="0.7" right="0.7" top="0.75" bottom="0.75" header="0.3" footer="0.3"/>
  <pageSetup orientation="portrait" horizontalDpi="1200" verticalDpi="1200" r:id="rId1"/>
  <ignoredErrors>
    <ignoredError sqref="H8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4275" r:id="rId4" name="Check Box 3">
              <controlPr defaultSize="0" autoFill="0" autoLine="0" autoPict="0">
                <anchor moveWithCells="1">
                  <from>
                    <xdr:col>1</xdr:col>
                    <xdr:colOff>1876425</xdr:colOff>
                    <xdr:row>115</xdr:row>
                    <xdr:rowOff>0</xdr:rowOff>
                  </from>
                  <to>
                    <xdr:col>2</xdr:col>
                    <xdr:colOff>428625</xdr:colOff>
                    <xdr:row>116</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106"/>
  <sheetViews>
    <sheetView topLeftCell="A7" zoomScale="90" zoomScaleNormal="90" workbookViewId="0">
      <selection activeCell="C21" sqref="C21"/>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hidden="1" customWidth="1"/>
    <col min="10" max="10" width="22" style="9" hidden="1"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hidden="1" customWidth="1"/>
    <col min="19" max="19" width="17.140625" style="9" hidden="1" customWidth="1"/>
    <col min="20" max="20" width="13.7109375" style="8" hidden="1" customWidth="1"/>
    <col min="21" max="21" width="6.28515625" style="8" hidden="1" customWidth="1"/>
    <col min="22" max="22" width="13.5703125" style="9" hidden="1" customWidth="1"/>
    <col min="23" max="23" width="15.28515625" style="9" hidden="1" customWidth="1"/>
    <col min="24" max="25" width="9.140625" style="9"/>
    <col min="26" max="27" width="12" style="9" hidden="1" customWidth="1"/>
    <col min="28" max="28" width="12.7109375" style="9" hidden="1" customWidth="1"/>
    <col min="29" max="29" width="12.28515625" style="9" hidden="1" customWidth="1"/>
    <col min="30" max="30" width="19.7109375" style="9" hidden="1" customWidth="1"/>
    <col min="31" max="31" width="0" style="9" hidden="1" customWidth="1"/>
    <col min="32"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555</v>
      </c>
      <c r="D6" s="17"/>
      <c r="E6" s="9"/>
      <c r="T6" s="9"/>
      <c r="V6" s="8"/>
    </row>
    <row r="7" spans="2:22" ht="21" customHeight="1">
      <c r="B7" s="537"/>
      <c r="C7" s="17"/>
      <c r="D7" s="17"/>
      <c r="E7" s="9"/>
      <c r="T7" s="9"/>
      <c r="V7" s="8"/>
    </row>
    <row r="8" spans="2:22" ht="24.75" customHeight="1">
      <c r="B8" s="119" t="s">
        <v>240</v>
      </c>
      <c r="C8" s="191" t="s">
        <v>708</v>
      </c>
      <c r="D8" s="601"/>
      <c r="E8" s="9"/>
      <c r="T8" s="9"/>
      <c r="V8" s="8"/>
    </row>
    <row r="9" spans="2:22" ht="41.25" customHeight="1">
      <c r="B9" s="551" t="s">
        <v>524</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560</v>
      </c>
      <c r="C11" s="567"/>
      <c r="D11" s="567"/>
      <c r="E11" s="567"/>
      <c r="F11" s="567"/>
      <c r="G11" s="567"/>
      <c r="H11" s="567"/>
      <c r="T11" s="550"/>
      <c r="U11" s="550"/>
    </row>
    <row r="12" spans="2:22" s="32" customFormat="1" ht="18.75" customHeight="1">
      <c r="B12" s="544"/>
      <c r="T12" s="188"/>
      <c r="U12" s="188"/>
    </row>
    <row r="13" spans="2:22" s="32" customFormat="1" ht="22.5" customHeight="1" thickBot="1">
      <c r="B13" s="187" t="s">
        <v>512</v>
      </c>
      <c r="C13" s="17"/>
      <c r="F13" s="187" t="s">
        <v>513</v>
      </c>
      <c r="G13" s="36"/>
      <c r="H13" s="31"/>
      <c r="I13" s="9"/>
      <c r="J13" s="186" t="s">
        <v>510</v>
      </c>
      <c r="N13" s="105"/>
      <c r="P13" s="9"/>
      <c r="Q13" s="189"/>
      <c r="R13" s="42"/>
      <c r="T13" s="188"/>
      <c r="U13" s="188"/>
    </row>
    <row r="14" spans="2:22" ht="29.25" customHeight="1" thickBot="1">
      <c r="B14" s="126" t="s">
        <v>551</v>
      </c>
      <c r="D14" s="814" t="s">
        <v>706</v>
      </c>
      <c r="E14" s="132"/>
      <c r="F14" s="126" t="s">
        <v>552</v>
      </c>
      <c r="H14" s="542" t="s">
        <v>694</v>
      </c>
      <c r="J14" s="126" t="s">
        <v>519</v>
      </c>
      <c r="L14" s="134"/>
      <c r="N14" s="105"/>
      <c r="Q14" s="101"/>
      <c r="R14" s="98"/>
    </row>
    <row r="15" spans="2:22" ht="26.25" customHeight="1" thickBot="1">
      <c r="B15" s="126" t="s">
        <v>427</v>
      </c>
      <c r="C15" s="108"/>
      <c r="D15" s="814" t="s">
        <v>709</v>
      </c>
      <c r="F15" s="126" t="s">
        <v>417</v>
      </c>
      <c r="G15" s="129"/>
      <c r="H15" s="542" t="s">
        <v>685</v>
      </c>
      <c r="I15" s="17"/>
      <c r="J15" s="126" t="s">
        <v>520</v>
      </c>
      <c r="L15" s="134"/>
      <c r="M15" s="105"/>
      <c r="Q15" s="110"/>
      <c r="R15" s="98"/>
    </row>
    <row r="16" spans="2:22" ht="28.5" customHeight="1" thickBot="1">
      <c r="B16" s="126" t="s">
        <v>457</v>
      </c>
      <c r="C16" s="108"/>
      <c r="D16" s="815" t="s">
        <v>707</v>
      </c>
      <c r="E16" s="105"/>
      <c r="F16" s="126" t="s">
        <v>437</v>
      </c>
      <c r="G16" s="127"/>
      <c r="H16" s="543" t="s">
        <v>182</v>
      </c>
      <c r="I16" s="105"/>
      <c r="K16" s="197"/>
      <c r="L16" s="197"/>
      <c r="M16" s="197"/>
      <c r="N16" s="197"/>
      <c r="Q16" s="117"/>
      <c r="R16" s="98"/>
    </row>
    <row r="17" spans="1:21" ht="29.25" customHeight="1" thickBot="1">
      <c r="B17" s="126" t="s">
        <v>424</v>
      </c>
      <c r="C17" s="108"/>
      <c r="D17" s="813">
        <v>54719.842225467823</v>
      </c>
      <c r="E17" s="123"/>
      <c r="F17" s="126" t="s">
        <v>438</v>
      </c>
      <c r="G17" s="603" t="s">
        <v>365</v>
      </c>
      <c r="H17" s="244">
        <f>SUM(R52,R55,R58,R61,R64,R67)</f>
        <v>142688.7671186628</v>
      </c>
      <c r="I17" s="17"/>
      <c r="K17" s="197"/>
      <c r="L17" s="197"/>
      <c r="M17" s="197"/>
      <c r="N17" s="197"/>
      <c r="P17" s="101"/>
      <c r="Q17" s="101"/>
      <c r="R17" s="98"/>
    </row>
    <row r="18" spans="1:21" ht="27.75" customHeight="1" thickBot="1">
      <c r="E18" s="9"/>
      <c r="F18" s="126" t="s">
        <v>439</v>
      </c>
      <c r="G18" s="603" t="s">
        <v>366</v>
      </c>
      <c r="H18" s="133">
        <f>-SUM(R53,R56,R59,R62,R65,R68)</f>
        <v>67548.122600000002</v>
      </c>
      <c r="I18" s="17"/>
      <c r="J18" s="117"/>
      <c r="K18" s="117"/>
      <c r="L18" s="117"/>
      <c r="M18" s="117"/>
      <c r="N18" s="117"/>
      <c r="P18" s="117"/>
      <c r="Q18" s="117"/>
      <c r="R18" s="98"/>
    </row>
    <row r="19" spans="1:21" ht="27.75" customHeight="1" thickBot="1">
      <c r="E19" s="9"/>
      <c r="F19" s="126" t="s">
        <v>411</v>
      </c>
      <c r="G19" s="603" t="s">
        <v>367</v>
      </c>
      <c r="H19" s="190">
        <f>R82</f>
        <v>378.83408278159152</v>
      </c>
      <c r="I19" s="17"/>
      <c r="J19" s="117"/>
      <c r="P19" s="117"/>
      <c r="Q19" s="117"/>
      <c r="R19" s="98"/>
    </row>
    <row r="20" spans="1:21" ht="27.75" customHeight="1">
      <c r="C20" s="32"/>
      <c r="D20" s="32"/>
      <c r="E20" s="32"/>
      <c r="F20" s="126" t="s">
        <v>514</v>
      </c>
      <c r="G20" s="603" t="s">
        <v>452</v>
      </c>
      <c r="H20" s="190">
        <f>H17-H18+H19</f>
        <v>75519.478601444382</v>
      </c>
      <c r="I20" s="105"/>
      <c r="P20" s="117"/>
      <c r="Q20" s="117"/>
      <c r="R20" s="98"/>
    </row>
    <row r="21" spans="1:21" ht="22.5" customHeight="1">
      <c r="A21" s="28"/>
      <c r="E21" s="9"/>
    </row>
    <row r="22" spans="1:21" ht="13.5" customHeight="1">
      <c r="A22" s="28"/>
      <c r="B22" s="120" t="s">
        <v>422</v>
      </c>
      <c r="C22" s="35"/>
      <c r="E22" s="9"/>
    </row>
    <row r="23" spans="1:21" ht="13.5" customHeight="1">
      <c r="A23" s="28"/>
      <c r="B23" s="120"/>
      <c r="C23" s="35"/>
      <c r="E23" s="9"/>
    </row>
    <row r="24" spans="1:21" ht="138" customHeight="1">
      <c r="A24" s="28"/>
      <c r="B24" s="841" t="s">
        <v>641</v>
      </c>
      <c r="C24" s="841"/>
      <c r="D24" s="841"/>
      <c r="E24" s="841"/>
      <c r="F24" s="841"/>
      <c r="G24" s="841"/>
    </row>
    <row r="25" spans="1:21" ht="14.25" customHeight="1">
      <c r="A25" s="28"/>
      <c r="B25" s="548"/>
      <c r="C25" s="548"/>
      <c r="D25" s="538"/>
      <c r="E25" s="538"/>
      <c r="F25" s="538"/>
      <c r="G25" s="548"/>
    </row>
    <row r="26" spans="1:21" s="17" customFormat="1" ht="27" customHeight="1">
      <c r="B26" s="846" t="s">
        <v>511</v>
      </c>
      <c r="C26" s="847"/>
      <c r="D26" s="135" t="s">
        <v>41</v>
      </c>
      <c r="E26" s="136" t="s">
        <v>571</v>
      </c>
      <c r="F26" s="136" t="s">
        <v>411</v>
      </c>
      <c r="G26" s="137" t="s">
        <v>412</v>
      </c>
      <c r="T26" s="138"/>
      <c r="U26" s="138"/>
    </row>
    <row r="27" spans="1:21" ht="20.25" customHeight="1">
      <c r="B27" s="842" t="s">
        <v>29</v>
      </c>
      <c r="C27" s="843"/>
      <c r="D27" s="638" t="s">
        <v>27</v>
      </c>
      <c r="E27" s="140">
        <f>SUM(D52:D81)</f>
        <v>36136.298047204342</v>
      </c>
      <c r="F27" s="141">
        <f>D82</f>
        <v>182.18716932132187</v>
      </c>
      <c r="G27" s="140">
        <f>E27+F27</f>
        <v>36318.485216525667</v>
      </c>
    </row>
    <row r="28" spans="1:21" ht="20.25" customHeight="1">
      <c r="B28" s="842" t="s">
        <v>374</v>
      </c>
      <c r="C28" s="843"/>
      <c r="D28" s="638" t="s">
        <v>27</v>
      </c>
      <c r="E28" s="142">
        <f>SUM(E52:E81)</f>
        <v>64650.699524975869</v>
      </c>
      <c r="F28" s="143">
        <f>E82</f>
        <v>325.94727677175337</v>
      </c>
      <c r="G28" s="142">
        <f>E28+F28</f>
        <v>64976.646801747622</v>
      </c>
    </row>
    <row r="29" spans="1:21" ht="20.25" customHeight="1">
      <c r="B29" s="842" t="s">
        <v>375</v>
      </c>
      <c r="C29" s="843"/>
      <c r="D29" s="638" t="s">
        <v>28</v>
      </c>
      <c r="E29" s="142">
        <f>SUM(F52:F81)</f>
        <v>-22636.06825351742</v>
      </c>
      <c r="F29" s="143">
        <f>F82</f>
        <v>-114.12351077815033</v>
      </c>
      <c r="G29" s="142">
        <f t="shared" ref="G29:G30" si="0">E29+F29</f>
        <v>-22750.19176429557</v>
      </c>
    </row>
    <row r="30" spans="1:21" ht="20.25" customHeight="1">
      <c r="B30" s="842" t="s">
        <v>686</v>
      </c>
      <c r="C30" s="843"/>
      <c r="D30" s="638" t="s">
        <v>28</v>
      </c>
      <c r="E30" s="142">
        <f>SUM(G52:G81)</f>
        <v>-2955.0135999999998</v>
      </c>
      <c r="F30" s="143">
        <f>G82</f>
        <v>-14.898193566666665</v>
      </c>
      <c r="G30" s="142">
        <f t="shared" si="0"/>
        <v>-2969.9117935666663</v>
      </c>
    </row>
    <row r="31" spans="1:21" ht="20.25" customHeight="1">
      <c r="B31" s="842" t="s">
        <v>32</v>
      </c>
      <c r="C31" s="843"/>
      <c r="D31" s="638" t="s">
        <v>704</v>
      </c>
      <c r="E31" s="142">
        <f>SUM(H52:H81)</f>
        <v>-55.2712</v>
      </c>
      <c r="F31" s="143">
        <f>H82</f>
        <v>-0.27865896666666667</v>
      </c>
      <c r="G31" s="142">
        <f>E31+F31</f>
        <v>-55.549858966666669</v>
      </c>
    </row>
    <row r="32" spans="1:21" ht="20.25" customHeight="1">
      <c r="B32" s="842"/>
      <c r="C32" s="843"/>
      <c r="D32" s="638"/>
      <c r="E32" s="142">
        <f>SUM(I52:I81)</f>
        <v>0</v>
      </c>
      <c r="F32" s="143">
        <f>I82</f>
        <v>0</v>
      </c>
      <c r="G32" s="142">
        <f t="shared" ref="G32" si="1">E32+F32</f>
        <v>0</v>
      </c>
    </row>
    <row r="33" spans="2:22" ht="20.25" customHeight="1">
      <c r="B33" s="842"/>
      <c r="C33" s="843"/>
      <c r="D33" s="638"/>
      <c r="E33" s="142">
        <f>SUM(J52:J81)</f>
        <v>0</v>
      </c>
      <c r="F33" s="143">
        <f>J82</f>
        <v>0</v>
      </c>
      <c r="G33" s="142">
        <f>E33+F33</f>
        <v>0</v>
      </c>
    </row>
    <row r="34" spans="2:22" ht="20.25" customHeight="1">
      <c r="B34" s="842"/>
      <c r="C34" s="843"/>
      <c r="D34" s="638"/>
      <c r="E34" s="142">
        <f>SUM(K52:K81)</f>
        <v>0</v>
      </c>
      <c r="F34" s="143">
        <f>K82</f>
        <v>0</v>
      </c>
      <c r="G34" s="142">
        <f t="shared" ref="G34:G40" si="2">E34+F34</f>
        <v>0</v>
      </c>
    </row>
    <row r="35" spans="2:22" ht="20.25" customHeight="1">
      <c r="B35" s="842"/>
      <c r="C35" s="843"/>
      <c r="D35" s="638"/>
      <c r="E35" s="142">
        <f>SUM(L52:L81)</f>
        <v>0</v>
      </c>
      <c r="F35" s="143">
        <f>L82</f>
        <v>0</v>
      </c>
      <c r="G35" s="142">
        <f t="shared" si="2"/>
        <v>0</v>
      </c>
    </row>
    <row r="36" spans="2:22" ht="20.25" customHeight="1">
      <c r="B36" s="842"/>
      <c r="C36" s="843"/>
      <c r="D36" s="638"/>
      <c r="E36" s="142">
        <f>SUM(M52:M81)</f>
        <v>0</v>
      </c>
      <c r="F36" s="143">
        <f>M82</f>
        <v>0</v>
      </c>
      <c r="G36" s="142">
        <f t="shared" si="2"/>
        <v>0</v>
      </c>
    </row>
    <row r="37" spans="2:22" ht="20.25" customHeight="1">
      <c r="B37" s="842"/>
      <c r="C37" s="843"/>
      <c r="D37" s="638"/>
      <c r="E37" s="142">
        <f>SUM(N52:N81)</f>
        <v>0</v>
      </c>
      <c r="F37" s="143">
        <f>N82</f>
        <v>0</v>
      </c>
      <c r="G37" s="142">
        <f t="shared" si="2"/>
        <v>0</v>
      </c>
    </row>
    <row r="38" spans="2:22" ht="20.25" customHeight="1">
      <c r="B38" s="842"/>
      <c r="C38" s="843"/>
      <c r="D38" s="638"/>
      <c r="E38" s="142">
        <f>SUM(O52:O81)</f>
        <v>0</v>
      </c>
      <c r="F38" s="143">
        <f>O82</f>
        <v>0</v>
      </c>
      <c r="G38" s="142">
        <f t="shared" si="2"/>
        <v>0</v>
      </c>
    </row>
    <row r="39" spans="2:22" ht="20.25" customHeight="1">
      <c r="B39" s="842"/>
      <c r="C39" s="843"/>
      <c r="D39" s="638"/>
      <c r="E39" s="142">
        <f>SUM(P52:P81)</f>
        <v>0</v>
      </c>
      <c r="F39" s="143">
        <f>P82</f>
        <v>0</v>
      </c>
      <c r="G39" s="142">
        <f t="shared" si="2"/>
        <v>0</v>
      </c>
    </row>
    <row r="40" spans="2:22" ht="20.25" customHeight="1">
      <c r="B40" s="842"/>
      <c r="C40" s="843"/>
      <c r="D40" s="639"/>
      <c r="E40" s="144">
        <f>SUM(Q52:Q81)</f>
        <v>0</v>
      </c>
      <c r="F40" s="145">
        <f>Q82</f>
        <v>0</v>
      </c>
      <c r="G40" s="144">
        <f t="shared" si="2"/>
        <v>0</v>
      </c>
    </row>
    <row r="41" spans="2:22" s="8" customFormat="1" ht="21" customHeight="1">
      <c r="B41" s="844" t="s">
        <v>26</v>
      </c>
      <c r="C41" s="845"/>
      <c r="D41" s="139"/>
      <c r="E41" s="146">
        <f>SUM(E27:E40)</f>
        <v>75140.644518662783</v>
      </c>
      <c r="F41" s="146">
        <f>SUM(F27:F40)</f>
        <v>378.83408278159152</v>
      </c>
      <c r="G41" s="146">
        <f>SUM(G27:G40)</f>
        <v>75519.478601444382</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463</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41" t="s">
        <v>617</v>
      </c>
      <c r="C46" s="841"/>
      <c r="D46" s="841"/>
      <c r="E46" s="841"/>
      <c r="F46" s="841"/>
      <c r="G46" s="841"/>
      <c r="H46" s="841"/>
      <c r="I46" s="841"/>
      <c r="J46" s="841"/>
      <c r="K46" s="841"/>
      <c r="L46" s="841"/>
      <c r="M46" s="617"/>
      <c r="N46" s="107"/>
      <c r="O46" s="107"/>
      <c r="P46" s="107"/>
      <c r="Q46" s="107"/>
      <c r="R46" s="107"/>
      <c r="T46" s="37"/>
      <c r="U46" s="19"/>
      <c r="V46" s="38"/>
    </row>
    <row r="47" spans="2:22" s="28" customFormat="1" ht="48" customHeight="1">
      <c r="B47" s="841" t="s">
        <v>570</v>
      </c>
      <c r="C47" s="841"/>
      <c r="D47" s="841"/>
      <c r="E47" s="841"/>
      <c r="F47" s="841"/>
      <c r="G47" s="841"/>
      <c r="H47" s="841"/>
      <c r="I47" s="841"/>
      <c r="J47" s="841"/>
      <c r="K47" s="841"/>
      <c r="L47" s="841"/>
      <c r="M47" s="617"/>
      <c r="N47" s="107"/>
      <c r="O47" s="107"/>
      <c r="P47" s="107"/>
      <c r="Q47" s="107"/>
      <c r="R47" s="107"/>
      <c r="T47" s="37"/>
      <c r="U47" s="19"/>
      <c r="V47" s="38"/>
    </row>
    <row r="48" spans="2:22" s="28" customFormat="1" ht="26.25" customHeight="1">
      <c r="B48" s="841" t="s">
        <v>626</v>
      </c>
      <c r="C48" s="841"/>
      <c r="D48" s="841"/>
      <c r="E48" s="841"/>
      <c r="F48" s="841"/>
      <c r="G48" s="841"/>
      <c r="H48" s="841"/>
      <c r="I48" s="841"/>
      <c r="J48" s="841"/>
      <c r="K48" s="841"/>
      <c r="L48" s="841"/>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521</v>
      </c>
      <c r="D50" s="137" t="str">
        <f>IF($B27&lt;&gt;"",$B27,"")</f>
        <v>Residential</v>
      </c>
      <c r="E50" s="137" t="str">
        <f>IF($B28&lt;&gt;"",$B28,"")</f>
        <v>GS&lt;50 kW</v>
      </c>
      <c r="F50" s="137" t="str">
        <f>IF($B29&lt;&gt;"",$B29,"")</f>
        <v>GS&gt;50 kW</v>
      </c>
      <c r="G50" s="137" t="str">
        <f>IF($B30&lt;&gt;"",$B30,"")</f>
        <v>Streetlights</v>
      </c>
      <c r="H50" s="137" t="str">
        <f>IF($B31&lt;&gt;"",$B31,"")</f>
        <v>Unmetered Scattered Load</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5"/>
      <c r="C51" s="576"/>
      <c r="D51" s="576" t="str">
        <f>D27</f>
        <v>kWh</v>
      </c>
      <c r="E51" s="576" t="str">
        <f>D28</f>
        <v>kWh</v>
      </c>
      <c r="F51" s="576" t="str">
        <f>D29</f>
        <v>kW</v>
      </c>
      <c r="G51" s="576" t="str">
        <f>D30</f>
        <v>kW</v>
      </c>
      <c r="H51" s="576" t="str">
        <f>D31</f>
        <v>KWh</v>
      </c>
      <c r="I51" s="576">
        <f>D32</f>
        <v>0</v>
      </c>
      <c r="J51" s="576">
        <f>D33</f>
        <v>0</v>
      </c>
      <c r="K51" s="576">
        <f>D34</f>
        <v>0</v>
      </c>
      <c r="L51" s="576">
        <f>D35</f>
        <v>0</v>
      </c>
      <c r="M51" s="576">
        <f>D36</f>
        <v>0</v>
      </c>
      <c r="N51" s="576">
        <f>D37</f>
        <v>0</v>
      </c>
      <c r="O51" s="576">
        <f>D38</f>
        <v>0</v>
      </c>
      <c r="P51" s="576">
        <f>D39</f>
        <v>0</v>
      </c>
      <c r="Q51" s="576">
        <f>D40</f>
        <v>0</v>
      </c>
      <c r="R51" s="577"/>
      <c r="U51" s="149"/>
    </row>
    <row r="52" spans="2:22" s="17" customFormat="1" hidden="1">
      <c r="B52" s="150" t="s">
        <v>143</v>
      </c>
      <c r="C52" s="151"/>
      <c r="D52" s="152"/>
      <c r="E52" s="152"/>
      <c r="F52" s="152"/>
      <c r="G52" s="152"/>
      <c r="H52" s="152"/>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hidden="1">
      <c r="B53" s="156" t="s">
        <v>35</v>
      </c>
      <c r="C53" s="157"/>
      <c r="D53" s="158"/>
      <c r="E53" s="158"/>
      <c r="F53" s="158"/>
      <c r="G53" s="158"/>
      <c r="H53" s="158"/>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hidden="1">
      <c r="B54" s="625" t="s">
        <v>67</v>
      </c>
      <c r="C54" s="621"/>
      <c r="D54" s="162"/>
      <c r="E54" s="162"/>
      <c r="F54" s="162"/>
      <c r="G54" s="162"/>
      <c r="H54" s="162"/>
      <c r="I54" s="162"/>
      <c r="J54" s="162"/>
      <c r="K54" s="163"/>
      <c r="L54" s="163"/>
      <c r="M54" s="163"/>
      <c r="N54" s="163"/>
      <c r="O54" s="163"/>
      <c r="P54" s="163"/>
      <c r="Q54" s="163"/>
      <c r="R54" s="164"/>
      <c r="U54" s="161"/>
      <c r="V54" s="155"/>
    </row>
    <row r="55" spans="2:22" s="17" customFormat="1" hidden="1">
      <c r="B55" s="156" t="s">
        <v>144</v>
      </c>
      <c r="C55" s="157"/>
      <c r="D55" s="158"/>
      <c r="E55" s="158"/>
      <c r="F55" s="158"/>
      <c r="G55" s="158"/>
      <c r="H55" s="158"/>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hidden="1">
      <c r="B56" s="156" t="s">
        <v>36</v>
      </c>
      <c r="C56" s="157"/>
      <c r="D56" s="158"/>
      <c r="E56" s="158"/>
      <c r="F56" s="158"/>
      <c r="G56" s="158"/>
      <c r="H56" s="158"/>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hidden="1">
      <c r="B57" s="625" t="s">
        <v>67</v>
      </c>
      <c r="C57" s="621"/>
      <c r="D57" s="162"/>
      <c r="E57" s="162"/>
      <c r="F57" s="162"/>
      <c r="G57" s="162"/>
      <c r="H57" s="162"/>
      <c r="I57" s="162"/>
      <c r="J57" s="162"/>
      <c r="K57" s="163"/>
      <c r="L57" s="163"/>
      <c r="M57" s="163"/>
      <c r="N57" s="163"/>
      <c r="O57" s="163"/>
      <c r="P57" s="163"/>
      <c r="Q57" s="163"/>
      <c r="R57" s="164"/>
      <c r="U57" s="161"/>
      <c r="V57" s="155"/>
    </row>
    <row r="58" spans="2:22" s="165" customFormat="1" hidden="1">
      <c r="B58" s="156" t="s">
        <v>38</v>
      </c>
      <c r="C58" s="157"/>
      <c r="D58" s="158"/>
      <c r="E58" s="158"/>
      <c r="F58" s="158"/>
      <c r="G58" s="158"/>
      <c r="H58" s="158"/>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hidden="1">
      <c r="B59" s="156" t="s">
        <v>37</v>
      </c>
      <c r="C59" s="157"/>
      <c r="D59" s="158"/>
      <c r="E59" s="158"/>
      <c r="F59" s="158"/>
      <c r="G59" s="158"/>
      <c r="H59" s="158"/>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hidden="1">
      <c r="B60" s="625" t="s">
        <v>67</v>
      </c>
      <c r="C60" s="621"/>
      <c r="D60" s="162"/>
      <c r="E60" s="162"/>
      <c r="F60" s="162"/>
      <c r="G60" s="162"/>
      <c r="H60" s="162"/>
      <c r="I60" s="162"/>
      <c r="J60" s="162"/>
      <c r="K60" s="163"/>
      <c r="L60" s="163"/>
      <c r="M60" s="163"/>
      <c r="N60" s="163"/>
      <c r="O60" s="163"/>
      <c r="P60" s="163"/>
      <c r="Q60" s="163"/>
      <c r="R60" s="164"/>
      <c r="U60" s="161"/>
      <c r="V60" s="155"/>
    </row>
    <row r="61" spans="2:22" s="165" customFormat="1" hidden="1">
      <c r="B61" s="156" t="s">
        <v>40</v>
      </c>
      <c r="C61" s="157"/>
      <c r="D61" s="158"/>
      <c r="E61" s="158"/>
      <c r="F61" s="158"/>
      <c r="G61" s="158"/>
      <c r="H61" s="158"/>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hidden="1">
      <c r="B62" s="156" t="s">
        <v>39</v>
      </c>
      <c r="C62" s="157"/>
      <c r="D62" s="158"/>
      <c r="E62" s="158"/>
      <c r="F62" s="158"/>
      <c r="G62" s="158"/>
      <c r="H62" s="158"/>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hidden="1">
      <c r="B63" s="625" t="s">
        <v>67</v>
      </c>
      <c r="C63" s="621"/>
      <c r="D63" s="162"/>
      <c r="E63" s="162"/>
      <c r="F63" s="162"/>
      <c r="G63" s="162"/>
      <c r="H63" s="162"/>
      <c r="I63" s="162"/>
      <c r="J63" s="162"/>
      <c r="K63" s="163"/>
      <c r="L63" s="163"/>
      <c r="M63" s="163"/>
      <c r="N63" s="163"/>
      <c r="O63" s="163"/>
      <c r="P63" s="163"/>
      <c r="Q63" s="163"/>
      <c r="R63" s="164"/>
      <c r="U63" s="161"/>
      <c r="V63" s="155"/>
    </row>
    <row r="64" spans="2:22" s="165" customFormat="1" hidden="1">
      <c r="B64" s="156" t="s">
        <v>94</v>
      </c>
      <c r="C64" s="535"/>
      <c r="D64" s="166"/>
      <c r="E64" s="166"/>
      <c r="F64" s="166"/>
      <c r="G64" s="166"/>
      <c r="H64" s="166"/>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0</v>
      </c>
      <c r="U64" s="154"/>
      <c r="V64" s="155"/>
    </row>
    <row r="65" spans="2:32" s="165" customFormat="1" hidden="1">
      <c r="B65" s="156" t="s">
        <v>93</v>
      </c>
      <c r="C65" s="157"/>
      <c r="D65" s="166"/>
      <c r="E65" s="166"/>
      <c r="F65" s="166"/>
      <c r="G65" s="166"/>
      <c r="H65" s="166"/>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32" s="138" customFormat="1" hidden="1">
      <c r="B66" s="625" t="s">
        <v>67</v>
      </c>
      <c r="C66" s="621"/>
      <c r="D66" s="162"/>
      <c r="E66" s="162"/>
      <c r="F66" s="162"/>
      <c r="G66" s="162"/>
      <c r="H66" s="162"/>
      <c r="I66" s="162"/>
      <c r="J66" s="162"/>
      <c r="K66" s="163"/>
      <c r="L66" s="163"/>
      <c r="M66" s="163"/>
      <c r="N66" s="163"/>
      <c r="O66" s="163"/>
      <c r="P66" s="163"/>
      <c r="Q66" s="163"/>
      <c r="R66" s="164"/>
      <c r="U66" s="161"/>
      <c r="V66" s="155"/>
      <c r="Z66" s="138" t="s">
        <v>29</v>
      </c>
      <c r="AA66" s="138" t="s">
        <v>374</v>
      </c>
      <c r="AB66" s="138" t="s">
        <v>375</v>
      </c>
      <c r="AC66" s="138" t="s">
        <v>686</v>
      </c>
      <c r="AD66" s="138" t="s">
        <v>32</v>
      </c>
    </row>
    <row r="67" spans="2:32" s="165" customFormat="1">
      <c r="B67" s="156" t="s">
        <v>226</v>
      </c>
      <c r="C67" s="157"/>
      <c r="D67" s="158">
        <f>'5.  2015-2020 LRAM'!Y388</f>
        <v>58866.848747204342</v>
      </c>
      <c r="E67" s="158">
        <f>'5.  2015-2020 LRAM'!Z388</f>
        <v>72090.964024975867</v>
      </c>
      <c r="F67" s="158">
        <f>'5.  2015-2020 LRAM'!AA388</f>
        <v>11730.954346482582</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142688.7671186628</v>
      </c>
      <c r="U67" s="154"/>
      <c r="V67" s="155"/>
      <c r="Z67" s="751">
        <f>D67+D68</f>
        <v>36136.298047204342</v>
      </c>
      <c r="AA67" s="751">
        <f t="shared" ref="AA67:AD67" si="3">E67+E68</f>
        <v>64650.699524975869</v>
      </c>
      <c r="AB67" s="751">
        <f t="shared" si="3"/>
        <v>-22636.06825351742</v>
      </c>
      <c r="AC67" s="751">
        <f t="shared" si="3"/>
        <v>-2955.0135999999998</v>
      </c>
      <c r="AD67" s="751">
        <f t="shared" si="3"/>
        <v>-55.2712</v>
      </c>
      <c r="AE67" s="751"/>
      <c r="AF67" s="751"/>
    </row>
    <row r="68" spans="2:32" s="165" customFormat="1">
      <c r="B68" s="156" t="s">
        <v>225</v>
      </c>
      <c r="C68" s="157"/>
      <c r="D68" s="158">
        <f>-'5.  2015-2020 LRAM'!Y389</f>
        <v>-22730.550699999996</v>
      </c>
      <c r="E68" s="158">
        <f>-'5.  2015-2020 LRAM'!Z389</f>
        <v>-7440.2645000000002</v>
      </c>
      <c r="F68" s="158">
        <f>-'5.  2015-2020 LRAM'!AA389</f>
        <v>-34367.022600000004</v>
      </c>
      <c r="G68" s="158">
        <f>-'5.  2015-2020 LRAM'!AB389</f>
        <v>-2955.0135999999998</v>
      </c>
      <c r="H68" s="158">
        <f>-'5.  2015-2020 LRAM'!AC389</f>
        <v>-55.2712</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-67548.122600000002</v>
      </c>
      <c r="S68" s="160"/>
      <c r="U68" s="154"/>
      <c r="V68" s="155"/>
    </row>
    <row r="69" spans="2:32" s="138" customFormat="1">
      <c r="B69" s="625" t="s">
        <v>67</v>
      </c>
      <c r="C69" s="621"/>
      <c r="D69" s="162"/>
      <c r="E69" s="162"/>
      <c r="F69" s="162"/>
      <c r="G69" s="162"/>
      <c r="H69" s="162"/>
      <c r="I69" s="162"/>
      <c r="J69" s="162"/>
      <c r="K69" s="163"/>
      <c r="L69" s="163"/>
      <c r="M69" s="163"/>
      <c r="N69" s="163"/>
      <c r="O69" s="163"/>
      <c r="P69" s="163"/>
      <c r="Q69" s="163"/>
      <c r="R69" s="164"/>
      <c r="U69" s="161"/>
      <c r="V69" s="155"/>
    </row>
    <row r="70" spans="2:32" s="165" customFormat="1" hidden="1">
      <c r="B70" s="156" t="s">
        <v>228</v>
      </c>
      <c r="C70" s="535"/>
      <c r="D70" s="158"/>
      <c r="E70" s="158"/>
      <c r="F70" s="158"/>
      <c r="G70" s="158"/>
      <c r="H70" s="158"/>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0</v>
      </c>
      <c r="U70" s="154"/>
      <c r="V70" s="155"/>
    </row>
    <row r="71" spans="2:32" s="165" customFormat="1" hidden="1">
      <c r="B71" s="156" t="s">
        <v>227</v>
      </c>
      <c r="C71" s="157"/>
      <c r="D71" s="158"/>
      <c r="E71" s="158"/>
      <c r="F71" s="158"/>
      <c r="G71" s="158"/>
      <c r="H71" s="158"/>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32" s="138" customFormat="1" hidden="1">
      <c r="B72" s="625" t="s">
        <v>67</v>
      </c>
      <c r="C72" s="621"/>
      <c r="D72" s="162"/>
      <c r="E72" s="162"/>
      <c r="F72" s="162"/>
      <c r="G72" s="162"/>
      <c r="H72" s="162"/>
      <c r="I72" s="162"/>
      <c r="J72" s="162"/>
      <c r="K72" s="163"/>
      <c r="L72" s="163"/>
      <c r="M72" s="163"/>
      <c r="N72" s="163"/>
      <c r="O72" s="163"/>
      <c r="P72" s="163"/>
      <c r="Q72" s="163"/>
      <c r="R72" s="164"/>
      <c r="U72" s="161"/>
      <c r="V72" s="155"/>
    </row>
    <row r="73" spans="2:32" s="165" customFormat="1" hidden="1">
      <c r="B73" s="156" t="s">
        <v>230</v>
      </c>
      <c r="C73" s="535"/>
      <c r="D73" s="158"/>
      <c r="E73" s="158"/>
      <c r="F73" s="158"/>
      <c r="G73" s="158"/>
      <c r="H73" s="158"/>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32" s="165" customFormat="1" ht="16.5" hidden="1" customHeight="1">
      <c r="B74" s="156" t="s">
        <v>229</v>
      </c>
      <c r="C74" s="157"/>
      <c r="D74" s="158"/>
      <c r="E74" s="158"/>
      <c r="F74" s="158"/>
      <c r="G74" s="158"/>
      <c r="H74" s="158"/>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32" s="138" customFormat="1" hidden="1">
      <c r="B75" s="625" t="s">
        <v>67</v>
      </c>
      <c r="C75" s="621"/>
      <c r="D75" s="162"/>
      <c r="E75" s="162"/>
      <c r="F75" s="162"/>
      <c r="G75" s="162"/>
      <c r="H75" s="162"/>
      <c r="I75" s="162"/>
      <c r="J75" s="162"/>
      <c r="K75" s="163"/>
      <c r="L75" s="163"/>
      <c r="M75" s="163"/>
      <c r="N75" s="163"/>
      <c r="O75" s="163"/>
      <c r="P75" s="163"/>
      <c r="Q75" s="163"/>
      <c r="R75" s="164"/>
      <c r="U75" s="161"/>
      <c r="V75" s="155"/>
    </row>
    <row r="76" spans="2:3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3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32" s="138" customFormat="1" hidden="1">
      <c r="B78" s="625" t="s">
        <v>67</v>
      </c>
      <c r="C78" s="621"/>
      <c r="D78" s="162"/>
      <c r="E78" s="162"/>
      <c r="F78" s="162"/>
      <c r="G78" s="162"/>
      <c r="H78" s="162"/>
      <c r="I78" s="162"/>
      <c r="J78" s="162"/>
      <c r="K78" s="163"/>
      <c r="L78" s="163"/>
      <c r="M78" s="163"/>
      <c r="N78" s="163"/>
      <c r="O78" s="163"/>
      <c r="P78" s="163"/>
      <c r="Q78" s="163"/>
      <c r="R78" s="164"/>
      <c r="U78" s="161"/>
      <c r="V78" s="155"/>
    </row>
    <row r="79" spans="2:32" s="165" customFormat="1" hidden="1">
      <c r="B79" s="156" t="s">
        <v>234</v>
      </c>
      <c r="C79" s="535"/>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3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5" t="s">
        <v>67</v>
      </c>
      <c r="C81" s="621"/>
      <c r="D81" s="162"/>
      <c r="E81" s="162"/>
      <c r="F81" s="162"/>
      <c r="G81" s="162"/>
      <c r="H81" s="162"/>
      <c r="I81" s="162"/>
      <c r="J81" s="162"/>
      <c r="K81" s="163"/>
      <c r="L81" s="163"/>
      <c r="M81" s="163"/>
      <c r="N81" s="163"/>
      <c r="O81" s="163"/>
      <c r="P81" s="163"/>
      <c r="Q81" s="163"/>
      <c r="R81" s="164"/>
      <c r="U81" s="161"/>
      <c r="V81" s="155"/>
    </row>
    <row r="82" spans="2:22" s="17" customFormat="1" ht="20.25" customHeight="1">
      <c r="B82" s="622" t="s">
        <v>43</v>
      </c>
      <c r="C82" s="621"/>
      <c r="D82" s="679">
        <f>'6.  Carrying Charges'!I102</f>
        <v>182.18716932132187</v>
      </c>
      <c r="E82" s="679">
        <f>'6.  Carrying Charges'!J102</f>
        <v>325.94727677175337</v>
      </c>
      <c r="F82" s="679">
        <f>'6.  Carrying Charges'!K102</f>
        <v>-114.12351077815033</v>
      </c>
      <c r="G82" s="679">
        <f>'6.  Carrying Charges'!L102</f>
        <v>-14.898193566666665</v>
      </c>
      <c r="H82" s="679">
        <f>'6.  Carrying Charges'!M102</f>
        <v>-0.27865896666666667</v>
      </c>
      <c r="I82" s="679">
        <f>'6.  Carrying Charges'!N102</f>
        <v>0</v>
      </c>
      <c r="J82" s="679">
        <f>'6.  Carrying Charges'!O102</f>
        <v>0</v>
      </c>
      <c r="K82" s="679">
        <f>'6.  Carrying Charges'!P102</f>
        <v>0</v>
      </c>
      <c r="L82" s="679">
        <f>'6.  Carrying Charges'!Q102</f>
        <v>0</v>
      </c>
      <c r="M82" s="679">
        <f>'6.  Carrying Charges'!R102</f>
        <v>0</v>
      </c>
      <c r="N82" s="679">
        <f>'6.  Carrying Charges'!S102</f>
        <v>0</v>
      </c>
      <c r="O82" s="679">
        <f>'6.  Carrying Charges'!T102</f>
        <v>0</v>
      </c>
      <c r="P82" s="679">
        <f>'6.  Carrying Charges'!U102</f>
        <v>0</v>
      </c>
      <c r="Q82" s="679">
        <f>'6.  Carrying Charges'!V102</f>
        <v>0</v>
      </c>
      <c r="R82" s="680">
        <f>SUM(D82:Q82)</f>
        <v>378.83408278159152</v>
      </c>
      <c r="U82" s="154"/>
      <c r="V82" s="155"/>
    </row>
    <row r="83" spans="2:22" s="165" customFormat="1" ht="21.75" customHeight="1">
      <c r="B83" s="623" t="s">
        <v>241</v>
      </c>
      <c r="C83" s="624"/>
      <c r="D83" s="623">
        <f>SUM(D52:D80)+D82</f>
        <v>36318.485216525667</v>
      </c>
      <c r="E83" s="623">
        <f t="shared" ref="E83:H83" si="4">SUM(E52:E80)+E82</f>
        <v>64976.646801747622</v>
      </c>
      <c r="F83" s="623">
        <f t="shared" si="4"/>
        <v>-22750.19176429557</v>
      </c>
      <c r="G83" s="623">
        <f t="shared" si="4"/>
        <v>-2969.9117935666663</v>
      </c>
      <c r="H83" s="623">
        <f t="shared" si="4"/>
        <v>-55.549858966666669</v>
      </c>
      <c r="I83" s="623">
        <f t="shared" ref="I83:Q83" si="5">SUM(I52:I69)+I82</f>
        <v>0</v>
      </c>
      <c r="J83" s="623">
        <f t="shared" si="5"/>
        <v>0</v>
      </c>
      <c r="K83" s="623">
        <f t="shared" si="5"/>
        <v>0</v>
      </c>
      <c r="L83" s="623">
        <f t="shared" si="5"/>
        <v>0</v>
      </c>
      <c r="M83" s="623">
        <f t="shared" si="5"/>
        <v>0</v>
      </c>
      <c r="N83" s="623">
        <f t="shared" si="5"/>
        <v>0</v>
      </c>
      <c r="O83" s="623">
        <f t="shared" si="5"/>
        <v>0</v>
      </c>
      <c r="P83" s="623">
        <f t="shared" si="5"/>
        <v>0</v>
      </c>
      <c r="Q83" s="623">
        <f t="shared" si="5"/>
        <v>0</v>
      </c>
      <c r="R83" s="623">
        <f>SUM(R52:R69)+R82</f>
        <v>75519.478601444382</v>
      </c>
      <c r="U83" s="154"/>
      <c r="V83" s="155"/>
    </row>
    <row r="84" spans="2:22" ht="20.25" customHeight="1">
      <c r="B84" s="455" t="s">
        <v>540</v>
      </c>
      <c r="C84" s="602"/>
      <c r="D84" s="601"/>
      <c r="E84" s="601"/>
      <c r="F84" s="601"/>
      <c r="G84" s="601"/>
      <c r="H84" s="601"/>
      <c r="I84" s="601"/>
      <c r="J84" s="601"/>
      <c r="K84" s="601"/>
      <c r="L84" s="601"/>
      <c r="M84" s="601"/>
      <c r="N84" s="601"/>
      <c r="O84" s="601"/>
      <c r="P84" s="601"/>
      <c r="Q84" s="601"/>
      <c r="R84" s="601"/>
      <c r="V84" s="13"/>
    </row>
    <row r="85" spans="2:22" ht="20.25" customHeight="1">
      <c r="B85" s="620"/>
      <c r="C85" s="68"/>
      <c r="E85" s="9"/>
      <c r="V85" s="13"/>
    </row>
    <row r="86" spans="2:22" ht="15">
      <c r="E86" s="9"/>
    </row>
    <row r="87" spans="2:22" ht="21" hidden="1" customHeight="1">
      <c r="B87" s="120" t="s">
        <v>541</v>
      </c>
      <c r="F87" s="589"/>
    </row>
    <row r="88" spans="2:22" s="549" customFormat="1" ht="27.75" hidden="1" customHeight="1">
      <c r="B88" s="570" t="s">
        <v>561</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200">
        <v>2011</v>
      </c>
      <c r="C91" s="555">
        <f>'4.  2011-2014 LRAM'!AM131</f>
        <v>9244.9669652246484</v>
      </c>
      <c r="D91" s="556">
        <f>SUM('4.  2011-2014 LRAM'!Y259:AL259)</f>
        <v>9256.729708014409</v>
      </c>
      <c r="E91" s="556">
        <f>SUM('4.  2011-2014 LRAM'!Y388:AL388)</f>
        <v>9690.2931107264467</v>
      </c>
      <c r="F91" s="557">
        <f>SUM('4.  2011-2014 LRAM'!Y517:AL517)</f>
        <v>9851.9720558461122</v>
      </c>
      <c r="G91" s="557">
        <f>SUM('5.  2015-2020 LRAM'!Y199:AL199)</f>
        <v>9389.4754856566033</v>
      </c>
      <c r="H91" s="556">
        <f>SUM('5.  2015-2020 LRAM'!Y382:AL382)</f>
        <v>7925.644270104588</v>
      </c>
      <c r="I91" s="557">
        <f>SUM('5.  2015-2020 LRAM'!Y565:AL565)</f>
        <v>5914.2674687928411</v>
      </c>
      <c r="J91" s="556">
        <f>SUM('5.  2015-2020 LRAM'!Y748:AL748)</f>
        <v>5211.6115828638231</v>
      </c>
      <c r="K91" s="556">
        <f>SUM('5.  2015-2020 LRAM'!Y931:AL931)</f>
        <v>0</v>
      </c>
      <c r="L91" s="556">
        <f>SUM('5.  2015-2020 LRAM'!Y1114:AL1114)</f>
        <v>0</v>
      </c>
      <c r="M91" s="556">
        <f>SUM(C91:L91)</f>
        <v>66484.960647229469</v>
      </c>
      <c r="T91" s="199"/>
      <c r="U91" s="199"/>
    </row>
    <row r="92" spans="2:22" s="92" customFormat="1" ht="23.25" hidden="1" customHeight="1">
      <c r="B92" s="200">
        <v>2012</v>
      </c>
      <c r="C92" s="558"/>
      <c r="D92" s="557">
        <f>SUM('4.  2011-2014 LRAM'!Y260:AL260)</f>
        <v>19092.144128927968</v>
      </c>
      <c r="E92" s="556">
        <f>SUM('4.  2011-2014 LRAM'!Y389:AL389)</f>
        <v>19800.193507441854</v>
      </c>
      <c r="F92" s="557">
        <f>SUM('4.  2011-2014 LRAM'!Y518:AL518)</f>
        <v>22436.908561039458</v>
      </c>
      <c r="G92" s="557">
        <f>SUM('5.  2015-2020 LRAM'!Y200:AL200)</f>
        <v>21100.484744945374</v>
      </c>
      <c r="H92" s="556">
        <f>SUM('5.  2015-2020 LRAM'!Y383:AL383)</f>
        <v>20618.192450250866</v>
      </c>
      <c r="I92" s="557">
        <f>SUM('5.  2015-2020 LRAM'!Y566:AL566)</f>
        <v>18267.061270741797</v>
      </c>
      <c r="J92" s="556">
        <f>SUM('5.  2015-2020 LRAM'!Y749:AL749)</f>
        <v>17550.130990760834</v>
      </c>
      <c r="K92" s="556">
        <f>SUM('5.  2015-2020 LRAM'!Y932:AL932)</f>
        <v>0</v>
      </c>
      <c r="L92" s="556">
        <f>SUM('5.  2015-2020 LRAM'!Y1115:AL1115)</f>
        <v>0</v>
      </c>
      <c r="M92" s="556">
        <f>SUM(D92:L92)</f>
        <v>138865.11565410814</v>
      </c>
      <c r="T92" s="199"/>
      <c r="U92" s="199"/>
    </row>
    <row r="93" spans="2:22" s="92" customFormat="1" ht="23.25" hidden="1" customHeight="1">
      <c r="B93" s="200">
        <v>2013</v>
      </c>
      <c r="C93" s="559"/>
      <c r="D93" s="559"/>
      <c r="E93" s="557">
        <f>SUM('4.  2011-2014 LRAM'!Y390:AL390)</f>
        <v>19458.491601667793</v>
      </c>
      <c r="F93" s="557">
        <f>SUM('4.  2011-2014 LRAM'!Y519:AL519)</f>
        <v>21869.118430028284</v>
      </c>
      <c r="G93" s="557">
        <f>SUM('5.  2015-2020 LRAM'!Y201:AL201)</f>
        <v>21667.034881278854</v>
      </c>
      <c r="H93" s="556">
        <f>SUM('5.  2015-2020 LRAM'!Y384:AL384)</f>
        <v>20088.031335389078</v>
      </c>
      <c r="I93" s="557">
        <f>SUM('5.  2015-2020 LRAM'!Y567:AL567)</f>
        <v>17925.777483748894</v>
      </c>
      <c r="J93" s="556">
        <f>SUM('5.  2015-2020 LRAM'!Y750:AL750)</f>
        <v>17140.138383714562</v>
      </c>
      <c r="K93" s="556">
        <f>SUM('5.  2015-2020 LRAM'!Y933:AL933)</f>
        <v>0</v>
      </c>
      <c r="L93" s="556">
        <f>SUM('5.  2015-2020 LRAM'!Y1116:AL1116)</f>
        <v>0</v>
      </c>
      <c r="M93" s="556">
        <f>SUM(C93:L93)</f>
        <v>118148.59211582749</v>
      </c>
      <c r="T93" s="199"/>
      <c r="U93" s="199"/>
    </row>
    <row r="94" spans="2:22" s="92" customFormat="1" ht="23.25" hidden="1" customHeight="1">
      <c r="B94" s="200">
        <v>2014</v>
      </c>
      <c r="C94" s="559"/>
      <c r="D94" s="559"/>
      <c r="E94" s="559"/>
      <c r="F94" s="557">
        <f>SUM('4.  2011-2014 LRAM'!Y520:AL520)</f>
        <v>33623.917604630478</v>
      </c>
      <c r="G94" s="557">
        <f>SUM('5.  2015-2020 LRAM'!Y202:AL202)</f>
        <v>32616.644552784208</v>
      </c>
      <c r="H94" s="556">
        <f>SUM('5.  2015-2020 LRAM'!Y385:AL385)</f>
        <v>26428.348103604498</v>
      </c>
      <c r="I94" s="557">
        <f>SUM('5.  2015-2020 LRAM'!Y568:AL568)</f>
        <v>23074.955225433245</v>
      </c>
      <c r="J94" s="556">
        <f>SUM('5.  2015-2020 LRAM'!Y751:AL751)</f>
        <v>18855.333538309082</v>
      </c>
      <c r="K94" s="556">
        <f>SUM('5.  2015-2020 LRAM'!Y934:AL934)</f>
        <v>0</v>
      </c>
      <c r="L94" s="556">
        <f>SUM('5.  2015-2020 LRAM'!Y1117:AL1117)</f>
        <v>0</v>
      </c>
      <c r="M94" s="556">
        <f>SUM(F94:L94)</f>
        <v>134599.1990247615</v>
      </c>
      <c r="T94" s="199"/>
      <c r="U94" s="199"/>
    </row>
    <row r="95" spans="2:22" s="92" customFormat="1" ht="23.25" hidden="1" customHeight="1">
      <c r="B95" s="200">
        <v>2015</v>
      </c>
      <c r="C95" s="559"/>
      <c r="D95" s="559"/>
      <c r="E95" s="559"/>
      <c r="F95" s="559"/>
      <c r="G95" s="557">
        <f>SUM('5.  2015-2020 LRAM'!Y203:AL203)</f>
        <v>28394.941169135556</v>
      </c>
      <c r="H95" s="556">
        <f>SUM('5.  2015-2020 LRAM'!Y386:AL386)</f>
        <v>26531.144840803423</v>
      </c>
      <c r="I95" s="557">
        <f>SUM('5.  2015-2020 LRAM'!Y569:AL569)</f>
        <v>23572.84253570397</v>
      </c>
      <c r="J95" s="556">
        <f>SUM('5.  2015-2020 LRAM'!Y752:AL752)</f>
        <v>20909.74330085731</v>
      </c>
      <c r="K95" s="556">
        <f>SUM('5.  2015-2020 LRAM'!Y935:AL935)</f>
        <v>0</v>
      </c>
      <c r="L95" s="556">
        <f>SUM('5.  2015-2020 LRAM'!Y1118:AL1118)</f>
        <v>0</v>
      </c>
      <c r="M95" s="556">
        <f>SUM(G95:L95)</f>
        <v>99408.671846500263</v>
      </c>
      <c r="T95" s="199"/>
      <c r="U95" s="199"/>
    </row>
    <row r="96" spans="2:22" s="92" customFormat="1" ht="23.25" hidden="1" customHeight="1">
      <c r="B96" s="200">
        <v>2016</v>
      </c>
      <c r="C96" s="559"/>
      <c r="D96" s="559"/>
      <c r="E96" s="559"/>
      <c r="F96" s="559"/>
      <c r="G96" s="559"/>
      <c r="H96" s="556">
        <f>SUM('5.  2015-2020 LRAM'!Y387:AL387)</f>
        <v>41097.406118510335</v>
      </c>
      <c r="I96" s="557">
        <f>SUM('5.  2015-2020 LRAM'!Y570:AL570)</f>
        <v>28561.677106211588</v>
      </c>
      <c r="J96" s="556">
        <f>SUM('5.  2015-2020 LRAM'!Y753:AL753)</f>
        <v>21064.929317273825</v>
      </c>
      <c r="K96" s="556">
        <f>SUM('5.  2015-2020 LRAM'!Y936:AL936)</f>
        <v>0</v>
      </c>
      <c r="L96" s="556">
        <f>SUM('5.  2015-2020 LRAM'!Y1119:AL1119)</f>
        <v>0</v>
      </c>
      <c r="M96" s="556">
        <f>SUM(H96:L96)</f>
        <v>90724.012541995748</v>
      </c>
      <c r="T96" s="199"/>
      <c r="U96" s="199"/>
    </row>
    <row r="97" spans="2:21" s="92" customFormat="1" ht="23.25" hidden="1" customHeight="1">
      <c r="B97" s="200">
        <v>2017</v>
      </c>
      <c r="C97" s="559"/>
      <c r="D97" s="559"/>
      <c r="E97" s="559"/>
      <c r="F97" s="559"/>
      <c r="G97" s="559"/>
      <c r="H97" s="559"/>
      <c r="I97" s="556">
        <f>SUM('5.  2015-2020 LRAM'!Y571:AL571)</f>
        <v>104640.22467515952</v>
      </c>
      <c r="J97" s="556">
        <f>SUM('5.  2015-2020 LRAM'!Y754:AL754)</f>
        <v>80587.283146155169</v>
      </c>
      <c r="K97" s="556">
        <f>SUM('5.  2015-2020 LRAM'!Y937:AL937)</f>
        <v>0</v>
      </c>
      <c r="L97" s="556">
        <f>SUM('5.  2015-2020 LRAM'!Y1120:AL1120)</f>
        <v>0</v>
      </c>
      <c r="M97" s="556">
        <f>SUM(I97:L97)</f>
        <v>185227.50782131468</v>
      </c>
      <c r="T97" s="199"/>
      <c r="U97" s="199"/>
    </row>
    <row r="98" spans="2:21" s="92" customFormat="1" ht="23.25" hidden="1" customHeight="1">
      <c r="B98" s="200">
        <v>2018</v>
      </c>
      <c r="C98" s="559"/>
      <c r="D98" s="559"/>
      <c r="E98" s="559"/>
      <c r="F98" s="559"/>
      <c r="G98" s="559"/>
      <c r="H98" s="559"/>
      <c r="I98" s="559"/>
      <c r="J98" s="556">
        <f>SUM('5.  2015-2020 LRAM'!Y755:AL755)</f>
        <v>4815.6126224489599</v>
      </c>
      <c r="K98" s="556">
        <f>SUM('5.  2015-2020 LRAM'!Y938:AL938)</f>
        <v>0</v>
      </c>
      <c r="L98" s="556">
        <f>SUM('5.  2015-2020 LRAM'!Y1121:AL1121)</f>
        <v>0</v>
      </c>
      <c r="M98" s="556">
        <f>SUM(J98:L98)</f>
        <v>4815.6126224489599</v>
      </c>
      <c r="T98" s="199"/>
      <c r="U98" s="199"/>
    </row>
    <row r="99" spans="2:21" s="92" customFormat="1" ht="23.25" hidden="1" customHeight="1">
      <c r="B99" s="200">
        <v>2019</v>
      </c>
      <c r="C99" s="559"/>
      <c r="D99" s="559"/>
      <c r="E99" s="559"/>
      <c r="F99" s="559"/>
      <c r="G99" s="559"/>
      <c r="H99" s="559"/>
      <c r="I99" s="559"/>
      <c r="J99" s="559"/>
      <c r="K99" s="556">
        <f>SUM('5.  2015-2020 LRAM'!Y939:AL939)</f>
        <v>0</v>
      </c>
      <c r="L99" s="556">
        <f>SUM('5.  2015-2020 LRAM'!Y1122:AL1122)</f>
        <v>0</v>
      </c>
      <c r="M99" s="556">
        <f>SUM(K99:L99)</f>
        <v>0</v>
      </c>
      <c r="T99" s="199"/>
      <c r="U99" s="199"/>
    </row>
    <row r="100" spans="2:21" s="92" customFormat="1" ht="23.25" hidden="1" customHeight="1">
      <c r="B100" s="200">
        <v>2020</v>
      </c>
      <c r="C100" s="559"/>
      <c r="D100" s="559"/>
      <c r="E100" s="559"/>
      <c r="F100" s="559"/>
      <c r="G100" s="559"/>
      <c r="H100" s="559"/>
      <c r="I100" s="559"/>
      <c r="J100" s="559"/>
      <c r="K100" s="559"/>
      <c r="L100" s="558">
        <f>SUM('5.  2015-2020 LRAM'!Y1123:AL1123)</f>
        <v>0</v>
      </c>
      <c r="M100" s="558">
        <f>L100</f>
        <v>0</v>
      </c>
      <c r="T100" s="199"/>
      <c r="U100" s="199"/>
    </row>
    <row r="101" spans="2:21" s="198" customFormat="1" ht="24" hidden="1" customHeight="1">
      <c r="B101" s="571" t="s">
        <v>523</v>
      </c>
      <c r="C101" s="555">
        <f>C91</f>
        <v>9244.9669652246484</v>
      </c>
      <c r="D101" s="556">
        <f>D91+D92</f>
        <v>28348.873836942377</v>
      </c>
      <c r="E101" s="556">
        <f>E91+E92+E93</f>
        <v>48948.978219836092</v>
      </c>
      <c r="F101" s="556">
        <f>F91+F92+F93+F94</f>
        <v>87781.916651544336</v>
      </c>
      <c r="G101" s="556">
        <f>G91+G92+G93+G94+G95</f>
        <v>113168.5808338006</v>
      </c>
      <c r="H101" s="556">
        <f>H91+H92+H93+H94+H95+H96</f>
        <v>142688.76711866277</v>
      </c>
      <c r="I101" s="556">
        <f>I91+I92+I93+I94+I95+I96+I97</f>
        <v>221956.80576579185</v>
      </c>
      <c r="J101" s="556">
        <f>J91+J92+J93+J94+J95+J96+J97+J98</f>
        <v>186134.78288238359</v>
      </c>
      <c r="K101" s="556">
        <f>K91+K92+K93+K94+K95+K96+K97+K98+K99</f>
        <v>0</v>
      </c>
      <c r="L101" s="556">
        <f>SUM(L91:L100)</f>
        <v>0</v>
      </c>
      <c r="M101" s="556">
        <f>SUM(M91:M100)</f>
        <v>838273.67227418628</v>
      </c>
      <c r="T101" s="201"/>
      <c r="U101" s="201"/>
    </row>
    <row r="102" spans="2:21" s="27" customFormat="1" ht="24.75" hidden="1" customHeight="1">
      <c r="B102" s="572" t="s">
        <v>522</v>
      </c>
      <c r="C102" s="554">
        <f>'4.  2011-2014 LRAM'!AM132</f>
        <v>0</v>
      </c>
      <c r="D102" s="554">
        <f>'4.  2011-2014 LRAM'!AM262</f>
        <v>0</v>
      </c>
      <c r="E102" s="554">
        <f>'4.  2011-2014 LRAM'!AM392</f>
        <v>61929.956399999995</v>
      </c>
      <c r="F102" s="554">
        <f>'4.  2011-2014 LRAM'!AM522</f>
        <v>69920.1446</v>
      </c>
      <c r="G102" s="554">
        <f>'5.  2015-2020 LRAM'!AM205</f>
        <v>70517.137900000002</v>
      </c>
      <c r="H102" s="554">
        <f>'5.  2015-2020 LRAM'!AM389</f>
        <v>67548.122600000002</v>
      </c>
      <c r="I102" s="554">
        <f>'5.  2015-2020 LRAM'!AM573</f>
        <v>61939.65159999999</v>
      </c>
      <c r="J102" s="554">
        <f>'5.  2015-2020 LRAM'!AM757</f>
        <v>55801.156200000005</v>
      </c>
      <c r="K102" s="554">
        <f>'5.  2015-2020 LRAM'!AM941</f>
        <v>0</v>
      </c>
      <c r="L102" s="554">
        <f>'5.  2015-2020 LRAM'!AM1125</f>
        <v>0</v>
      </c>
      <c r="M102" s="556">
        <f>SUM(C102:L102)</f>
        <v>387656.16930000001</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0</v>
      </c>
      <c r="H103" s="554">
        <f>'6.  Carrying Charges'!W102</f>
        <v>378.83408278159152</v>
      </c>
      <c r="I103" s="554">
        <f>'6.  Carrying Charges'!W117</f>
        <v>1280.521817005545</v>
      </c>
      <c r="J103" s="554">
        <f>'6.  Carrying Charges'!W132</f>
        <v>2680.0163211656404</v>
      </c>
      <c r="K103" s="554">
        <f>'6.  Carrying Charges'!W147</f>
        <v>3495.2923141931328</v>
      </c>
      <c r="L103" s="554">
        <f>'6.  Carrying Charges'!W162</f>
        <v>3495.2923141931328</v>
      </c>
      <c r="M103" s="556">
        <f>SUM(C103:L103)</f>
        <v>11329.956849339043</v>
      </c>
    </row>
    <row r="104" spans="2:21" ht="23.25" hidden="1" customHeight="1">
      <c r="B104" s="571" t="s">
        <v>26</v>
      </c>
      <c r="C104" s="554">
        <f>C101-C102+C103</f>
        <v>9244.9669652246484</v>
      </c>
      <c r="D104" s="554">
        <f t="shared" ref="D104:J104" si="6">D101-D102+D103</f>
        <v>28348.873836942377</v>
      </c>
      <c r="E104" s="554">
        <f t="shared" si="6"/>
        <v>-12980.978180163904</v>
      </c>
      <c r="F104" s="554">
        <f t="shared" si="6"/>
        <v>17861.772051544336</v>
      </c>
      <c r="G104" s="554">
        <f t="shared" si="6"/>
        <v>42651.442933800601</v>
      </c>
      <c r="H104" s="554">
        <f t="shared" si="6"/>
        <v>75519.478601444353</v>
      </c>
      <c r="I104" s="554">
        <f t="shared" si="6"/>
        <v>161297.6759827974</v>
      </c>
      <c r="J104" s="554">
        <f t="shared" si="6"/>
        <v>133013.64300354922</v>
      </c>
      <c r="K104" s="554">
        <f>K101-K102+K103</f>
        <v>3495.2923141931328</v>
      </c>
      <c r="L104" s="554">
        <f>L101-L102+L103</f>
        <v>3495.2923141931328</v>
      </c>
      <c r="M104" s="554">
        <f>M101-M102+M103</f>
        <v>461947.45982352534</v>
      </c>
    </row>
    <row r="105" spans="2:21" hidden="1"/>
    <row r="106" spans="2:21">
      <c r="B106" s="589" t="s">
        <v>530</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scale="5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1390650</xdr:colOff>
                    <xdr:row>67</xdr:row>
                    <xdr:rowOff>142875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1390650</xdr:colOff>
                    <xdr:row>67</xdr:row>
                    <xdr:rowOff>142875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1390650</xdr:colOff>
                    <xdr:row>67</xdr:row>
                    <xdr:rowOff>142875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1390650</xdr:colOff>
                    <xdr:row>67</xdr:row>
                    <xdr:rowOff>142875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1390650</xdr:colOff>
                    <xdr:row>67</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0" zoomScale="85" zoomScaleNormal="85" workbookViewId="0">
      <selection activeCell="C21" sqref="C21"/>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172</v>
      </c>
      <c r="C14" s="128" t="s">
        <v>176</v>
      </c>
    </row>
    <row r="15" spans="2:3" ht="26.25" customHeight="1" thickBot="1">
      <c r="C15" s="130" t="s">
        <v>409</v>
      </c>
    </row>
    <row r="16" spans="2:3" ht="27" customHeight="1" thickBot="1">
      <c r="C16" s="569" t="s">
        <v>555</v>
      </c>
    </row>
    <row r="19" spans="2:8" ht="15.75">
      <c r="B19" s="537" t="s">
        <v>623</v>
      </c>
    </row>
    <row r="20" spans="2:8" ht="13.5" customHeight="1"/>
    <row r="21" spans="2:8" ht="57.75" customHeight="1">
      <c r="B21" s="841" t="s">
        <v>640</v>
      </c>
      <c r="C21" s="841"/>
      <c r="D21" s="841"/>
      <c r="E21" s="841"/>
      <c r="F21" s="841"/>
      <c r="G21" s="841"/>
      <c r="H21" s="841"/>
    </row>
    <row r="23" spans="2:8" s="609" customFormat="1" ht="15.75">
      <c r="B23" s="619" t="s">
        <v>550</v>
      </c>
      <c r="C23" s="619" t="s">
        <v>565</v>
      </c>
      <c r="D23" s="619" t="s">
        <v>549</v>
      </c>
      <c r="E23" s="852" t="s">
        <v>34</v>
      </c>
      <c r="F23" s="853"/>
      <c r="G23" s="852" t="s">
        <v>548</v>
      </c>
      <c r="H23" s="853"/>
    </row>
    <row r="24" spans="2:8">
      <c r="B24" s="608">
        <v>1</v>
      </c>
      <c r="C24" s="644"/>
      <c r="D24" s="607"/>
      <c r="E24" s="848"/>
      <c r="F24" s="849"/>
      <c r="G24" s="850"/>
      <c r="H24" s="851"/>
    </row>
    <row r="25" spans="2:8">
      <c r="B25" s="608">
        <v>2</v>
      </c>
      <c r="C25" s="644"/>
      <c r="D25" s="607"/>
      <c r="E25" s="848"/>
      <c r="F25" s="849"/>
      <c r="G25" s="850"/>
      <c r="H25" s="851"/>
    </row>
    <row r="26" spans="2:8">
      <c r="B26" s="608">
        <v>3</v>
      </c>
      <c r="C26" s="644"/>
      <c r="D26" s="607"/>
      <c r="E26" s="848"/>
      <c r="F26" s="849"/>
      <c r="G26" s="850"/>
      <c r="H26" s="851"/>
    </row>
    <row r="27" spans="2:8">
      <c r="B27" s="608">
        <v>4</v>
      </c>
      <c r="C27" s="644"/>
      <c r="D27" s="607"/>
      <c r="E27" s="848"/>
      <c r="F27" s="849"/>
      <c r="G27" s="850"/>
      <c r="H27" s="851"/>
    </row>
    <row r="28" spans="2:8">
      <c r="B28" s="608">
        <v>5</v>
      </c>
      <c r="C28" s="644"/>
      <c r="D28" s="607"/>
      <c r="E28" s="848"/>
      <c r="F28" s="849"/>
      <c r="G28" s="850"/>
      <c r="H28" s="851"/>
    </row>
    <row r="29" spans="2:8">
      <c r="B29" s="608">
        <v>6</v>
      </c>
      <c r="C29" s="644"/>
      <c r="D29" s="607"/>
      <c r="E29" s="848"/>
      <c r="F29" s="849"/>
      <c r="G29" s="850"/>
      <c r="H29" s="851"/>
    </row>
    <row r="30" spans="2:8">
      <c r="B30" s="608">
        <v>7</v>
      </c>
      <c r="C30" s="644"/>
      <c r="D30" s="607"/>
      <c r="E30" s="848"/>
      <c r="F30" s="849"/>
      <c r="G30" s="850"/>
      <c r="H30" s="851"/>
    </row>
    <row r="31" spans="2:8">
      <c r="B31" s="608">
        <v>8</v>
      </c>
      <c r="C31" s="644"/>
      <c r="D31" s="607"/>
      <c r="E31" s="848"/>
      <c r="F31" s="849"/>
      <c r="G31" s="850"/>
      <c r="H31" s="851"/>
    </row>
    <row r="32" spans="2:8">
      <c r="B32" s="608">
        <v>9</v>
      </c>
      <c r="C32" s="644"/>
      <c r="D32" s="607"/>
      <c r="E32" s="848"/>
      <c r="F32" s="849"/>
      <c r="G32" s="850"/>
      <c r="H32" s="851"/>
    </row>
    <row r="33" spans="2:8">
      <c r="B33" s="608">
        <v>10</v>
      </c>
      <c r="C33" s="644"/>
      <c r="D33" s="607"/>
      <c r="E33" s="848"/>
      <c r="F33" s="849"/>
      <c r="G33" s="850"/>
      <c r="H33" s="851"/>
    </row>
    <row r="34" spans="2:8">
      <c r="B34" s="608" t="s">
        <v>483</v>
      </c>
      <c r="C34" s="644"/>
      <c r="D34" s="607"/>
      <c r="E34" s="848"/>
      <c r="F34" s="849"/>
      <c r="G34" s="850"/>
      <c r="H34" s="851"/>
    </row>
    <row r="36" spans="2:8" ht="30.75" customHeight="1">
      <c r="B36" s="537" t="s">
        <v>618</v>
      </c>
    </row>
    <row r="37" spans="2:8" ht="23.25" customHeight="1">
      <c r="B37" s="568" t="s">
        <v>624</v>
      </c>
      <c r="C37" s="605"/>
      <c r="D37" s="605"/>
      <c r="E37" s="605"/>
      <c r="F37" s="605"/>
      <c r="G37" s="605"/>
      <c r="H37" s="605"/>
    </row>
    <row r="39" spans="2:8" s="92" customFormat="1" ht="15.75">
      <c r="B39" s="619" t="s">
        <v>550</v>
      </c>
      <c r="C39" s="619" t="s">
        <v>565</v>
      </c>
      <c r="D39" s="619" t="s">
        <v>549</v>
      </c>
      <c r="E39" s="852" t="s">
        <v>34</v>
      </c>
      <c r="F39" s="853"/>
      <c r="G39" s="852" t="s">
        <v>548</v>
      </c>
      <c r="H39" s="853"/>
    </row>
    <row r="40" spans="2:8">
      <c r="B40" s="608">
        <v>1</v>
      </c>
      <c r="C40" s="644"/>
      <c r="D40" s="607"/>
      <c r="E40" s="848"/>
      <c r="F40" s="849"/>
      <c r="G40" s="850"/>
      <c r="H40" s="851"/>
    </row>
    <row r="41" spans="2:8">
      <c r="B41" s="608">
        <v>2</v>
      </c>
      <c r="C41" s="644"/>
      <c r="D41" s="607"/>
      <c r="E41" s="848"/>
      <c r="F41" s="849"/>
      <c r="G41" s="850"/>
      <c r="H41" s="851"/>
    </row>
    <row r="42" spans="2:8">
      <c r="B42" s="608">
        <v>3</v>
      </c>
      <c r="C42" s="644"/>
      <c r="D42" s="607"/>
      <c r="E42" s="848"/>
      <c r="F42" s="849"/>
      <c r="G42" s="850"/>
      <c r="H42" s="851"/>
    </row>
    <row r="43" spans="2:8">
      <c r="B43" s="608">
        <v>4</v>
      </c>
      <c r="C43" s="644"/>
      <c r="D43" s="607"/>
      <c r="E43" s="848"/>
      <c r="F43" s="849"/>
      <c r="G43" s="850"/>
      <c r="H43" s="851"/>
    </row>
    <row r="44" spans="2:8">
      <c r="B44" s="608">
        <v>5</v>
      </c>
      <c r="C44" s="644"/>
      <c r="D44" s="607"/>
      <c r="E44" s="848"/>
      <c r="F44" s="849"/>
      <c r="G44" s="850"/>
      <c r="H44" s="851"/>
    </row>
    <row r="45" spans="2:8">
      <c r="B45" s="608">
        <v>6</v>
      </c>
      <c r="C45" s="644"/>
      <c r="D45" s="607"/>
      <c r="E45" s="848"/>
      <c r="F45" s="849"/>
      <c r="G45" s="850"/>
      <c r="H45" s="851"/>
    </row>
    <row r="46" spans="2:8">
      <c r="B46" s="608">
        <v>7</v>
      </c>
      <c r="C46" s="644"/>
      <c r="D46" s="607"/>
      <c r="E46" s="848"/>
      <c r="F46" s="849"/>
      <c r="G46" s="850"/>
      <c r="H46" s="851"/>
    </row>
    <row r="47" spans="2:8">
      <c r="B47" s="608">
        <v>8</v>
      </c>
      <c r="C47" s="644"/>
      <c r="D47" s="607"/>
      <c r="E47" s="848"/>
      <c r="F47" s="849"/>
      <c r="G47" s="850"/>
      <c r="H47" s="851"/>
    </row>
    <row r="48" spans="2:8">
      <c r="B48" s="608">
        <v>9</v>
      </c>
      <c r="C48" s="644"/>
      <c r="D48" s="607"/>
      <c r="E48" s="848"/>
      <c r="F48" s="849"/>
      <c r="G48" s="850"/>
      <c r="H48" s="851"/>
    </row>
    <row r="49" spans="2:8">
      <c r="B49" s="608">
        <v>10</v>
      </c>
      <c r="C49" s="644"/>
      <c r="D49" s="607"/>
      <c r="E49" s="848"/>
      <c r="F49" s="849"/>
      <c r="G49" s="850"/>
      <c r="H49" s="851"/>
    </row>
    <row r="50" spans="2:8">
      <c r="B50" s="608" t="s">
        <v>483</v>
      </c>
      <c r="C50" s="644"/>
      <c r="D50" s="607"/>
      <c r="E50" s="848"/>
      <c r="F50" s="849"/>
      <c r="G50" s="850"/>
      <c r="H50" s="851"/>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scale="50"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90" zoomScaleNormal="90" workbookViewId="0">
      <selection activeCell="C21" sqref="C21"/>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409</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69" t="s">
        <v>555</v>
      </c>
      <c r="P7" s="107"/>
      <c r="Q7" s="107"/>
    </row>
    <row r="8" spans="2:17" s="106" customFormat="1" ht="30" customHeight="1">
      <c r="D8" s="574"/>
      <c r="P8" s="107"/>
      <c r="Q8" s="107"/>
    </row>
    <row r="9" spans="2:17" s="2" customFormat="1" ht="24.75" customHeight="1">
      <c r="B9" s="120" t="s">
        <v>414</v>
      </c>
      <c r="C9" s="17"/>
      <c r="D9" s="457">
        <v>2013</v>
      </c>
    </row>
    <row r="10" spans="2:17" s="17" customFormat="1" ht="16.5" customHeight="1"/>
    <row r="11" spans="2:17" s="17" customFormat="1" ht="36.75" customHeight="1">
      <c r="B11" s="854" t="s">
        <v>567</v>
      </c>
      <c r="C11" s="854"/>
      <c r="D11" s="854"/>
      <c r="E11" s="854"/>
      <c r="F11" s="854"/>
      <c r="G11" s="854"/>
      <c r="H11" s="854"/>
      <c r="I11" s="854"/>
      <c r="J11" s="854"/>
      <c r="K11" s="854"/>
      <c r="L11" s="854"/>
      <c r="M11" s="854"/>
      <c r="N11" s="614"/>
      <c r="O11" s="614"/>
      <c r="P11" s="614"/>
      <c r="Q11" s="614"/>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GS&gt;50 kW</v>
      </c>
      <c r="G13" s="245" t="str">
        <f>'1.  LRAMVA Summary'!G50</f>
        <v>Streetlights</v>
      </c>
      <c r="H13" s="245" t="str">
        <f>'1.  LRAMVA Summary'!H50</f>
        <v>Unmetered Scattered Load</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t="str">
        <f>'1.  LRAMVA Summary'!H51</f>
        <v>KWh</v>
      </c>
      <c r="I14" s="579">
        <f>'1.  LRAMVA Summary'!I51</f>
        <v>0</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8" customFormat="1" ht="15.75" customHeight="1">
      <c r="B15" s="463" t="s">
        <v>27</v>
      </c>
      <c r="C15" s="626">
        <f>SUM(D15:Q15)</f>
        <v>3264017</v>
      </c>
      <c r="D15" s="745">
        <v>1345003</v>
      </c>
      <c r="E15" s="745">
        <v>543085</v>
      </c>
      <c r="F15" s="745">
        <v>1346579</v>
      </c>
      <c r="G15" s="745">
        <v>24666</v>
      </c>
      <c r="H15" s="745">
        <v>4684</v>
      </c>
      <c r="I15" s="453"/>
      <c r="J15" s="453"/>
      <c r="K15" s="453"/>
      <c r="L15" s="453"/>
      <c r="M15" s="453"/>
      <c r="N15" s="453"/>
      <c r="O15" s="453"/>
      <c r="P15" s="454"/>
      <c r="Q15" s="454"/>
    </row>
    <row r="16" spans="2:17" s="458" customFormat="1" ht="15.75" customHeight="1">
      <c r="B16" s="463" t="s">
        <v>28</v>
      </c>
      <c r="C16" s="626">
        <f>SUM(D16:Q16)</f>
        <v>10867</v>
      </c>
      <c r="D16" s="454">
        <v>0</v>
      </c>
      <c r="E16" s="454">
        <v>0</v>
      </c>
      <c r="F16" s="454">
        <v>10671</v>
      </c>
      <c r="G16" s="454">
        <v>196</v>
      </c>
      <c r="H16" s="454"/>
      <c r="I16" s="452"/>
      <c r="J16" s="452"/>
      <c r="K16" s="454"/>
      <c r="L16" s="454"/>
      <c r="M16" s="454"/>
      <c r="N16" s="454"/>
      <c r="O16" s="454"/>
      <c r="P16" s="454"/>
      <c r="Q16" s="454"/>
    </row>
    <row r="17" spans="2:17" s="17" customFormat="1" ht="15.75" customHeight="1"/>
    <row r="18" spans="2:17" s="25" customFormat="1" ht="15.75" customHeight="1">
      <c r="B18" s="193" t="s">
        <v>454</v>
      </c>
      <c r="C18" s="194"/>
      <c r="D18" s="194">
        <f t="shared" ref="D18:E18" si="0">IF(D14="kw",HLOOKUP(D14,D14:D16,3,FALSE),HLOOKUP(D14,D14:D16,2,FALSE))</f>
        <v>1345003</v>
      </c>
      <c r="E18" s="194">
        <f t="shared" si="0"/>
        <v>543085</v>
      </c>
      <c r="F18" s="194">
        <f>IF(F14="kw",HLOOKUP(F14,F14:F16,3,FALSE),HLOOKUP(F14,F14:F16,2,FALSE))</f>
        <v>10671</v>
      </c>
      <c r="G18" s="194">
        <f t="shared" ref="G18:Q18" si="1">IF(G14="kw",HLOOKUP(G14,G14:G16,3,FALSE),HLOOKUP(G14,G14:G16,2,FALSE))</f>
        <v>196</v>
      </c>
      <c r="H18" s="194">
        <f t="shared" si="1"/>
        <v>4684</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368</v>
      </c>
      <c r="C20" s="455"/>
      <c r="D20" s="456"/>
    </row>
    <row r="21" spans="2:17" s="440" customFormat="1" ht="21" customHeight="1">
      <c r="B21" s="462" t="s">
        <v>369</v>
      </c>
      <c r="C21" s="455" t="s">
        <v>695</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415</v>
      </c>
      <c r="C24" s="120"/>
      <c r="D24" s="457"/>
    </row>
    <row r="25" spans="2:17" s="2" customFormat="1" ht="15.75" customHeight="1">
      <c r="D25" s="20"/>
    </row>
    <row r="26" spans="2:17" s="2" customFormat="1" ht="42" customHeight="1">
      <c r="B26" s="854" t="s">
        <v>566</v>
      </c>
      <c r="C26" s="854"/>
      <c r="D26" s="854"/>
      <c r="E26" s="854"/>
      <c r="F26" s="854"/>
      <c r="G26" s="854"/>
      <c r="H26" s="854"/>
      <c r="I26" s="854"/>
      <c r="J26" s="854"/>
      <c r="K26" s="854"/>
      <c r="L26" s="854"/>
      <c r="M26" s="854"/>
      <c r="N26" s="614"/>
      <c r="O26" s="614"/>
      <c r="P26" s="614"/>
      <c r="Q26" s="614"/>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GS&gt;50 kW</v>
      </c>
      <c r="G28" s="245" t="str">
        <f>'1.  LRAMVA Summary'!G50</f>
        <v>Streetlights</v>
      </c>
      <c r="H28" s="245" t="str">
        <f>'1.  LRAMVA Summary'!H50</f>
        <v>Unmetered Scattered Load</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8"/>
      <c r="D29" s="579" t="str">
        <f>D14</f>
        <v>kWh</v>
      </c>
      <c r="E29" s="579" t="str">
        <f t="shared" ref="E29:H29" si="2">E14</f>
        <v>kWh</v>
      </c>
      <c r="F29" s="579" t="str">
        <f t="shared" si="2"/>
        <v>kW</v>
      </c>
      <c r="G29" s="579" t="str">
        <f t="shared" si="2"/>
        <v>kW</v>
      </c>
      <c r="H29" s="579" t="str">
        <f t="shared" si="2"/>
        <v>KWh</v>
      </c>
      <c r="I29" s="579">
        <f>'1.  LRAMVA Summary'!I51</f>
        <v>0</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8" customFormat="1" ht="15.75" customHeight="1">
      <c r="B30" s="463" t="s">
        <v>27</v>
      </c>
      <c r="C30" s="626">
        <f>SUM(D30:Q30)</f>
        <v>0</v>
      </c>
      <c r="D30" s="464"/>
      <c r="E30" s="464"/>
      <c r="F30" s="464"/>
      <c r="G30" s="464"/>
      <c r="H30" s="464"/>
      <c r="I30" s="464"/>
      <c r="J30" s="464"/>
      <c r="K30" s="464"/>
      <c r="L30" s="464"/>
      <c r="M30" s="464"/>
      <c r="N30" s="464"/>
      <c r="O30" s="464"/>
      <c r="P30" s="464"/>
      <c r="Q30" s="454"/>
    </row>
    <row r="31" spans="2:17" s="465" customFormat="1" ht="15" customHeight="1">
      <c r="B31" s="463" t="s">
        <v>28</v>
      </c>
      <c r="C31" s="626">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454</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3">IF(H29="kw",HLOOKUP(H29,H29:H31,3,FALSE),HLOOKUP(H29,H29:H31,2,FALSE))</f>
        <v>0</v>
      </c>
      <c r="I33" s="194">
        <f t="shared" si="3"/>
        <v>0</v>
      </c>
      <c r="J33" s="194">
        <f t="shared" si="3"/>
        <v>0</v>
      </c>
      <c r="K33" s="194">
        <f t="shared" si="3"/>
        <v>0</v>
      </c>
      <c r="L33" s="194">
        <f t="shared" si="3"/>
        <v>0</v>
      </c>
      <c r="M33" s="194">
        <f t="shared" si="3"/>
        <v>0</v>
      </c>
      <c r="N33" s="194">
        <f t="shared" si="3"/>
        <v>0</v>
      </c>
      <c r="O33" s="194">
        <f t="shared" si="3"/>
        <v>0</v>
      </c>
      <c r="P33" s="194">
        <f t="shared" si="3"/>
        <v>0</v>
      </c>
      <c r="Q33" s="194">
        <f t="shared" si="3"/>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368</v>
      </c>
      <c r="C35" s="455"/>
      <c r="D35" s="456"/>
      <c r="E35" s="95"/>
      <c r="F35" s="95"/>
      <c r="G35" s="95"/>
      <c r="H35" s="95"/>
      <c r="I35" s="95"/>
      <c r="J35" s="95"/>
      <c r="K35" s="95"/>
      <c r="L35" s="95"/>
      <c r="M35" s="95"/>
      <c r="N35" s="95"/>
      <c r="O35" s="95"/>
      <c r="P35" s="95"/>
      <c r="Q35" s="95"/>
    </row>
    <row r="36" spans="2:32" s="440" customFormat="1" ht="21" customHeight="1">
      <c r="B36" s="462" t="s">
        <v>369</v>
      </c>
      <c r="C36" s="455" t="s">
        <v>416</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456</v>
      </c>
      <c r="C39" s="35"/>
      <c r="D39" s="34"/>
      <c r="E39" s="39"/>
      <c r="F39" s="40"/>
    </row>
    <row r="40" spans="2:32" s="72" customFormat="1" ht="39" customHeight="1">
      <c r="B40" s="854" t="s">
        <v>616</v>
      </c>
      <c r="C40" s="854"/>
      <c r="D40" s="854"/>
      <c r="E40" s="854"/>
      <c r="F40" s="854"/>
      <c r="G40" s="854"/>
      <c r="H40" s="854"/>
      <c r="I40" s="854"/>
      <c r="J40" s="854"/>
      <c r="K40" s="854"/>
      <c r="L40" s="854"/>
      <c r="M40" s="854"/>
      <c r="N40" s="614"/>
      <c r="O40" s="614"/>
      <c r="P40" s="614"/>
      <c r="Q40" s="614"/>
    </row>
    <row r="41" spans="2:32" s="2" customFormat="1" ht="16.5" customHeight="1">
      <c r="B41" s="10"/>
      <c r="C41" s="10"/>
      <c r="D41" s="22"/>
      <c r="E41" s="20"/>
      <c r="F41" s="20"/>
      <c r="G41" s="20"/>
      <c r="R41" s="20"/>
    </row>
    <row r="42" spans="2:32" s="17" customFormat="1" ht="56.25" customHeight="1">
      <c r="B42" s="245" t="s">
        <v>235</v>
      </c>
      <c r="C42" s="245" t="s">
        <v>613</v>
      </c>
      <c r="D42" s="245" t="str">
        <f>'1.  LRAMVA Summary'!D50</f>
        <v>Residential</v>
      </c>
      <c r="E42" s="245" t="str">
        <f>'1.  LRAMVA Summary'!E50</f>
        <v>GS&lt;50 kW</v>
      </c>
      <c r="F42" s="245" t="str">
        <f>'1.  LRAMVA Summary'!F50</f>
        <v>GS&gt;50 kW</v>
      </c>
      <c r="G42" s="245" t="str">
        <f>'1.  LRAMVA Summary'!G50</f>
        <v>Streetlights</v>
      </c>
      <c r="H42" s="245" t="str">
        <f>'1.  LRAMVA Summary'!H50</f>
        <v>Unmetered Scattered Load</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1"/>
      <c r="C43" s="582"/>
      <c r="D43" s="579" t="str">
        <f>D14</f>
        <v>kWh</v>
      </c>
      <c r="E43" s="579" t="str">
        <f t="shared" ref="E43:H43" si="4">E14</f>
        <v>kWh</v>
      </c>
      <c r="F43" s="579" t="str">
        <f t="shared" si="4"/>
        <v>kW</v>
      </c>
      <c r="G43" s="579" t="str">
        <f t="shared" si="4"/>
        <v>kW</v>
      </c>
      <c r="H43" s="579" t="str">
        <f t="shared" si="4"/>
        <v>KWh</v>
      </c>
      <c r="I43" s="583">
        <f>'1.  LRAMVA Summary'!I51</f>
        <v>0</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71"/>
    </row>
    <row r="44" spans="2:32" s="17" customFormat="1" ht="15.75">
      <c r="B44" s="172">
        <v>2011</v>
      </c>
      <c r="C44" s="534"/>
      <c r="D44" s="192">
        <f t="shared" ref="D44:Q44" si="5">IF(ISBLANK($C$44),0,IF($C44=$D$9,HLOOKUP(D43,D14:D18,5,FALSE),HLOOKUP(D43,D29:D33,5,FALSE)))</f>
        <v>0</v>
      </c>
      <c r="E44" s="192">
        <f>IF(ISBLANK($C$44),0,IF($C44=$D$9,HLOOKUP(E43,E14:E18,5,FALSE),HLOOKUP(E43,E29:E33,5,FALSE)))</f>
        <v>0</v>
      </c>
      <c r="F44" s="192">
        <f t="shared" si="5"/>
        <v>0</v>
      </c>
      <c r="G44" s="192">
        <f t="shared" si="5"/>
        <v>0</v>
      </c>
      <c r="H44" s="192">
        <f t="shared" si="5"/>
        <v>0</v>
      </c>
      <c r="I44" s="192">
        <f t="shared" si="5"/>
        <v>0</v>
      </c>
      <c r="J44" s="192">
        <f t="shared" si="5"/>
        <v>0</v>
      </c>
      <c r="K44" s="192">
        <f t="shared" si="5"/>
        <v>0</v>
      </c>
      <c r="L44" s="192">
        <f t="shared" si="5"/>
        <v>0</v>
      </c>
      <c r="M44" s="192">
        <f t="shared" si="5"/>
        <v>0</v>
      </c>
      <c r="N44" s="192">
        <f t="shared" si="5"/>
        <v>0</v>
      </c>
      <c r="O44" s="192">
        <f t="shared" si="5"/>
        <v>0</v>
      </c>
      <c r="P44" s="192">
        <f t="shared" si="5"/>
        <v>0</v>
      </c>
      <c r="Q44" s="192">
        <f t="shared" si="5"/>
        <v>0</v>
      </c>
      <c r="R44" s="196"/>
    </row>
    <row r="45" spans="2:32" s="17" customFormat="1" ht="15.75">
      <c r="B45" s="172">
        <v>2012</v>
      </c>
      <c r="C45" s="534"/>
      <c r="D45" s="192">
        <f t="shared" ref="D45:Q45" si="6">IF(ISBLANK($C$45),0,IF($C$45=$D$9,HLOOKUP(D43,D14:D18,5,FALSE),HLOOKUP(D43,D29:D33,5,FALSE)))</f>
        <v>0</v>
      </c>
      <c r="E45" s="192">
        <f t="shared" si="6"/>
        <v>0</v>
      </c>
      <c r="F45" s="192">
        <f t="shared" si="6"/>
        <v>0</v>
      </c>
      <c r="G45" s="192">
        <f t="shared" si="6"/>
        <v>0</v>
      </c>
      <c r="H45" s="192">
        <f t="shared" si="6"/>
        <v>0</v>
      </c>
      <c r="I45" s="192">
        <f t="shared" si="6"/>
        <v>0</v>
      </c>
      <c r="J45" s="192">
        <f t="shared" si="6"/>
        <v>0</v>
      </c>
      <c r="K45" s="192">
        <f t="shared" si="6"/>
        <v>0</v>
      </c>
      <c r="L45" s="192">
        <f t="shared" si="6"/>
        <v>0</v>
      </c>
      <c r="M45" s="192">
        <f t="shared" si="6"/>
        <v>0</v>
      </c>
      <c r="N45" s="192">
        <f t="shared" si="6"/>
        <v>0</v>
      </c>
      <c r="O45" s="192">
        <f t="shared" si="6"/>
        <v>0</v>
      </c>
      <c r="P45" s="192">
        <f t="shared" si="6"/>
        <v>0</v>
      </c>
      <c r="Q45" s="192">
        <f t="shared" si="6"/>
        <v>0</v>
      </c>
      <c r="R45" s="165"/>
    </row>
    <row r="46" spans="2:32" s="17" customFormat="1" ht="15.75">
      <c r="B46" s="173">
        <v>2013</v>
      </c>
      <c r="C46" s="534">
        <v>2013</v>
      </c>
      <c r="D46" s="192">
        <f t="shared" ref="D46:Q46" si="7">IF(ISBLANK($C$46),0,IF($C$46=$D$9,HLOOKUP(D43,D14:D18,5,FALSE),HLOOKUP(D43,D29:D33,5,FALSE)))</f>
        <v>1345003</v>
      </c>
      <c r="E46" s="192">
        <f t="shared" si="7"/>
        <v>543085</v>
      </c>
      <c r="F46" s="192">
        <f t="shared" si="7"/>
        <v>10671</v>
      </c>
      <c r="G46" s="192">
        <f t="shared" si="7"/>
        <v>196</v>
      </c>
      <c r="H46" s="192">
        <f t="shared" si="7"/>
        <v>4684</v>
      </c>
      <c r="I46" s="192">
        <f t="shared" si="7"/>
        <v>0</v>
      </c>
      <c r="J46" s="192">
        <f t="shared" si="7"/>
        <v>0</v>
      </c>
      <c r="K46" s="192">
        <f t="shared" si="7"/>
        <v>0</v>
      </c>
      <c r="L46" s="192">
        <f t="shared" si="7"/>
        <v>0</v>
      </c>
      <c r="M46" s="192">
        <f t="shared" si="7"/>
        <v>0</v>
      </c>
      <c r="N46" s="192">
        <f t="shared" si="7"/>
        <v>0</v>
      </c>
      <c r="O46" s="192">
        <f t="shared" si="7"/>
        <v>0</v>
      </c>
      <c r="P46" s="192">
        <f t="shared" si="7"/>
        <v>0</v>
      </c>
      <c r="Q46" s="192">
        <f t="shared" si="7"/>
        <v>0</v>
      </c>
      <c r="R46" s="165"/>
    </row>
    <row r="47" spans="2:32" s="17" customFormat="1" ht="15.75">
      <c r="B47" s="173">
        <v>2014</v>
      </c>
      <c r="C47" s="534">
        <v>2013</v>
      </c>
      <c r="D47" s="192">
        <f t="shared" ref="D47:Q47" si="8">IF(ISBLANK($C$47),0,IF($C$47=$D$9,HLOOKUP(D43,D14:D18,5,FALSE),HLOOKUP(D43,D29:D33,5,FALSE)))</f>
        <v>1345003</v>
      </c>
      <c r="E47" s="192">
        <f t="shared" si="8"/>
        <v>543085</v>
      </c>
      <c r="F47" s="192">
        <f t="shared" si="8"/>
        <v>10671</v>
      </c>
      <c r="G47" s="192">
        <f t="shared" si="8"/>
        <v>196</v>
      </c>
      <c r="H47" s="192">
        <f t="shared" si="8"/>
        <v>4684</v>
      </c>
      <c r="I47" s="192">
        <f t="shared" si="8"/>
        <v>0</v>
      </c>
      <c r="J47" s="192">
        <f t="shared" si="8"/>
        <v>0</v>
      </c>
      <c r="K47" s="192">
        <f t="shared" si="8"/>
        <v>0</v>
      </c>
      <c r="L47" s="192">
        <f t="shared" si="8"/>
        <v>0</v>
      </c>
      <c r="M47" s="192">
        <f t="shared" si="8"/>
        <v>0</v>
      </c>
      <c r="N47" s="192">
        <f t="shared" si="8"/>
        <v>0</v>
      </c>
      <c r="O47" s="192">
        <f t="shared" si="8"/>
        <v>0</v>
      </c>
      <c r="P47" s="192">
        <f t="shared" si="8"/>
        <v>0</v>
      </c>
      <c r="Q47" s="192">
        <f t="shared" si="8"/>
        <v>0</v>
      </c>
      <c r="R47" s="165"/>
    </row>
    <row r="48" spans="2:32" s="17" customFormat="1" ht="15.75">
      <c r="B48" s="173">
        <v>2015</v>
      </c>
      <c r="C48" s="534">
        <v>2013</v>
      </c>
      <c r="D48" s="192">
        <f t="shared" ref="D48:Q48" si="9">IF(ISBLANK($C$48),0,IF($C$48=$D$9,HLOOKUP(D43,D14:D18,5,FALSE),HLOOKUP(D43,D29:D33,5,FALSE)))</f>
        <v>1345003</v>
      </c>
      <c r="E48" s="192">
        <f t="shared" si="9"/>
        <v>543085</v>
      </c>
      <c r="F48" s="192">
        <f t="shared" si="9"/>
        <v>10671</v>
      </c>
      <c r="G48" s="192">
        <f t="shared" si="9"/>
        <v>196</v>
      </c>
      <c r="H48" s="192">
        <f t="shared" si="9"/>
        <v>4684</v>
      </c>
      <c r="I48" s="192">
        <f t="shared" si="9"/>
        <v>0</v>
      </c>
      <c r="J48" s="192">
        <f t="shared" si="9"/>
        <v>0</v>
      </c>
      <c r="K48" s="192">
        <f t="shared" si="9"/>
        <v>0</v>
      </c>
      <c r="L48" s="192">
        <f t="shared" si="9"/>
        <v>0</v>
      </c>
      <c r="M48" s="192">
        <f t="shared" si="9"/>
        <v>0</v>
      </c>
      <c r="N48" s="192">
        <f t="shared" si="9"/>
        <v>0</v>
      </c>
      <c r="O48" s="192">
        <f t="shared" si="9"/>
        <v>0</v>
      </c>
      <c r="P48" s="192">
        <f t="shared" si="9"/>
        <v>0</v>
      </c>
      <c r="Q48" s="192">
        <f t="shared" si="9"/>
        <v>0</v>
      </c>
      <c r="R48" s="165"/>
      <c r="AF48" s="165"/>
    </row>
    <row r="49" spans="2:32" s="17" customFormat="1" ht="15.75">
      <c r="B49" s="173">
        <v>2016</v>
      </c>
      <c r="C49" s="534">
        <v>2013</v>
      </c>
      <c r="D49" s="192">
        <f t="shared" ref="D49:Q49" si="10">IF(ISBLANK($C$49),0,IF($C$49=$D$9,HLOOKUP(D43,D14:D18,5,FALSE),HLOOKUP(D43,D29:D33,5,FALSE)))</f>
        <v>1345003</v>
      </c>
      <c r="E49" s="192">
        <f t="shared" si="10"/>
        <v>543085</v>
      </c>
      <c r="F49" s="192">
        <f t="shared" si="10"/>
        <v>10671</v>
      </c>
      <c r="G49" s="192">
        <f t="shared" si="10"/>
        <v>196</v>
      </c>
      <c r="H49" s="192">
        <f t="shared" si="10"/>
        <v>4684</v>
      </c>
      <c r="I49" s="192">
        <f t="shared" si="10"/>
        <v>0</v>
      </c>
      <c r="J49" s="192">
        <f t="shared" si="10"/>
        <v>0</v>
      </c>
      <c r="K49" s="192">
        <f t="shared" si="10"/>
        <v>0</v>
      </c>
      <c r="L49" s="192">
        <f t="shared" si="10"/>
        <v>0</v>
      </c>
      <c r="M49" s="192">
        <f t="shared" si="10"/>
        <v>0</v>
      </c>
      <c r="N49" s="192">
        <f t="shared" si="10"/>
        <v>0</v>
      </c>
      <c r="O49" s="192">
        <f t="shared" si="10"/>
        <v>0</v>
      </c>
      <c r="P49" s="192">
        <f t="shared" si="10"/>
        <v>0</v>
      </c>
      <c r="Q49" s="192">
        <f t="shared" si="10"/>
        <v>0</v>
      </c>
      <c r="R49" s="165"/>
      <c r="AF49" s="165"/>
    </row>
    <row r="50" spans="2:32" s="17" customFormat="1" ht="15.75">
      <c r="B50" s="173">
        <v>2017</v>
      </c>
      <c r="C50" s="534">
        <v>2013</v>
      </c>
      <c r="D50" s="192">
        <f t="shared" ref="D50:Q50" si="11">IF(ISBLANK($C$50),0,IF($C$50=$D$9,HLOOKUP(D43,D14:D18,5,FALSE),HLOOKUP(D43,D29:D33,5,FALSE)))</f>
        <v>1345003</v>
      </c>
      <c r="E50" s="192">
        <f t="shared" si="11"/>
        <v>543085</v>
      </c>
      <c r="F50" s="192">
        <f t="shared" si="11"/>
        <v>10671</v>
      </c>
      <c r="G50" s="192">
        <f t="shared" si="11"/>
        <v>196</v>
      </c>
      <c r="H50" s="192">
        <f t="shared" si="11"/>
        <v>4684</v>
      </c>
      <c r="I50" s="192">
        <f t="shared" si="11"/>
        <v>0</v>
      </c>
      <c r="J50" s="192">
        <f t="shared" si="11"/>
        <v>0</v>
      </c>
      <c r="K50" s="192">
        <f t="shared" si="11"/>
        <v>0</v>
      </c>
      <c r="L50" s="192">
        <f t="shared" si="11"/>
        <v>0</v>
      </c>
      <c r="M50" s="192">
        <f t="shared" si="11"/>
        <v>0</v>
      </c>
      <c r="N50" s="192">
        <f t="shared" si="11"/>
        <v>0</v>
      </c>
      <c r="O50" s="192">
        <f t="shared" si="11"/>
        <v>0</v>
      </c>
      <c r="P50" s="192">
        <f t="shared" si="11"/>
        <v>0</v>
      </c>
      <c r="Q50" s="192">
        <f t="shared" si="11"/>
        <v>0</v>
      </c>
      <c r="R50" s="165"/>
      <c r="AF50" s="165"/>
    </row>
    <row r="51" spans="2:32" s="17" customFormat="1" ht="15.75">
      <c r="B51" s="173">
        <v>2018</v>
      </c>
      <c r="C51" s="534">
        <v>2013</v>
      </c>
      <c r="D51" s="192">
        <f t="shared" ref="D51:Q51" si="12">IF(ISBLANK($C$51),0,IF($C$51=$D$9,HLOOKUP(D43,D14:D18,5,FALSE),HLOOKUP(D43,D29:D33,5,FALSE)))</f>
        <v>1345003</v>
      </c>
      <c r="E51" s="192">
        <f t="shared" si="12"/>
        <v>543085</v>
      </c>
      <c r="F51" s="192">
        <f t="shared" si="12"/>
        <v>10671</v>
      </c>
      <c r="G51" s="192">
        <f t="shared" si="12"/>
        <v>196</v>
      </c>
      <c r="H51" s="192">
        <f t="shared" si="12"/>
        <v>4684</v>
      </c>
      <c r="I51" s="192">
        <f t="shared" si="12"/>
        <v>0</v>
      </c>
      <c r="J51" s="192">
        <f t="shared" si="12"/>
        <v>0</v>
      </c>
      <c r="K51" s="192">
        <f t="shared" si="12"/>
        <v>0</v>
      </c>
      <c r="L51" s="192">
        <f t="shared" si="12"/>
        <v>0</v>
      </c>
      <c r="M51" s="192">
        <f t="shared" si="12"/>
        <v>0</v>
      </c>
      <c r="N51" s="192">
        <f t="shared" si="12"/>
        <v>0</v>
      </c>
      <c r="O51" s="192">
        <f t="shared" si="12"/>
        <v>0</v>
      </c>
      <c r="P51" s="192">
        <f t="shared" si="12"/>
        <v>0</v>
      </c>
      <c r="Q51" s="192">
        <f t="shared" si="12"/>
        <v>0</v>
      </c>
      <c r="R51" s="165"/>
      <c r="AF51" s="165"/>
    </row>
    <row r="52" spans="2:32" s="17" customFormat="1" ht="15.75">
      <c r="B52" s="173">
        <v>2019</v>
      </c>
      <c r="C52" s="534"/>
      <c r="D52" s="192">
        <f t="shared" ref="D52:Q52" si="13">IF(ISBLANK($C$52),0,IF($C$52=$D$9,HLOOKUP(D43,D14:D18,5,FALSE),HLOOKUP(D43,D29:D33,5,FALSE)))</f>
        <v>0</v>
      </c>
      <c r="E52" s="192">
        <f t="shared" si="13"/>
        <v>0</v>
      </c>
      <c r="F52" s="192">
        <f t="shared" si="13"/>
        <v>0</v>
      </c>
      <c r="G52" s="192">
        <f t="shared" si="13"/>
        <v>0</v>
      </c>
      <c r="H52" s="192">
        <f t="shared" si="13"/>
        <v>0</v>
      </c>
      <c r="I52" s="192">
        <f t="shared" si="13"/>
        <v>0</v>
      </c>
      <c r="J52" s="192">
        <f t="shared" si="13"/>
        <v>0</v>
      </c>
      <c r="K52" s="192">
        <f t="shared" si="13"/>
        <v>0</v>
      </c>
      <c r="L52" s="192">
        <f t="shared" si="13"/>
        <v>0</v>
      </c>
      <c r="M52" s="192">
        <f t="shared" si="13"/>
        <v>0</v>
      </c>
      <c r="N52" s="192">
        <f t="shared" si="13"/>
        <v>0</v>
      </c>
      <c r="O52" s="192">
        <f t="shared" si="13"/>
        <v>0</v>
      </c>
      <c r="P52" s="192">
        <f t="shared" si="13"/>
        <v>0</v>
      </c>
      <c r="Q52" s="192">
        <f t="shared" si="13"/>
        <v>0</v>
      </c>
      <c r="R52" s="165"/>
      <c r="AF52" s="165"/>
    </row>
    <row r="53" spans="2:32" s="17" customFormat="1" ht="15.75">
      <c r="B53" s="173">
        <v>2020</v>
      </c>
      <c r="C53" s="534"/>
      <c r="D53" s="192">
        <f t="shared" ref="D53:Q53" si="14">IF(ISBLANK($C$53),0,IF($C$53=$D$9,HLOOKUP(D43,D14:D18,5,FALSE),HLOOKUP(D43,D29:D33,5,FALSE)))</f>
        <v>0</v>
      </c>
      <c r="E53" s="192">
        <f t="shared" si="14"/>
        <v>0</v>
      </c>
      <c r="F53" s="192">
        <f t="shared" si="14"/>
        <v>0</v>
      </c>
      <c r="G53" s="192">
        <f t="shared" si="14"/>
        <v>0</v>
      </c>
      <c r="H53" s="192">
        <f t="shared" si="14"/>
        <v>0</v>
      </c>
      <c r="I53" s="192">
        <f t="shared" si="14"/>
        <v>0</v>
      </c>
      <c r="J53" s="192">
        <f t="shared" si="14"/>
        <v>0</v>
      </c>
      <c r="K53" s="192">
        <f t="shared" si="14"/>
        <v>0</v>
      </c>
      <c r="L53" s="192">
        <f t="shared" si="14"/>
        <v>0</v>
      </c>
      <c r="M53" s="192">
        <f t="shared" si="14"/>
        <v>0</v>
      </c>
      <c r="N53" s="192">
        <f t="shared" si="14"/>
        <v>0</v>
      </c>
      <c r="O53" s="192">
        <f t="shared" si="14"/>
        <v>0</v>
      </c>
      <c r="P53" s="192">
        <f t="shared" si="14"/>
        <v>0</v>
      </c>
      <c r="Q53" s="192">
        <f t="shared" si="14"/>
        <v>0</v>
      </c>
      <c r="R53" s="165"/>
      <c r="AF53" s="165"/>
    </row>
    <row r="54" spans="2:32" s="440" customFormat="1" ht="21" customHeight="1">
      <c r="B54" s="455" t="s">
        <v>540</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1"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90" zoomScaleNormal="90" workbookViewId="0">
      <pane ySplit="14" topLeftCell="A15" activePane="bottomLeft" state="frozen"/>
      <selection activeCell="C21" sqref="C21"/>
      <selection pane="bottomLeft" activeCell="C21" sqref="C21"/>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60" t="s">
        <v>172</v>
      </c>
      <c r="C4" s="87" t="s">
        <v>176</v>
      </c>
      <c r="D4" s="87"/>
      <c r="E4" s="50"/>
    </row>
    <row r="5" spans="1:26" s="18" customFormat="1" ht="26.25" hidden="1" customHeight="1" outlineLevel="1" thickBot="1">
      <c r="A5" s="4"/>
      <c r="B5" s="860"/>
      <c r="C5" s="88" t="s">
        <v>173</v>
      </c>
      <c r="D5" s="88"/>
      <c r="E5" s="50"/>
    </row>
    <row r="6" spans="1:26" ht="26.25" hidden="1" customHeight="1" outlineLevel="1" thickBot="1">
      <c r="B6" s="860"/>
      <c r="C6" s="863" t="s">
        <v>555</v>
      </c>
      <c r="D6" s="864"/>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531</v>
      </c>
      <c r="C8" s="594" t="s">
        <v>485</v>
      </c>
      <c r="D8" s="593"/>
      <c r="M8" s="6"/>
      <c r="N8" s="6"/>
      <c r="O8" s="6"/>
      <c r="P8" s="6"/>
      <c r="Q8" s="6"/>
      <c r="R8" s="6"/>
      <c r="S8" s="6"/>
      <c r="T8" s="6"/>
      <c r="U8" s="6"/>
      <c r="V8" s="6"/>
      <c r="W8" s="6"/>
      <c r="X8" s="6"/>
      <c r="Y8" s="6"/>
      <c r="Z8" s="6"/>
    </row>
    <row r="9" spans="1:26" s="18" customFormat="1" ht="19.5" hidden="1" customHeight="1" outlineLevel="1">
      <c r="A9" s="4"/>
      <c r="B9" s="540"/>
      <c r="C9" s="594" t="s">
        <v>532</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486</v>
      </c>
      <c r="O11" s="552"/>
    </row>
    <row r="12" spans="1:26" ht="58.5" customHeight="1">
      <c r="B12" s="858" t="s">
        <v>625</v>
      </c>
      <c r="C12" s="858"/>
      <c r="D12" s="858"/>
      <c r="E12" s="858"/>
      <c r="F12" s="858"/>
      <c r="G12" s="858"/>
      <c r="H12" s="858"/>
      <c r="I12" s="858"/>
      <c r="J12" s="858"/>
      <c r="K12" s="858"/>
      <c r="L12" s="858"/>
      <c r="M12" s="858"/>
      <c r="N12" s="858"/>
      <c r="O12" s="858"/>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1" t="s">
        <v>41</v>
      </c>
      <c r="D14" s="472" t="s">
        <v>696</v>
      </c>
      <c r="E14" s="472" t="s">
        <v>697</v>
      </c>
      <c r="F14" s="472" t="s">
        <v>698</v>
      </c>
      <c r="G14" s="472" t="s">
        <v>699</v>
      </c>
      <c r="H14" s="472" t="s">
        <v>700</v>
      </c>
      <c r="I14" s="472" t="s">
        <v>701</v>
      </c>
      <c r="J14" s="472" t="s">
        <v>702</v>
      </c>
      <c r="K14" s="472" t="s">
        <v>703</v>
      </c>
      <c r="L14" s="472" t="s">
        <v>684</v>
      </c>
      <c r="M14" s="472" t="s">
        <v>572</v>
      </c>
      <c r="N14" s="472" t="s">
        <v>573</v>
      </c>
      <c r="O14" s="472" t="s">
        <v>574</v>
      </c>
      <c r="P14" s="7"/>
    </row>
    <row r="15" spans="1:26" s="7" customFormat="1" ht="18.75" customHeight="1">
      <c r="B15" s="473" t="s">
        <v>189</v>
      </c>
      <c r="C15" s="861"/>
      <c r="D15" s="474">
        <v>2010</v>
      </c>
      <c r="E15" s="474">
        <v>2011</v>
      </c>
      <c r="F15" s="474">
        <v>2012</v>
      </c>
      <c r="G15" s="474">
        <v>2013</v>
      </c>
      <c r="H15" s="474">
        <v>2014</v>
      </c>
      <c r="I15" s="474">
        <v>2015</v>
      </c>
      <c r="J15" s="474">
        <v>2016</v>
      </c>
      <c r="K15" s="474">
        <v>2017</v>
      </c>
      <c r="L15" s="474">
        <v>2018</v>
      </c>
      <c r="M15" s="474">
        <v>2019</v>
      </c>
      <c r="N15" s="474">
        <v>2020</v>
      </c>
      <c r="O15" s="475">
        <v>2021</v>
      </c>
    </row>
    <row r="16" spans="1:26" s="113" customFormat="1" ht="18" customHeight="1">
      <c r="B16" s="476" t="s">
        <v>563</v>
      </c>
      <c r="C16" s="856"/>
      <c r="D16" s="477">
        <v>0</v>
      </c>
      <c r="E16" s="477">
        <v>4</v>
      </c>
      <c r="F16" s="477">
        <v>4</v>
      </c>
      <c r="G16" s="477">
        <v>9</v>
      </c>
      <c r="H16" s="477">
        <v>4</v>
      </c>
      <c r="I16" s="477">
        <v>4</v>
      </c>
      <c r="J16" s="477">
        <v>4</v>
      </c>
      <c r="K16" s="477">
        <v>4</v>
      </c>
      <c r="L16" s="477">
        <v>4</v>
      </c>
      <c r="M16" s="477"/>
      <c r="N16" s="477"/>
      <c r="O16" s="478"/>
    </row>
    <row r="17" spans="1:15" s="113" customFormat="1" ht="17.25" customHeight="1">
      <c r="B17" s="479" t="s">
        <v>564</v>
      </c>
      <c r="C17" s="862"/>
      <c r="D17" s="114">
        <f>12-D16</f>
        <v>12</v>
      </c>
      <c r="E17" s="114">
        <f>12-E16</f>
        <v>8</v>
      </c>
      <c r="F17" s="114">
        <f t="shared" ref="F17:K17" si="0">12-F16</f>
        <v>8</v>
      </c>
      <c r="G17" s="114">
        <f t="shared" si="0"/>
        <v>3</v>
      </c>
      <c r="H17" s="114">
        <f t="shared" si="0"/>
        <v>8</v>
      </c>
      <c r="I17" s="114">
        <f t="shared" si="0"/>
        <v>8</v>
      </c>
      <c r="J17" s="114">
        <f t="shared" si="0"/>
        <v>8</v>
      </c>
      <c r="K17" s="114">
        <f t="shared" si="0"/>
        <v>8</v>
      </c>
      <c r="L17" s="114">
        <f t="shared" ref="L17:O17" si="1">12-L16</f>
        <v>8</v>
      </c>
      <c r="M17" s="114">
        <f t="shared" si="1"/>
        <v>12</v>
      </c>
      <c r="N17" s="114">
        <f t="shared" si="1"/>
        <v>12</v>
      </c>
      <c r="O17" s="115">
        <f t="shared" si="1"/>
        <v>12</v>
      </c>
    </row>
    <row r="18" spans="1:15" s="7" customFormat="1" ht="17.25" customHeight="1">
      <c r="B18" s="480" t="str">
        <f>'1.  LRAMVA Summary'!B27</f>
        <v>Residential</v>
      </c>
      <c r="C18" s="855" t="str">
        <f>'2. LRAMVA Threshold'!D43</f>
        <v>kWh</v>
      </c>
      <c r="D18" s="47">
        <v>1.78E-2</v>
      </c>
      <c r="E18" s="47">
        <v>1.6899999999999998E-2</v>
      </c>
      <c r="F18" s="47">
        <v>1.7000000000000001E-2</v>
      </c>
      <c r="G18" s="47">
        <v>1.9300000000000001E-2</v>
      </c>
      <c r="H18" s="47">
        <v>1.9599999999999999E-2</v>
      </c>
      <c r="I18" s="47">
        <v>1.9900000000000001E-2</v>
      </c>
      <c r="J18" s="47">
        <v>1.52E-2</v>
      </c>
      <c r="K18" s="47">
        <v>1.03E-2</v>
      </c>
      <c r="L18" s="47">
        <v>5.3E-3</v>
      </c>
      <c r="M18" s="47"/>
      <c r="N18" s="47"/>
      <c r="O18" s="71"/>
    </row>
    <row r="19" spans="1:15" s="7" customFormat="1" ht="15" hidden="1" customHeight="1" outlineLevel="1">
      <c r="B19" s="536" t="s">
        <v>515</v>
      </c>
      <c r="C19" s="856"/>
      <c r="D19" s="47"/>
      <c r="E19" s="47">
        <v>-1E-4</v>
      </c>
      <c r="F19" s="47">
        <v>-2.0000000000000001E-4</v>
      </c>
      <c r="G19" s="47"/>
      <c r="H19" s="47"/>
      <c r="I19" s="47"/>
      <c r="J19" s="47">
        <f>0.12/750</f>
        <v>1.5999999999999999E-4</v>
      </c>
      <c r="K19" s="47">
        <f>0.12/750</f>
        <v>1.5999999999999999E-4</v>
      </c>
      <c r="L19" s="47">
        <f>0.11/690</f>
        <v>1.5942028985507247E-4</v>
      </c>
      <c r="M19" s="47"/>
      <c r="N19" s="47"/>
      <c r="O19" s="71"/>
    </row>
    <row r="20" spans="1:15" s="7" customFormat="1" ht="15" hidden="1" customHeight="1" outlineLevel="1">
      <c r="B20" s="536" t="s">
        <v>516</v>
      </c>
      <c r="C20" s="856"/>
      <c r="D20" s="47"/>
      <c r="E20" s="47"/>
      <c r="F20" s="47"/>
      <c r="G20" s="47">
        <f>0.98/2000</f>
        <v>4.8999999999999998E-4</v>
      </c>
      <c r="H20" s="47"/>
      <c r="I20" s="47"/>
      <c r="J20" s="47"/>
      <c r="K20" s="47"/>
      <c r="L20" s="47"/>
      <c r="M20" s="47"/>
      <c r="N20" s="47"/>
      <c r="O20" s="71"/>
    </row>
    <row r="21" spans="1:15" s="7" customFormat="1" ht="15" hidden="1" customHeight="1" outlineLevel="1">
      <c r="B21" s="536" t="s">
        <v>493</v>
      </c>
      <c r="C21" s="856"/>
      <c r="D21" s="47"/>
      <c r="E21" s="47"/>
      <c r="F21" s="47"/>
      <c r="G21" s="47"/>
      <c r="H21" s="47"/>
      <c r="I21" s="47"/>
      <c r="J21" s="47"/>
      <c r="K21" s="47"/>
      <c r="L21" s="47"/>
      <c r="M21" s="47"/>
      <c r="N21" s="47"/>
      <c r="O21" s="71"/>
    </row>
    <row r="22" spans="1:15" s="7" customFormat="1" ht="14.25" customHeight="1" collapsed="1">
      <c r="B22" s="536" t="s">
        <v>517</v>
      </c>
      <c r="C22" s="857"/>
      <c r="D22" s="67">
        <f>SUM(D18:D21)</f>
        <v>1.78E-2</v>
      </c>
      <c r="E22" s="67">
        <f>SUM(E18:E21)</f>
        <v>1.6799999999999999E-2</v>
      </c>
      <c r="F22" s="67">
        <f>SUM(F18:F21)</f>
        <v>1.6800000000000002E-2</v>
      </c>
      <c r="G22" s="67">
        <f t="shared" ref="G22:N22" si="2">SUM(G18:G21)</f>
        <v>1.9790000000000002E-2</v>
      </c>
      <c r="H22" s="67">
        <f t="shared" si="2"/>
        <v>1.9599999999999999E-2</v>
      </c>
      <c r="I22" s="67">
        <f t="shared" si="2"/>
        <v>1.9900000000000001E-2</v>
      </c>
      <c r="J22" s="67">
        <f t="shared" si="2"/>
        <v>1.536E-2</v>
      </c>
      <c r="K22" s="67">
        <f t="shared" si="2"/>
        <v>1.0460000000000001E-2</v>
      </c>
      <c r="L22" s="67">
        <f t="shared" si="2"/>
        <v>5.4594202898550727E-3</v>
      </c>
      <c r="M22" s="67">
        <f t="shared" si="2"/>
        <v>0</v>
      </c>
      <c r="N22" s="67">
        <f t="shared" si="2"/>
        <v>0</v>
      </c>
      <c r="O22" s="78"/>
    </row>
    <row r="23" spans="1:15" s="65" customFormat="1">
      <c r="A23" s="64"/>
      <c r="B23" s="492" t="s">
        <v>518</v>
      </c>
      <c r="C23" s="482"/>
      <c r="D23" s="483"/>
      <c r="E23" s="484">
        <f>ROUND(SUM(D22*E16+E22*E17)/12,4)</f>
        <v>1.7100000000000001E-2</v>
      </c>
      <c r="F23" s="484">
        <f>ROUND(SUM(E22*F16+F22*F17)/12,4)</f>
        <v>1.6799999999999999E-2</v>
      </c>
      <c r="G23" s="484">
        <f>ROUND(SUM(F22*G16+G22*G17)/12,4)</f>
        <v>1.7500000000000002E-2</v>
      </c>
      <c r="H23" s="484">
        <f>ROUND(SUM(G22*H16+H22*H17)/12,4)</f>
        <v>1.9699999999999999E-2</v>
      </c>
      <c r="I23" s="484">
        <f>ROUND(SUM(H22*I16+I22*I17)/12,4)</f>
        <v>1.9800000000000002E-2</v>
      </c>
      <c r="J23" s="484">
        <f t="shared" ref="J23:N23" si="3">ROUND(SUM(I22*J16+J22*J17)/12,4)</f>
        <v>1.6899999999999998E-2</v>
      </c>
      <c r="K23" s="484">
        <f t="shared" si="3"/>
        <v>1.21E-2</v>
      </c>
      <c r="L23" s="484">
        <f t="shared" si="3"/>
        <v>7.1000000000000004E-3</v>
      </c>
      <c r="M23" s="484">
        <f t="shared" si="3"/>
        <v>0</v>
      </c>
      <c r="N23" s="484">
        <f t="shared" si="3"/>
        <v>0</v>
      </c>
      <c r="O23" s="485"/>
    </row>
    <row r="24" spans="1:15" s="65" customFormat="1">
      <c r="A24" s="64"/>
      <c r="B24" s="481"/>
      <c r="C24" s="486"/>
      <c r="D24" s="483"/>
      <c r="E24" s="484"/>
      <c r="F24" s="484"/>
      <c r="G24" s="484"/>
      <c r="H24" s="484"/>
      <c r="I24" s="484"/>
      <c r="J24" s="484"/>
      <c r="K24" s="484"/>
      <c r="L24" s="487"/>
      <c r="M24" s="487"/>
      <c r="N24" s="487"/>
      <c r="O24" s="485"/>
    </row>
    <row r="25" spans="1:15" s="65" customFormat="1" ht="15.75" customHeight="1">
      <c r="A25" s="64"/>
      <c r="B25" s="604" t="str">
        <f>'1.  LRAMVA Summary'!B28</f>
        <v>GS&lt;50 kW</v>
      </c>
      <c r="C25" s="855" t="str">
        <f>'2. LRAMVA Threshold'!E43</f>
        <v>kWh</v>
      </c>
      <c r="D25" s="47">
        <v>1.12E-2</v>
      </c>
      <c r="E25" s="47">
        <v>1.12E-2</v>
      </c>
      <c r="F25" s="47">
        <v>1.1299999999999999E-2</v>
      </c>
      <c r="G25" s="47">
        <v>1.3100000000000001E-2</v>
      </c>
      <c r="H25" s="47">
        <v>1.3299999999999999E-2</v>
      </c>
      <c r="I25" s="47">
        <v>1.35E-2</v>
      </c>
      <c r="J25" s="47">
        <v>1.37E-2</v>
      </c>
      <c r="K25" s="47">
        <v>1.3899999999999999E-2</v>
      </c>
      <c r="L25" s="47">
        <v>1.4E-2</v>
      </c>
      <c r="M25" s="47"/>
      <c r="N25" s="47"/>
      <c r="O25" s="71"/>
    </row>
    <row r="26" spans="1:15" s="18" customFormat="1" hidden="1" outlineLevel="1">
      <c r="A26" s="4"/>
      <c r="B26" s="536" t="s">
        <v>515</v>
      </c>
      <c r="C26" s="856"/>
      <c r="D26" s="47"/>
      <c r="E26" s="47">
        <v>-1E-4</v>
      </c>
      <c r="F26" s="47">
        <v>-1E-4</v>
      </c>
      <c r="G26" s="47"/>
      <c r="H26" s="47"/>
      <c r="I26" s="47"/>
      <c r="J26" s="47">
        <v>1E-4</v>
      </c>
      <c r="K26" s="47">
        <v>1E-4</v>
      </c>
      <c r="L26" s="47">
        <v>1E-4</v>
      </c>
      <c r="M26" s="47"/>
      <c r="N26" s="47"/>
      <c r="O26" s="71"/>
    </row>
    <row r="27" spans="1:15" s="18" customFormat="1" hidden="1" outlineLevel="1">
      <c r="A27" s="4"/>
      <c r="B27" s="536" t="s">
        <v>516</v>
      </c>
      <c r="C27" s="856"/>
      <c r="D27" s="47"/>
      <c r="E27" s="47"/>
      <c r="F27" s="47"/>
      <c r="G27" s="47">
        <f>0.98/2000</f>
        <v>4.8999999999999998E-4</v>
      </c>
      <c r="H27" s="47"/>
      <c r="I27" s="47"/>
      <c r="J27" s="47"/>
      <c r="K27" s="47"/>
      <c r="L27" s="47"/>
      <c r="M27" s="47"/>
      <c r="N27" s="47"/>
      <c r="O27" s="71"/>
    </row>
    <row r="28" spans="1:15" s="18" customFormat="1" hidden="1" outlineLevel="1">
      <c r="A28" s="4"/>
      <c r="B28" s="536" t="s">
        <v>493</v>
      </c>
      <c r="C28" s="856"/>
      <c r="D28" s="47"/>
      <c r="E28" s="47"/>
      <c r="F28" s="47"/>
      <c r="G28" s="47"/>
      <c r="H28" s="47"/>
      <c r="I28" s="47"/>
      <c r="J28" s="47"/>
      <c r="K28" s="47"/>
      <c r="L28" s="47"/>
      <c r="M28" s="47"/>
      <c r="N28" s="47"/>
      <c r="O28" s="71"/>
    </row>
    <row r="29" spans="1:15" s="18" customFormat="1" collapsed="1">
      <c r="A29" s="4"/>
      <c r="B29" s="536" t="s">
        <v>517</v>
      </c>
      <c r="C29" s="857"/>
      <c r="D29" s="67">
        <f>SUM(D25:D28)</f>
        <v>1.12E-2</v>
      </c>
      <c r="E29" s="67">
        <f t="shared" ref="E29:N29" si="4">SUM(E25:E28)</f>
        <v>1.11E-2</v>
      </c>
      <c r="F29" s="67">
        <f t="shared" si="4"/>
        <v>1.12E-2</v>
      </c>
      <c r="G29" s="67">
        <f t="shared" si="4"/>
        <v>1.3590000000000001E-2</v>
      </c>
      <c r="H29" s="67">
        <f t="shared" si="4"/>
        <v>1.3299999999999999E-2</v>
      </c>
      <c r="I29" s="67">
        <f t="shared" si="4"/>
        <v>1.35E-2</v>
      </c>
      <c r="J29" s="67">
        <f t="shared" si="4"/>
        <v>1.38E-2</v>
      </c>
      <c r="K29" s="67">
        <f t="shared" si="4"/>
        <v>1.3999999999999999E-2</v>
      </c>
      <c r="L29" s="67">
        <f t="shared" si="4"/>
        <v>1.41E-2</v>
      </c>
      <c r="M29" s="67">
        <f t="shared" si="4"/>
        <v>0</v>
      </c>
      <c r="N29" s="67">
        <f t="shared" si="4"/>
        <v>0</v>
      </c>
      <c r="O29" s="78"/>
    </row>
    <row r="30" spans="1:15" s="18" customFormat="1">
      <c r="A30" s="4"/>
      <c r="B30" s="492" t="s">
        <v>518</v>
      </c>
      <c r="C30" s="488"/>
      <c r="D30" s="73"/>
      <c r="E30" s="484">
        <f>ROUND(SUM(D29*E16+E29*E17)/12,4)</f>
        <v>1.11E-2</v>
      </c>
      <c r="F30" s="484">
        <f t="shared" ref="F30:N30" si="5">ROUND(SUM(E29*F16+F29*F17)/12,4)</f>
        <v>1.12E-2</v>
      </c>
      <c r="G30" s="484">
        <f t="shared" si="5"/>
        <v>1.18E-2</v>
      </c>
      <c r="H30" s="484">
        <f t="shared" si="5"/>
        <v>1.34E-2</v>
      </c>
      <c r="I30" s="484">
        <f t="shared" si="5"/>
        <v>1.34E-2</v>
      </c>
      <c r="J30" s="484">
        <f>ROUND(SUM(I29*J16+J29*J17)/12,4)</f>
        <v>1.37E-2</v>
      </c>
      <c r="K30" s="484">
        <f t="shared" si="5"/>
        <v>1.3899999999999999E-2</v>
      </c>
      <c r="L30" s="484">
        <f t="shared" si="5"/>
        <v>1.41E-2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6" customFormat="1">
      <c r="B32" s="604" t="str">
        <f>'1.  LRAMVA Summary'!B29</f>
        <v>GS&gt;50 kW</v>
      </c>
      <c r="C32" s="855" t="str">
        <f>'2. LRAMVA Threshold'!F43</f>
        <v>kW</v>
      </c>
      <c r="D32" s="47">
        <v>2.2848999999999999</v>
      </c>
      <c r="E32" s="47">
        <v>2.6221999999999999</v>
      </c>
      <c r="F32" s="47">
        <v>2.64</v>
      </c>
      <c r="G32" s="47">
        <v>3.085</v>
      </c>
      <c r="H32" s="47">
        <v>3.1282000000000001</v>
      </c>
      <c r="I32" s="47">
        <v>3.1688999999999998</v>
      </c>
      <c r="J32" s="47">
        <v>3.2259000000000002</v>
      </c>
      <c r="K32" s="47">
        <v>3.2824</v>
      </c>
      <c r="L32" s="47">
        <v>3.3169</v>
      </c>
      <c r="M32" s="47"/>
      <c r="N32" s="47"/>
      <c r="O32" s="71"/>
    </row>
    <row r="33" spans="1:15" s="18" customFormat="1" hidden="1" outlineLevel="1">
      <c r="A33" s="4"/>
      <c r="B33" s="536" t="s">
        <v>515</v>
      </c>
      <c r="C33" s="856"/>
      <c r="D33" s="47"/>
      <c r="E33" s="47">
        <v>-8.6E-3</v>
      </c>
      <c r="F33" s="47">
        <v>-2.4E-2</v>
      </c>
      <c r="G33" s="47"/>
      <c r="H33" s="47"/>
      <c r="I33" s="47"/>
      <c r="J33" s="47">
        <v>2.06E-2</v>
      </c>
      <c r="K33" s="47">
        <v>2.01E-2</v>
      </c>
      <c r="L33" s="47">
        <v>1.9099999999999999E-2</v>
      </c>
      <c r="M33" s="47"/>
      <c r="N33" s="47"/>
      <c r="O33" s="71"/>
    </row>
    <row r="34" spans="1:15" s="18" customFormat="1" hidden="1" outlineLevel="1">
      <c r="A34" s="4"/>
      <c r="B34" s="536" t="s">
        <v>516</v>
      </c>
      <c r="C34" s="856"/>
      <c r="D34" s="47"/>
      <c r="E34" s="47"/>
      <c r="F34" s="47"/>
      <c r="G34" s="47">
        <f>2.21/250</f>
        <v>8.8400000000000006E-3</v>
      </c>
      <c r="H34" s="47"/>
      <c r="I34" s="47"/>
      <c r="J34" s="47"/>
      <c r="K34" s="47"/>
      <c r="L34" s="47"/>
      <c r="M34" s="47"/>
      <c r="N34" s="47"/>
      <c r="O34" s="71"/>
    </row>
    <row r="35" spans="1:15" s="18" customFormat="1" hidden="1" outlineLevel="1">
      <c r="A35" s="4"/>
      <c r="B35" s="536" t="s">
        <v>493</v>
      </c>
      <c r="C35" s="856"/>
      <c r="D35" s="47"/>
      <c r="E35" s="47"/>
      <c r="F35" s="47"/>
      <c r="G35" s="47"/>
      <c r="H35" s="47"/>
      <c r="I35" s="47"/>
      <c r="J35" s="47"/>
      <c r="K35" s="47"/>
      <c r="L35" s="47"/>
      <c r="M35" s="47"/>
      <c r="N35" s="47"/>
      <c r="O35" s="71"/>
    </row>
    <row r="36" spans="1:15" s="18" customFormat="1" collapsed="1">
      <c r="A36" s="4"/>
      <c r="B36" s="536" t="s">
        <v>517</v>
      </c>
      <c r="C36" s="857"/>
      <c r="D36" s="67">
        <f>SUM(D32:D35)</f>
        <v>2.2848999999999999</v>
      </c>
      <c r="E36" s="67">
        <f>SUM(E32:E35)</f>
        <v>2.6135999999999999</v>
      </c>
      <c r="F36" s="67">
        <f t="shared" ref="F36:M36" si="6">SUM(F32:F35)</f>
        <v>2.6160000000000001</v>
      </c>
      <c r="G36" s="67">
        <f t="shared" si="6"/>
        <v>3.0938400000000001</v>
      </c>
      <c r="H36" s="67">
        <f t="shared" si="6"/>
        <v>3.1282000000000001</v>
      </c>
      <c r="I36" s="67">
        <f t="shared" si="6"/>
        <v>3.1688999999999998</v>
      </c>
      <c r="J36" s="67">
        <f t="shared" si="6"/>
        <v>3.2465000000000002</v>
      </c>
      <c r="K36" s="67">
        <f t="shared" si="6"/>
        <v>3.3024999999999998</v>
      </c>
      <c r="L36" s="67">
        <f t="shared" si="6"/>
        <v>3.3359999999999999</v>
      </c>
      <c r="M36" s="67">
        <f t="shared" si="6"/>
        <v>0</v>
      </c>
      <c r="N36" s="67">
        <f>SUM(N32:N35)</f>
        <v>0</v>
      </c>
      <c r="O36" s="78"/>
    </row>
    <row r="37" spans="1:15" s="18" customFormat="1">
      <c r="A37" s="4"/>
      <c r="B37" s="492" t="s">
        <v>518</v>
      </c>
      <c r="C37" s="488"/>
      <c r="D37" s="73"/>
      <c r="E37" s="484">
        <f t="shared" ref="E37:N37" si="7">ROUND(SUM(D36*E16+E36*E17)/12,4)</f>
        <v>2.504</v>
      </c>
      <c r="F37" s="484">
        <f t="shared" si="7"/>
        <v>2.6152000000000002</v>
      </c>
      <c r="G37" s="484">
        <f t="shared" si="7"/>
        <v>2.7355</v>
      </c>
      <c r="H37" s="484">
        <f t="shared" si="7"/>
        <v>3.1166999999999998</v>
      </c>
      <c r="I37" s="484">
        <f t="shared" si="7"/>
        <v>3.1553</v>
      </c>
      <c r="J37" s="484">
        <f t="shared" si="7"/>
        <v>3.2206000000000001</v>
      </c>
      <c r="K37" s="484">
        <f t="shared" si="7"/>
        <v>3.2837999999999998</v>
      </c>
      <c r="L37" s="484">
        <f t="shared" si="7"/>
        <v>3.3248000000000002</v>
      </c>
      <c r="M37" s="484">
        <f t="shared" si="7"/>
        <v>0</v>
      </c>
      <c r="N37" s="484">
        <f t="shared" si="7"/>
        <v>0</v>
      </c>
      <c r="O37" s="489"/>
    </row>
    <row r="38" spans="1:15" s="72" customFormat="1" ht="15.75" customHeight="1">
      <c r="B38" s="492"/>
      <c r="C38" s="488"/>
      <c r="D38" s="73"/>
      <c r="E38" s="73"/>
      <c r="F38" s="73"/>
      <c r="G38" s="73"/>
      <c r="H38" s="73"/>
      <c r="I38" s="73"/>
      <c r="J38" s="73"/>
      <c r="K38" s="73"/>
      <c r="L38" s="487"/>
      <c r="M38" s="487"/>
      <c r="N38" s="487"/>
      <c r="O38" s="493"/>
    </row>
    <row r="39" spans="1:15" s="66" customFormat="1">
      <c r="A39" s="64"/>
      <c r="B39" s="604" t="str">
        <f>'1.  LRAMVA Summary'!B30</f>
        <v>Streetlights</v>
      </c>
      <c r="C39" s="855" t="str">
        <f>'2. LRAMVA Threshold'!G43</f>
        <v>kW</v>
      </c>
      <c r="D39" s="47">
        <v>11.224</v>
      </c>
      <c r="E39" s="47">
        <v>13.9108</v>
      </c>
      <c r="F39" s="47">
        <v>14.0054</v>
      </c>
      <c r="G39" s="47">
        <v>14.3874</v>
      </c>
      <c r="H39" s="47">
        <v>14.588800000000001</v>
      </c>
      <c r="I39" s="47">
        <v>14.778499999999999</v>
      </c>
      <c r="J39" s="47">
        <v>15.044499999999999</v>
      </c>
      <c r="K39" s="47">
        <v>15.3078</v>
      </c>
      <c r="L39" s="47">
        <v>15.468500000000001</v>
      </c>
      <c r="M39" s="47"/>
      <c r="N39" s="47"/>
      <c r="O39" s="71"/>
    </row>
    <row r="40" spans="1:15" s="18" customFormat="1" hidden="1" outlineLevel="1">
      <c r="A40" s="4"/>
      <c r="B40" s="536" t="s">
        <v>515</v>
      </c>
      <c r="C40" s="856"/>
      <c r="D40" s="47"/>
      <c r="E40" s="47">
        <v>-8.9899999999999994E-2</v>
      </c>
      <c r="F40" s="47">
        <v>-0.2505</v>
      </c>
      <c r="G40" s="47"/>
      <c r="H40" s="47"/>
      <c r="I40" s="47"/>
      <c r="J40" s="47">
        <v>0.1812</v>
      </c>
      <c r="K40" s="47">
        <v>0.18079999999999999</v>
      </c>
      <c r="L40" s="47">
        <v>0.19059999999999999</v>
      </c>
      <c r="M40" s="47"/>
      <c r="N40" s="47"/>
      <c r="O40" s="71"/>
    </row>
    <row r="41" spans="1:15" s="18" customFormat="1" hidden="1" outlineLevel="1">
      <c r="A41" s="4"/>
      <c r="B41" s="536" t="s">
        <v>516</v>
      </c>
      <c r="C41" s="856"/>
      <c r="D41" s="47"/>
      <c r="E41" s="47"/>
      <c r="F41" s="47"/>
      <c r="G41" s="47">
        <f>0.06/250</f>
        <v>2.3999999999999998E-4</v>
      </c>
      <c r="H41" s="47"/>
      <c r="I41" s="47"/>
      <c r="J41" s="47"/>
      <c r="K41" s="47"/>
      <c r="L41" s="47"/>
      <c r="M41" s="47"/>
      <c r="N41" s="47"/>
      <c r="O41" s="71"/>
    </row>
    <row r="42" spans="1:15" s="18" customFormat="1" hidden="1" outlineLevel="1">
      <c r="A42" s="4"/>
      <c r="B42" s="536" t="s">
        <v>493</v>
      </c>
      <c r="C42" s="856"/>
      <c r="D42" s="47"/>
      <c r="E42" s="47"/>
      <c r="F42" s="47"/>
      <c r="G42" s="47"/>
      <c r="H42" s="47"/>
      <c r="I42" s="47"/>
      <c r="J42" s="47"/>
      <c r="K42" s="47"/>
      <c r="L42" s="47"/>
      <c r="M42" s="47"/>
      <c r="N42" s="47"/>
      <c r="O42" s="71"/>
    </row>
    <row r="43" spans="1:15" s="18" customFormat="1" collapsed="1">
      <c r="A43" s="4"/>
      <c r="B43" s="536" t="s">
        <v>517</v>
      </c>
      <c r="C43" s="857"/>
      <c r="D43" s="67">
        <f>SUM(D39:D42)</f>
        <v>11.224</v>
      </c>
      <c r="E43" s="67">
        <f t="shared" ref="E43:N43" si="8">SUM(E39:E42)</f>
        <v>13.8209</v>
      </c>
      <c r="F43" s="67">
        <f t="shared" si="8"/>
        <v>13.754899999999999</v>
      </c>
      <c r="G43" s="67">
        <f t="shared" si="8"/>
        <v>14.387639999999999</v>
      </c>
      <c r="H43" s="67">
        <f t="shared" si="8"/>
        <v>14.588800000000001</v>
      </c>
      <c r="I43" s="67">
        <f t="shared" si="8"/>
        <v>14.778499999999999</v>
      </c>
      <c r="J43" s="67">
        <f t="shared" si="8"/>
        <v>15.2257</v>
      </c>
      <c r="K43" s="67">
        <f t="shared" si="8"/>
        <v>15.4886</v>
      </c>
      <c r="L43" s="67">
        <f t="shared" si="8"/>
        <v>15.6591</v>
      </c>
      <c r="M43" s="67">
        <f t="shared" si="8"/>
        <v>0</v>
      </c>
      <c r="N43" s="67">
        <f t="shared" si="8"/>
        <v>0</v>
      </c>
      <c r="O43" s="78"/>
    </row>
    <row r="44" spans="1:15" s="14" customFormat="1">
      <c r="A44" s="74"/>
      <c r="B44" s="492" t="s">
        <v>518</v>
      </c>
      <c r="C44" s="488"/>
      <c r="D44" s="73"/>
      <c r="E44" s="484">
        <f t="shared" ref="E44:N44" si="9">ROUND(SUM(D43*E16+E43*E17)/12,4)</f>
        <v>12.955299999999999</v>
      </c>
      <c r="F44" s="484">
        <f t="shared" si="9"/>
        <v>13.776899999999999</v>
      </c>
      <c r="G44" s="484">
        <f t="shared" si="9"/>
        <v>13.9131</v>
      </c>
      <c r="H44" s="484">
        <f t="shared" si="9"/>
        <v>14.521699999999999</v>
      </c>
      <c r="I44" s="484">
        <f t="shared" si="9"/>
        <v>14.715299999999999</v>
      </c>
      <c r="J44" s="484">
        <f t="shared" si="9"/>
        <v>15.076599999999999</v>
      </c>
      <c r="K44" s="484">
        <f t="shared" si="9"/>
        <v>15.401</v>
      </c>
      <c r="L44" s="484">
        <f t="shared" si="9"/>
        <v>15.6023</v>
      </c>
      <c r="M44" s="484">
        <f t="shared" si="9"/>
        <v>0</v>
      </c>
      <c r="N44" s="484">
        <f t="shared" si="9"/>
        <v>0</v>
      </c>
      <c r="O44" s="489"/>
    </row>
    <row r="45" spans="1:15" s="72" customFormat="1" ht="14.25">
      <c r="A45" s="74"/>
      <c r="B45" s="492"/>
      <c r="C45" s="488"/>
      <c r="D45" s="73"/>
      <c r="E45" s="73"/>
      <c r="F45" s="73"/>
      <c r="G45" s="73"/>
      <c r="H45" s="73"/>
      <c r="I45" s="73"/>
      <c r="J45" s="73"/>
      <c r="K45" s="73"/>
      <c r="L45" s="487"/>
      <c r="M45" s="487"/>
      <c r="N45" s="487"/>
      <c r="O45" s="493"/>
    </row>
    <row r="46" spans="1:15" s="66" customFormat="1">
      <c r="A46" s="64"/>
      <c r="B46" s="604" t="str">
        <f>'1.  LRAMVA Summary'!B31</f>
        <v>Unmetered Scattered Load</v>
      </c>
      <c r="C46" s="855" t="str">
        <f>'2. LRAMVA Threshold'!H43</f>
        <v>KWh</v>
      </c>
      <c r="D46" s="47">
        <v>1.7600000000000001E-2</v>
      </c>
      <c r="E46" s="47">
        <v>1.7600000000000001E-2</v>
      </c>
      <c r="F46" s="47">
        <v>1.77E-2</v>
      </c>
      <c r="G46" s="47">
        <v>1.1299999999999999E-2</v>
      </c>
      <c r="H46" s="47">
        <v>1.15E-2</v>
      </c>
      <c r="I46" s="47">
        <v>1.1599999999999999E-2</v>
      </c>
      <c r="J46" s="47">
        <v>1.18E-2</v>
      </c>
      <c r="K46" s="47">
        <v>1.2E-2</v>
      </c>
      <c r="L46" s="47">
        <v>1.21E-2</v>
      </c>
      <c r="M46" s="47"/>
      <c r="N46" s="47"/>
      <c r="O46" s="71"/>
    </row>
    <row r="47" spans="1:15" s="18" customFormat="1" hidden="1" outlineLevel="1">
      <c r="A47" s="4"/>
      <c r="B47" s="536" t="s">
        <v>515</v>
      </c>
      <c r="C47" s="856"/>
      <c r="D47" s="47">
        <v>-2.3999999999999998E-3</v>
      </c>
      <c r="E47" s="47">
        <v>-1.6999999999999999E-3</v>
      </c>
      <c r="F47" s="47">
        <v>-1E-4</v>
      </c>
      <c r="G47" s="47"/>
      <c r="H47" s="47"/>
      <c r="I47" s="47"/>
      <c r="J47" s="47">
        <v>1E-4</v>
      </c>
      <c r="K47" s="47">
        <v>1E-4</v>
      </c>
      <c r="L47" s="47">
        <v>1E-4</v>
      </c>
      <c r="M47" s="47"/>
      <c r="N47" s="47"/>
      <c r="O47" s="71"/>
    </row>
    <row r="48" spans="1:15" s="18" customFormat="1" hidden="1" outlineLevel="1">
      <c r="A48" s="4"/>
      <c r="B48" s="536" t="s">
        <v>516</v>
      </c>
      <c r="C48" s="856"/>
      <c r="D48" s="47"/>
      <c r="E48" s="47"/>
      <c r="F48" s="47"/>
      <c r="G48" s="47">
        <f>-1.12/150</f>
        <v>-7.4666666666666675E-3</v>
      </c>
      <c r="H48" s="47"/>
      <c r="I48" s="47"/>
      <c r="J48" s="47"/>
      <c r="K48" s="47"/>
      <c r="L48" s="47"/>
      <c r="M48" s="47"/>
      <c r="N48" s="47"/>
      <c r="O48" s="71"/>
    </row>
    <row r="49" spans="1:15" s="18" customFormat="1" hidden="1" outlineLevel="1">
      <c r="A49" s="4"/>
      <c r="B49" s="536" t="s">
        <v>493</v>
      </c>
      <c r="C49" s="856"/>
      <c r="D49" s="47"/>
      <c r="E49" s="47"/>
      <c r="F49" s="47"/>
      <c r="G49" s="47"/>
      <c r="H49" s="47"/>
      <c r="I49" s="47"/>
      <c r="J49" s="47"/>
      <c r="K49" s="47"/>
      <c r="L49" s="47"/>
      <c r="M49" s="47"/>
      <c r="N49" s="47"/>
      <c r="O49" s="71"/>
    </row>
    <row r="50" spans="1:15" s="18" customFormat="1" collapsed="1">
      <c r="A50" s="4"/>
      <c r="B50" s="536" t="s">
        <v>517</v>
      </c>
      <c r="C50" s="857"/>
      <c r="D50" s="67">
        <f>SUM(D46:D49)</f>
        <v>1.5200000000000002E-2</v>
      </c>
      <c r="E50" s="67">
        <f t="shared" ref="E50:N50" si="10">SUM(E46:E49)</f>
        <v>1.5900000000000001E-2</v>
      </c>
      <c r="F50" s="67">
        <f t="shared" si="10"/>
        <v>1.7600000000000001E-2</v>
      </c>
      <c r="G50" s="67">
        <f t="shared" si="10"/>
        <v>3.8333333333333318E-3</v>
      </c>
      <c r="H50" s="67">
        <f t="shared" si="10"/>
        <v>1.15E-2</v>
      </c>
      <c r="I50" s="67">
        <f t="shared" si="10"/>
        <v>1.1599999999999999E-2</v>
      </c>
      <c r="J50" s="67">
        <f t="shared" si="10"/>
        <v>1.1899999999999999E-2</v>
      </c>
      <c r="K50" s="67">
        <f t="shared" si="10"/>
        <v>1.21E-2</v>
      </c>
      <c r="L50" s="67">
        <f t="shared" si="10"/>
        <v>1.2199999999999999E-2</v>
      </c>
      <c r="M50" s="67">
        <f t="shared" si="10"/>
        <v>0</v>
      </c>
      <c r="N50" s="67">
        <f t="shared" si="10"/>
        <v>0</v>
      </c>
      <c r="O50" s="78"/>
    </row>
    <row r="51" spans="1:15" s="14" customFormat="1">
      <c r="A51" s="74"/>
      <c r="B51" s="492" t="s">
        <v>518</v>
      </c>
      <c r="C51" s="488"/>
      <c r="D51" s="73"/>
      <c r="E51" s="484">
        <f t="shared" ref="E51:N51" si="11">ROUND(SUM(D50*E16+E50*E17)/12,4)</f>
        <v>1.5699999999999999E-2</v>
      </c>
      <c r="F51" s="484">
        <f t="shared" si="11"/>
        <v>1.7000000000000001E-2</v>
      </c>
      <c r="G51" s="484">
        <f t="shared" si="11"/>
        <v>1.4200000000000001E-2</v>
      </c>
      <c r="H51" s="484">
        <f t="shared" si="11"/>
        <v>8.8999999999999999E-3</v>
      </c>
      <c r="I51" s="484">
        <f t="shared" si="11"/>
        <v>1.1599999999999999E-2</v>
      </c>
      <c r="J51" s="484">
        <f t="shared" si="11"/>
        <v>1.18E-2</v>
      </c>
      <c r="K51" s="484">
        <f t="shared" si="11"/>
        <v>1.2E-2</v>
      </c>
      <c r="L51" s="484">
        <f t="shared" si="11"/>
        <v>1.2200000000000001E-2</v>
      </c>
      <c r="M51" s="484">
        <f t="shared" si="11"/>
        <v>0</v>
      </c>
      <c r="N51" s="484">
        <f t="shared" si="11"/>
        <v>0</v>
      </c>
      <c r="O51" s="489"/>
    </row>
    <row r="52" spans="1:15" s="72" customFormat="1" ht="14.25">
      <c r="A52" s="74"/>
      <c r="B52" s="492"/>
      <c r="C52" s="488"/>
      <c r="D52" s="73"/>
      <c r="E52" s="73"/>
      <c r="F52" s="73"/>
      <c r="G52" s="73"/>
      <c r="H52" s="73"/>
      <c r="I52" s="73"/>
      <c r="J52" s="73"/>
      <c r="K52" s="73"/>
      <c r="L52" s="494"/>
      <c r="M52" s="494"/>
      <c r="N52" s="494"/>
      <c r="O52" s="493"/>
    </row>
    <row r="53" spans="1:15" s="66" customFormat="1">
      <c r="A53" s="64"/>
      <c r="B53" s="604">
        <f>'1.  LRAMVA Summary'!B32</f>
        <v>0</v>
      </c>
      <c r="C53" s="855">
        <f>'2. LRAMVA Threshold'!I43</f>
        <v>0</v>
      </c>
      <c r="D53" s="47"/>
      <c r="E53" s="47"/>
      <c r="F53" s="47"/>
      <c r="G53" s="47"/>
      <c r="H53" s="47"/>
      <c r="I53" s="47"/>
      <c r="J53" s="47"/>
      <c r="K53" s="47"/>
      <c r="L53" s="47"/>
      <c r="M53" s="47"/>
      <c r="N53" s="47"/>
      <c r="O53" s="71"/>
    </row>
    <row r="54" spans="1:15" s="18" customFormat="1" hidden="1" outlineLevel="1">
      <c r="A54" s="4"/>
      <c r="B54" s="536" t="s">
        <v>515</v>
      </c>
      <c r="C54" s="856"/>
      <c r="D54" s="47"/>
      <c r="E54" s="47"/>
      <c r="F54" s="47"/>
      <c r="G54" s="47"/>
      <c r="H54" s="47"/>
      <c r="I54" s="47"/>
      <c r="J54" s="47"/>
      <c r="K54" s="47"/>
      <c r="L54" s="47"/>
      <c r="M54" s="47"/>
      <c r="N54" s="47"/>
      <c r="O54" s="71"/>
    </row>
    <row r="55" spans="1:15" s="18" customFormat="1" hidden="1" outlineLevel="1">
      <c r="A55" s="4"/>
      <c r="B55" s="536" t="s">
        <v>516</v>
      </c>
      <c r="C55" s="856"/>
      <c r="D55" s="47"/>
      <c r="E55" s="47"/>
      <c r="F55" s="47"/>
      <c r="G55" s="47"/>
      <c r="H55" s="47"/>
      <c r="I55" s="47"/>
      <c r="J55" s="47"/>
      <c r="K55" s="47"/>
      <c r="L55" s="47"/>
      <c r="M55" s="47"/>
      <c r="N55" s="47"/>
      <c r="O55" s="71"/>
    </row>
    <row r="56" spans="1:15" s="18" customFormat="1" hidden="1" outlineLevel="1">
      <c r="A56" s="4"/>
      <c r="B56" s="536" t="s">
        <v>493</v>
      </c>
      <c r="C56" s="856"/>
      <c r="D56" s="47"/>
      <c r="E56" s="47"/>
      <c r="F56" s="47"/>
      <c r="G56" s="47"/>
      <c r="H56" s="47"/>
      <c r="I56" s="47"/>
      <c r="J56" s="47"/>
      <c r="K56" s="47"/>
      <c r="L56" s="47"/>
      <c r="M56" s="47"/>
      <c r="N56" s="47"/>
      <c r="O56" s="71"/>
    </row>
    <row r="57" spans="1:15" s="18" customFormat="1" collapsed="1">
      <c r="A57" s="4"/>
      <c r="B57" s="536" t="s">
        <v>517</v>
      </c>
      <c r="C57" s="857"/>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2" t="s">
        <v>518</v>
      </c>
      <c r="C58" s="488"/>
      <c r="D58" s="73"/>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2" customFormat="1" ht="14.25">
      <c r="A59" s="74"/>
      <c r="B59" s="492"/>
      <c r="C59" s="488"/>
      <c r="D59" s="73"/>
      <c r="E59" s="73"/>
      <c r="F59" s="73"/>
      <c r="G59" s="73"/>
      <c r="H59" s="73"/>
      <c r="I59" s="73"/>
      <c r="J59" s="73"/>
      <c r="K59" s="73"/>
      <c r="L59" s="494"/>
      <c r="M59" s="494"/>
      <c r="N59" s="494"/>
      <c r="O59" s="493"/>
    </row>
    <row r="60" spans="1:15" s="66" customFormat="1">
      <c r="A60" s="64"/>
      <c r="B60" s="604">
        <f>'1.  LRAMVA Summary'!B33</f>
        <v>0</v>
      </c>
      <c r="C60" s="855">
        <f>'2. LRAMVA Threshold'!J43</f>
        <v>0</v>
      </c>
      <c r="D60" s="47"/>
      <c r="E60" s="47"/>
      <c r="F60" s="47"/>
      <c r="G60" s="47"/>
      <c r="H60" s="47"/>
      <c r="I60" s="47"/>
      <c r="J60" s="47"/>
      <c r="K60" s="47"/>
      <c r="L60" s="47"/>
      <c r="M60" s="47"/>
      <c r="N60" s="47"/>
      <c r="O60" s="71"/>
    </row>
    <row r="61" spans="1:15" s="18" customFormat="1" hidden="1" outlineLevel="1">
      <c r="A61" s="4"/>
      <c r="B61" s="536" t="s">
        <v>515</v>
      </c>
      <c r="C61" s="856"/>
      <c r="D61" s="47"/>
      <c r="E61" s="47"/>
      <c r="F61" s="47"/>
      <c r="G61" s="47"/>
      <c r="H61" s="47"/>
      <c r="I61" s="47"/>
      <c r="J61" s="47"/>
      <c r="K61" s="47"/>
      <c r="L61" s="47"/>
      <c r="M61" s="47"/>
      <c r="N61" s="47"/>
      <c r="O61" s="71"/>
    </row>
    <row r="62" spans="1:15" s="18" customFormat="1" hidden="1" outlineLevel="1">
      <c r="A62" s="4"/>
      <c r="B62" s="536" t="s">
        <v>516</v>
      </c>
      <c r="C62" s="856"/>
      <c r="D62" s="47"/>
      <c r="E62" s="47"/>
      <c r="F62" s="47"/>
      <c r="G62" s="47"/>
      <c r="H62" s="47"/>
      <c r="I62" s="47"/>
      <c r="J62" s="47"/>
      <c r="K62" s="47"/>
      <c r="L62" s="47"/>
      <c r="M62" s="47"/>
      <c r="N62" s="47"/>
      <c r="O62" s="71"/>
    </row>
    <row r="63" spans="1:15" s="18" customFormat="1" hidden="1" outlineLevel="1">
      <c r="A63" s="4"/>
      <c r="B63" s="536" t="s">
        <v>493</v>
      </c>
      <c r="C63" s="856"/>
      <c r="D63" s="47"/>
      <c r="E63" s="47"/>
      <c r="F63" s="47"/>
      <c r="G63" s="47"/>
      <c r="H63" s="47"/>
      <c r="I63" s="47"/>
      <c r="J63" s="47"/>
      <c r="K63" s="47"/>
      <c r="L63" s="47"/>
      <c r="M63" s="47"/>
      <c r="N63" s="47"/>
      <c r="O63" s="71"/>
    </row>
    <row r="64" spans="1:15" s="18" customFormat="1" collapsed="1">
      <c r="A64" s="4"/>
      <c r="B64" s="536" t="s">
        <v>517</v>
      </c>
      <c r="C64" s="857"/>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2" t="s">
        <v>518</v>
      </c>
      <c r="C65" s="488"/>
      <c r="D65" s="73"/>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4"/>
      <c r="B66" s="75"/>
      <c r="C66" s="82"/>
      <c r="D66" s="73"/>
      <c r="E66" s="73"/>
      <c r="F66" s="73"/>
      <c r="G66" s="73"/>
      <c r="H66" s="73"/>
      <c r="I66" s="73"/>
      <c r="J66" s="73"/>
      <c r="K66" s="73"/>
      <c r="L66" s="487"/>
      <c r="M66" s="487"/>
      <c r="N66" s="487"/>
      <c r="O66" s="489"/>
    </row>
    <row r="67" spans="1:15" s="66" customFormat="1">
      <c r="A67" s="64"/>
      <c r="B67" s="604">
        <f>'1.  LRAMVA Summary'!B34</f>
        <v>0</v>
      </c>
      <c r="C67" s="855">
        <f>'2. LRAMVA Threshold'!K43</f>
        <v>0</v>
      </c>
      <c r="D67" s="47"/>
      <c r="E67" s="47"/>
      <c r="F67" s="47"/>
      <c r="G67" s="47"/>
      <c r="H67" s="47"/>
      <c r="I67" s="47"/>
      <c r="J67" s="47"/>
      <c r="K67" s="47"/>
      <c r="L67" s="47"/>
      <c r="M67" s="47"/>
      <c r="N67" s="47"/>
      <c r="O67" s="71"/>
    </row>
    <row r="68" spans="1:15" s="18" customFormat="1" hidden="1" outlineLevel="1">
      <c r="A68" s="4"/>
      <c r="B68" s="536" t="s">
        <v>515</v>
      </c>
      <c r="C68" s="856"/>
      <c r="D68" s="47"/>
      <c r="E68" s="47"/>
      <c r="F68" s="47"/>
      <c r="G68" s="47"/>
      <c r="H68" s="47"/>
      <c r="I68" s="47"/>
      <c r="J68" s="47"/>
      <c r="K68" s="47"/>
      <c r="L68" s="47"/>
      <c r="M68" s="47"/>
      <c r="N68" s="47"/>
      <c r="O68" s="71"/>
    </row>
    <row r="69" spans="1:15" s="18" customFormat="1" hidden="1" outlineLevel="1">
      <c r="A69" s="4"/>
      <c r="B69" s="536" t="s">
        <v>516</v>
      </c>
      <c r="C69" s="856"/>
      <c r="D69" s="47"/>
      <c r="E69" s="47"/>
      <c r="F69" s="47"/>
      <c r="G69" s="47"/>
      <c r="H69" s="47"/>
      <c r="I69" s="47"/>
      <c r="J69" s="47"/>
      <c r="K69" s="47"/>
      <c r="L69" s="47"/>
      <c r="M69" s="47"/>
      <c r="N69" s="47"/>
      <c r="O69" s="71"/>
    </row>
    <row r="70" spans="1:15" s="18" customFormat="1" hidden="1" outlineLevel="1">
      <c r="A70" s="4"/>
      <c r="B70" s="536" t="s">
        <v>493</v>
      </c>
      <c r="C70" s="856"/>
      <c r="D70" s="47"/>
      <c r="E70" s="47"/>
      <c r="F70" s="47"/>
      <c r="G70" s="47"/>
      <c r="H70" s="47"/>
      <c r="I70" s="47"/>
      <c r="J70" s="47"/>
      <c r="K70" s="47"/>
      <c r="L70" s="47"/>
      <c r="M70" s="47"/>
      <c r="N70" s="47"/>
      <c r="O70" s="71"/>
    </row>
    <row r="71" spans="1:15" s="18" customFormat="1" collapsed="1">
      <c r="A71" s="4"/>
      <c r="B71" s="536" t="s">
        <v>517</v>
      </c>
      <c r="C71" s="857"/>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2" t="s">
        <v>518</v>
      </c>
      <c r="C72" s="488"/>
      <c r="D72" s="73"/>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4"/>
      <c r="B73" s="481"/>
      <c r="C73" s="488"/>
      <c r="D73" s="73"/>
      <c r="E73" s="484"/>
      <c r="F73" s="484"/>
      <c r="G73" s="484"/>
      <c r="H73" s="484"/>
      <c r="I73" s="484"/>
      <c r="J73" s="484"/>
      <c r="K73" s="484"/>
      <c r="L73" s="484"/>
      <c r="M73" s="484"/>
      <c r="N73" s="484"/>
      <c r="O73" s="489"/>
    </row>
    <row r="74" spans="1:15" s="66" customFormat="1">
      <c r="A74" s="64"/>
      <c r="B74" s="604">
        <f>'1.  LRAMVA Summary'!B35</f>
        <v>0</v>
      </c>
      <c r="C74" s="855">
        <f>'2. LRAMVA Threshold'!L43</f>
        <v>0</v>
      </c>
      <c r="D74" s="47"/>
      <c r="E74" s="47"/>
      <c r="F74" s="47"/>
      <c r="G74" s="47"/>
      <c r="H74" s="47"/>
      <c r="I74" s="47"/>
      <c r="J74" s="47"/>
      <c r="K74" s="47"/>
      <c r="L74" s="47"/>
      <c r="M74" s="47"/>
      <c r="N74" s="47"/>
      <c r="O74" s="71"/>
    </row>
    <row r="75" spans="1:15" s="18" customFormat="1" hidden="1" outlineLevel="1">
      <c r="A75" s="4"/>
      <c r="B75" s="536" t="s">
        <v>515</v>
      </c>
      <c r="C75" s="856"/>
      <c r="D75" s="47"/>
      <c r="E75" s="47"/>
      <c r="F75" s="47"/>
      <c r="G75" s="47"/>
      <c r="H75" s="47"/>
      <c r="I75" s="47"/>
      <c r="J75" s="47"/>
      <c r="K75" s="47"/>
      <c r="L75" s="47"/>
      <c r="M75" s="47"/>
      <c r="N75" s="47"/>
      <c r="O75" s="71"/>
    </row>
    <row r="76" spans="1:15" s="18" customFormat="1" hidden="1" outlineLevel="1">
      <c r="A76" s="4"/>
      <c r="B76" s="536" t="s">
        <v>516</v>
      </c>
      <c r="C76" s="856"/>
      <c r="D76" s="47"/>
      <c r="E76" s="47"/>
      <c r="F76" s="47"/>
      <c r="G76" s="47"/>
      <c r="H76" s="47"/>
      <c r="I76" s="47"/>
      <c r="J76" s="47"/>
      <c r="K76" s="47"/>
      <c r="L76" s="47"/>
      <c r="M76" s="47"/>
      <c r="N76" s="47"/>
      <c r="O76" s="71"/>
    </row>
    <row r="77" spans="1:15" s="18" customFormat="1" hidden="1" outlineLevel="1">
      <c r="A77" s="4"/>
      <c r="B77" s="536" t="s">
        <v>493</v>
      </c>
      <c r="C77" s="856"/>
      <c r="D77" s="47"/>
      <c r="E77" s="47"/>
      <c r="F77" s="47"/>
      <c r="G77" s="47"/>
      <c r="H77" s="47"/>
      <c r="I77" s="47"/>
      <c r="J77" s="47"/>
      <c r="K77" s="47"/>
      <c r="L77" s="47"/>
      <c r="M77" s="47"/>
      <c r="N77" s="47"/>
      <c r="O77" s="71"/>
    </row>
    <row r="78" spans="1:15" s="18" customFormat="1" collapsed="1">
      <c r="A78" s="4"/>
      <c r="B78" s="536" t="s">
        <v>517</v>
      </c>
      <c r="C78" s="857"/>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2" t="s">
        <v>518</v>
      </c>
      <c r="C79" s="488"/>
      <c r="D79" s="73"/>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4"/>
      <c r="B80" s="481"/>
      <c r="C80" s="488"/>
      <c r="D80" s="73"/>
      <c r="E80" s="484"/>
      <c r="F80" s="484"/>
      <c r="G80" s="484"/>
      <c r="H80" s="484"/>
      <c r="I80" s="484"/>
      <c r="J80" s="484"/>
      <c r="K80" s="484"/>
      <c r="L80" s="484"/>
      <c r="M80" s="484"/>
      <c r="N80" s="484"/>
      <c r="O80" s="489"/>
    </row>
    <row r="81" spans="1:15" s="66" customFormat="1">
      <c r="A81" s="64"/>
      <c r="B81" s="604">
        <f>'1.  LRAMVA Summary'!B36</f>
        <v>0</v>
      </c>
      <c r="C81" s="855">
        <f>'2. LRAMVA Threshold'!M43</f>
        <v>0</v>
      </c>
      <c r="D81" s="47"/>
      <c r="E81" s="47"/>
      <c r="F81" s="47"/>
      <c r="G81" s="47"/>
      <c r="H81" s="47"/>
      <c r="I81" s="47"/>
      <c r="J81" s="47"/>
      <c r="K81" s="47"/>
      <c r="L81" s="47"/>
      <c r="M81" s="47"/>
      <c r="N81" s="47"/>
      <c r="O81" s="71"/>
    </row>
    <row r="82" spans="1:15" s="18" customFormat="1" hidden="1" outlineLevel="1">
      <c r="A82" s="4"/>
      <c r="B82" s="536" t="s">
        <v>515</v>
      </c>
      <c r="C82" s="856"/>
      <c r="D82" s="47"/>
      <c r="E82" s="47"/>
      <c r="F82" s="47"/>
      <c r="G82" s="47"/>
      <c r="H82" s="47"/>
      <c r="I82" s="47"/>
      <c r="J82" s="47"/>
      <c r="K82" s="47"/>
      <c r="L82" s="47"/>
      <c r="M82" s="47"/>
      <c r="N82" s="47"/>
      <c r="O82" s="71"/>
    </row>
    <row r="83" spans="1:15" s="18" customFormat="1" hidden="1" outlineLevel="1">
      <c r="A83" s="4"/>
      <c r="B83" s="536" t="s">
        <v>516</v>
      </c>
      <c r="C83" s="856"/>
      <c r="D83" s="47"/>
      <c r="E83" s="47"/>
      <c r="F83" s="47"/>
      <c r="G83" s="47"/>
      <c r="H83" s="47"/>
      <c r="I83" s="47"/>
      <c r="J83" s="47"/>
      <c r="K83" s="47"/>
      <c r="L83" s="47"/>
      <c r="M83" s="47"/>
      <c r="N83" s="47"/>
      <c r="O83" s="71"/>
    </row>
    <row r="84" spans="1:15" s="18" customFormat="1" hidden="1" outlineLevel="1">
      <c r="A84" s="4"/>
      <c r="B84" s="536" t="s">
        <v>493</v>
      </c>
      <c r="C84" s="856"/>
      <c r="D84" s="47"/>
      <c r="E84" s="47"/>
      <c r="F84" s="47"/>
      <c r="G84" s="47"/>
      <c r="H84" s="47"/>
      <c r="I84" s="47"/>
      <c r="J84" s="47"/>
      <c r="K84" s="47"/>
      <c r="L84" s="47"/>
      <c r="M84" s="47"/>
      <c r="N84" s="47"/>
      <c r="O84" s="71"/>
    </row>
    <row r="85" spans="1:15" s="18" customFormat="1" collapsed="1">
      <c r="A85" s="4"/>
      <c r="B85" s="536" t="s">
        <v>517</v>
      </c>
      <c r="C85" s="857"/>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2" t="s">
        <v>518</v>
      </c>
      <c r="C86" s="488"/>
      <c r="D86" s="73"/>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4"/>
      <c r="B87" s="481"/>
      <c r="C87" s="488"/>
      <c r="D87" s="73"/>
      <c r="E87" s="484"/>
      <c r="F87" s="484"/>
      <c r="G87" s="484"/>
      <c r="H87" s="484"/>
      <c r="I87" s="484"/>
      <c r="J87" s="484"/>
      <c r="K87" s="484"/>
      <c r="L87" s="484"/>
      <c r="M87" s="484"/>
      <c r="N87" s="484"/>
      <c r="O87" s="489"/>
    </row>
    <row r="88" spans="1:15" s="66" customFormat="1">
      <c r="A88" s="64"/>
      <c r="B88" s="604">
        <f>'1.  LRAMVA Summary'!B37</f>
        <v>0</v>
      </c>
      <c r="C88" s="855">
        <f>'2. LRAMVA Threshold'!N43</f>
        <v>0</v>
      </c>
      <c r="D88" s="47"/>
      <c r="E88" s="47"/>
      <c r="F88" s="47"/>
      <c r="G88" s="47"/>
      <c r="H88" s="47"/>
      <c r="I88" s="47"/>
      <c r="J88" s="47"/>
      <c r="K88" s="47"/>
      <c r="L88" s="47"/>
      <c r="M88" s="47"/>
      <c r="N88" s="47"/>
      <c r="O88" s="71"/>
    </row>
    <row r="89" spans="1:15" s="18" customFormat="1" hidden="1" outlineLevel="1">
      <c r="A89" s="4"/>
      <c r="B89" s="536" t="s">
        <v>515</v>
      </c>
      <c r="C89" s="856"/>
      <c r="D89" s="47"/>
      <c r="E89" s="47"/>
      <c r="F89" s="47"/>
      <c r="G89" s="47"/>
      <c r="H89" s="47"/>
      <c r="I89" s="47"/>
      <c r="J89" s="47"/>
      <c r="K89" s="47"/>
      <c r="L89" s="47"/>
      <c r="M89" s="47"/>
      <c r="N89" s="47"/>
      <c r="O89" s="71"/>
    </row>
    <row r="90" spans="1:15" s="18" customFormat="1" hidden="1" outlineLevel="1">
      <c r="A90" s="4"/>
      <c r="B90" s="536" t="s">
        <v>516</v>
      </c>
      <c r="C90" s="856"/>
      <c r="D90" s="47"/>
      <c r="E90" s="47"/>
      <c r="F90" s="47"/>
      <c r="G90" s="47"/>
      <c r="H90" s="47"/>
      <c r="I90" s="47"/>
      <c r="J90" s="47"/>
      <c r="K90" s="47"/>
      <c r="L90" s="47"/>
      <c r="M90" s="47"/>
      <c r="N90" s="47"/>
      <c r="O90" s="71"/>
    </row>
    <row r="91" spans="1:15" s="18" customFormat="1" hidden="1" outlineLevel="1">
      <c r="A91" s="4"/>
      <c r="B91" s="536" t="s">
        <v>493</v>
      </c>
      <c r="C91" s="856"/>
      <c r="D91" s="47"/>
      <c r="E91" s="47"/>
      <c r="F91" s="47"/>
      <c r="G91" s="47"/>
      <c r="H91" s="47"/>
      <c r="I91" s="47"/>
      <c r="J91" s="47"/>
      <c r="K91" s="47"/>
      <c r="L91" s="47"/>
      <c r="M91" s="47"/>
      <c r="N91" s="47"/>
      <c r="O91" s="71"/>
    </row>
    <row r="92" spans="1:15" s="18" customFormat="1" collapsed="1">
      <c r="A92" s="4"/>
      <c r="B92" s="536" t="s">
        <v>517</v>
      </c>
      <c r="C92" s="857"/>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2" t="s">
        <v>518</v>
      </c>
      <c r="C93" s="488"/>
      <c r="D93" s="73"/>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4"/>
      <c r="B94" s="481"/>
      <c r="C94" s="488"/>
      <c r="D94" s="73"/>
      <c r="E94" s="484"/>
      <c r="F94" s="484"/>
      <c r="G94" s="484"/>
      <c r="H94" s="484"/>
      <c r="I94" s="484"/>
      <c r="J94" s="484"/>
      <c r="K94" s="484"/>
      <c r="L94" s="484"/>
      <c r="M94" s="484"/>
      <c r="N94" s="484"/>
      <c r="O94" s="489"/>
    </row>
    <row r="95" spans="1:15" s="66" customFormat="1">
      <c r="A95" s="64"/>
      <c r="B95" s="604">
        <f>'1.  LRAMVA Summary'!B38</f>
        <v>0</v>
      </c>
      <c r="C95" s="855">
        <f>'2. LRAMVA Threshold'!O43</f>
        <v>0</v>
      </c>
      <c r="D95" s="47"/>
      <c r="E95" s="47"/>
      <c r="F95" s="47"/>
      <c r="G95" s="47"/>
      <c r="H95" s="47"/>
      <c r="I95" s="47"/>
      <c r="J95" s="47"/>
      <c r="K95" s="47"/>
      <c r="L95" s="47"/>
      <c r="M95" s="47"/>
      <c r="N95" s="47"/>
      <c r="O95" s="71"/>
    </row>
    <row r="96" spans="1:15" s="18" customFormat="1" hidden="1" outlineLevel="1">
      <c r="A96" s="4"/>
      <c r="B96" s="536" t="s">
        <v>515</v>
      </c>
      <c r="C96" s="856"/>
      <c r="D96" s="47"/>
      <c r="E96" s="47"/>
      <c r="F96" s="47"/>
      <c r="G96" s="47"/>
      <c r="H96" s="47"/>
      <c r="I96" s="47"/>
      <c r="J96" s="47"/>
      <c r="K96" s="47"/>
      <c r="L96" s="47"/>
      <c r="M96" s="47"/>
      <c r="N96" s="47"/>
      <c r="O96" s="71"/>
    </row>
    <row r="97" spans="1:15" s="18" customFormat="1" hidden="1" outlineLevel="1">
      <c r="A97" s="4"/>
      <c r="B97" s="536" t="s">
        <v>516</v>
      </c>
      <c r="C97" s="856"/>
      <c r="D97" s="47"/>
      <c r="E97" s="47"/>
      <c r="F97" s="47"/>
      <c r="G97" s="47"/>
      <c r="H97" s="47"/>
      <c r="I97" s="47"/>
      <c r="J97" s="47"/>
      <c r="K97" s="47"/>
      <c r="L97" s="47"/>
      <c r="M97" s="47"/>
      <c r="N97" s="47"/>
      <c r="O97" s="71"/>
    </row>
    <row r="98" spans="1:15" s="18" customFormat="1" hidden="1" outlineLevel="1">
      <c r="A98" s="4"/>
      <c r="B98" s="536" t="s">
        <v>493</v>
      </c>
      <c r="C98" s="856"/>
      <c r="D98" s="47"/>
      <c r="E98" s="47"/>
      <c r="F98" s="47"/>
      <c r="G98" s="47"/>
      <c r="H98" s="47"/>
      <c r="I98" s="47"/>
      <c r="J98" s="47"/>
      <c r="K98" s="47"/>
      <c r="L98" s="47"/>
      <c r="M98" s="47"/>
      <c r="N98" s="47"/>
      <c r="O98" s="71"/>
    </row>
    <row r="99" spans="1:15" s="18" customFormat="1" collapsed="1">
      <c r="A99" s="4"/>
      <c r="B99" s="536" t="s">
        <v>517</v>
      </c>
      <c r="C99" s="857"/>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2" t="s">
        <v>518</v>
      </c>
      <c r="C100" s="488"/>
      <c r="D100" s="73"/>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4"/>
      <c r="B101" s="481"/>
      <c r="C101" s="488"/>
      <c r="D101" s="73"/>
      <c r="E101" s="484"/>
      <c r="F101" s="484"/>
      <c r="G101" s="484"/>
      <c r="H101" s="484"/>
      <c r="I101" s="484"/>
      <c r="J101" s="484"/>
      <c r="K101" s="484"/>
      <c r="L101" s="484"/>
      <c r="M101" s="484"/>
      <c r="N101" s="484"/>
      <c r="O101" s="489"/>
    </row>
    <row r="102" spans="1:15" s="66" customFormat="1">
      <c r="A102" s="64"/>
      <c r="B102" s="604">
        <f>'1.  LRAMVA Summary'!B39</f>
        <v>0</v>
      </c>
      <c r="C102" s="855">
        <f>'2. LRAMVA Threshold'!P43</f>
        <v>0</v>
      </c>
      <c r="D102" s="47"/>
      <c r="E102" s="47"/>
      <c r="F102" s="47"/>
      <c r="G102" s="47"/>
      <c r="H102" s="47"/>
      <c r="I102" s="47"/>
      <c r="J102" s="47"/>
      <c r="K102" s="47"/>
      <c r="L102" s="47"/>
      <c r="M102" s="47"/>
      <c r="N102" s="47"/>
      <c r="O102" s="71"/>
    </row>
    <row r="103" spans="1:15" s="18" customFormat="1" hidden="1" outlineLevel="1">
      <c r="A103" s="4"/>
      <c r="B103" s="536" t="s">
        <v>515</v>
      </c>
      <c r="C103" s="856"/>
      <c r="D103" s="47"/>
      <c r="E103" s="47"/>
      <c r="F103" s="47"/>
      <c r="G103" s="47"/>
      <c r="H103" s="47"/>
      <c r="I103" s="47"/>
      <c r="J103" s="47"/>
      <c r="K103" s="47"/>
      <c r="L103" s="47"/>
      <c r="M103" s="47"/>
      <c r="N103" s="47"/>
      <c r="O103" s="71"/>
    </row>
    <row r="104" spans="1:15" s="18" customFormat="1" hidden="1" outlineLevel="1">
      <c r="A104" s="4"/>
      <c r="B104" s="536" t="s">
        <v>516</v>
      </c>
      <c r="C104" s="856"/>
      <c r="D104" s="47"/>
      <c r="E104" s="47"/>
      <c r="F104" s="47"/>
      <c r="G104" s="47"/>
      <c r="H104" s="47"/>
      <c r="I104" s="47"/>
      <c r="J104" s="47"/>
      <c r="K104" s="47"/>
      <c r="L104" s="47"/>
      <c r="M104" s="47"/>
      <c r="N104" s="47"/>
      <c r="O104" s="71"/>
    </row>
    <row r="105" spans="1:15" s="18" customFormat="1" hidden="1" outlineLevel="1">
      <c r="A105" s="4"/>
      <c r="B105" s="536" t="s">
        <v>493</v>
      </c>
      <c r="C105" s="856"/>
      <c r="D105" s="47"/>
      <c r="E105" s="47"/>
      <c r="F105" s="47"/>
      <c r="G105" s="47"/>
      <c r="H105" s="47"/>
      <c r="I105" s="47"/>
      <c r="J105" s="47"/>
      <c r="K105" s="47"/>
      <c r="L105" s="47"/>
      <c r="M105" s="47"/>
      <c r="N105" s="47"/>
      <c r="O105" s="71"/>
    </row>
    <row r="106" spans="1:15" s="18" customFormat="1" collapsed="1">
      <c r="A106" s="4"/>
      <c r="B106" s="536" t="s">
        <v>517</v>
      </c>
      <c r="C106" s="857"/>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2" t="s">
        <v>518</v>
      </c>
      <c r="C107" s="488"/>
      <c r="D107" s="73"/>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4"/>
      <c r="B108" s="481"/>
      <c r="C108" s="488"/>
      <c r="D108" s="73"/>
      <c r="E108" s="484"/>
      <c r="F108" s="484"/>
      <c r="G108" s="484"/>
      <c r="H108" s="484"/>
      <c r="I108" s="484"/>
      <c r="J108" s="484"/>
      <c r="K108" s="484"/>
      <c r="L108" s="484"/>
      <c r="M108" s="484"/>
      <c r="N108" s="484"/>
      <c r="O108" s="489"/>
    </row>
    <row r="109" spans="1:15" s="66" customFormat="1">
      <c r="A109" s="64"/>
      <c r="B109" s="604">
        <f>'1.  LRAMVA Summary'!B40</f>
        <v>0</v>
      </c>
      <c r="C109" s="855">
        <f>'2. LRAMVA Threshold'!Q43</f>
        <v>0</v>
      </c>
      <c r="D109" s="47"/>
      <c r="E109" s="47"/>
      <c r="F109" s="47"/>
      <c r="G109" s="47"/>
      <c r="H109" s="47"/>
      <c r="I109" s="47"/>
      <c r="J109" s="47"/>
      <c r="K109" s="47"/>
      <c r="L109" s="47"/>
      <c r="M109" s="47"/>
      <c r="N109" s="47"/>
      <c r="O109" s="71"/>
    </row>
    <row r="110" spans="1:15" s="18" customFormat="1" hidden="1" outlineLevel="1">
      <c r="A110" s="4"/>
      <c r="B110" s="536" t="s">
        <v>515</v>
      </c>
      <c r="C110" s="856"/>
      <c r="D110" s="47"/>
      <c r="E110" s="47"/>
      <c r="F110" s="47"/>
      <c r="G110" s="47"/>
      <c r="H110" s="47"/>
      <c r="I110" s="47"/>
      <c r="J110" s="47"/>
      <c r="K110" s="47"/>
      <c r="L110" s="47"/>
      <c r="M110" s="47"/>
      <c r="N110" s="47"/>
      <c r="O110" s="71"/>
    </row>
    <row r="111" spans="1:15" s="18" customFormat="1" hidden="1" outlineLevel="1">
      <c r="A111" s="4"/>
      <c r="B111" s="536" t="s">
        <v>516</v>
      </c>
      <c r="C111" s="856"/>
      <c r="D111" s="47"/>
      <c r="E111" s="47"/>
      <c r="F111" s="47"/>
      <c r="G111" s="47"/>
      <c r="H111" s="47"/>
      <c r="I111" s="47"/>
      <c r="J111" s="47"/>
      <c r="K111" s="47"/>
      <c r="L111" s="47"/>
      <c r="M111" s="47"/>
      <c r="N111" s="47"/>
      <c r="O111" s="71"/>
    </row>
    <row r="112" spans="1:15" s="18" customFormat="1" hidden="1" outlineLevel="1">
      <c r="A112" s="4"/>
      <c r="B112" s="536" t="s">
        <v>493</v>
      </c>
      <c r="C112" s="856"/>
      <c r="D112" s="47"/>
      <c r="E112" s="47"/>
      <c r="F112" s="47"/>
      <c r="G112" s="47"/>
      <c r="H112" s="47"/>
      <c r="I112" s="47"/>
      <c r="J112" s="47"/>
      <c r="K112" s="47"/>
      <c r="L112" s="47"/>
      <c r="M112" s="47"/>
      <c r="N112" s="47"/>
      <c r="O112" s="71"/>
    </row>
    <row r="113" spans="1:17" s="18" customFormat="1" collapsed="1">
      <c r="A113" s="4"/>
      <c r="B113" s="536" t="s">
        <v>517</v>
      </c>
      <c r="C113" s="857"/>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2" t="s">
        <v>518</v>
      </c>
      <c r="C114" s="488"/>
      <c r="D114" s="73"/>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2" customFormat="1" ht="14.25">
      <c r="A115" s="74"/>
      <c r="B115" s="76"/>
      <c r="C115" s="83"/>
      <c r="D115" s="77"/>
      <c r="E115" s="77"/>
      <c r="F115" s="77"/>
      <c r="G115" s="77"/>
      <c r="H115" s="77"/>
      <c r="I115" s="77"/>
      <c r="J115" s="77"/>
      <c r="K115" s="495"/>
      <c r="L115" s="496"/>
      <c r="M115" s="496"/>
      <c r="N115" s="496"/>
      <c r="O115" s="497"/>
    </row>
    <row r="116" spans="1:17" s="3" customFormat="1" ht="21" customHeight="1">
      <c r="A116" s="4"/>
      <c r="B116" s="498" t="s">
        <v>620</v>
      </c>
      <c r="C116" s="100"/>
      <c r="D116" s="499"/>
      <c r="E116" s="499"/>
      <c r="F116" s="499"/>
      <c r="G116" s="499"/>
      <c r="H116" s="499"/>
      <c r="I116" s="499"/>
      <c r="J116" s="499"/>
      <c r="K116" s="499"/>
      <c r="L116" s="499"/>
      <c r="M116" s="499"/>
      <c r="N116" s="499"/>
      <c r="O116" s="499"/>
    </row>
    <row r="119" spans="1:17" ht="15.75">
      <c r="B119" s="120" t="s">
        <v>487</v>
      </c>
      <c r="J119" s="18"/>
    </row>
    <row r="120" spans="1:17" s="14" customFormat="1" ht="55.5" customHeight="1">
      <c r="A120" s="74"/>
      <c r="B120" s="859" t="s">
        <v>622</v>
      </c>
      <c r="C120" s="859"/>
      <c r="D120" s="859"/>
      <c r="E120" s="859"/>
      <c r="F120" s="859"/>
      <c r="G120" s="859"/>
      <c r="H120" s="859"/>
      <c r="I120" s="859"/>
      <c r="J120" s="859"/>
      <c r="K120" s="859"/>
      <c r="L120" s="859"/>
      <c r="M120" s="859"/>
      <c r="N120" s="859"/>
      <c r="O120" s="859"/>
      <c r="P120" s="859"/>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GS&gt;50 kW</v>
      </c>
      <c r="F122" s="246" t="str">
        <f>'1.  LRAMVA Summary'!G50</f>
        <v>Streetlights</v>
      </c>
      <c r="G122" s="246" t="str">
        <f>'1.  LRAMVA Summary'!H50</f>
        <v>Unmetered Scattered Load</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t="str">
        <f>'1.  LRAMVA Summary'!H51</f>
        <v>KWh</v>
      </c>
      <c r="H123" s="586">
        <f>'1.  LRAMVA Summary'!I51</f>
        <v>0</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0">
        <v>2011</v>
      </c>
      <c r="C124" s="681">
        <f t="shared" ref="C124:C129" si="30">HLOOKUP(B124,$E$15:$O$114,9,FALSE)</f>
        <v>1.7100000000000001E-2</v>
      </c>
      <c r="D124" s="682">
        <f>HLOOKUP(B124,$E$15:$O$114,16,FALSE)</f>
        <v>1.11E-2</v>
      </c>
      <c r="E124" s="683">
        <f>HLOOKUP(B124,$E$15:$O$114,23,FALSE)</f>
        <v>2.504</v>
      </c>
      <c r="F124" s="682">
        <f>HLOOKUP(B124,$E$15:$O$114,30,FALSE)</f>
        <v>12.955299999999999</v>
      </c>
      <c r="G124" s="683">
        <f>HLOOKUP(B124,$E$15:$O$114,37,FALSE)</f>
        <v>1.5699999999999999E-2</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1.6799999999999999E-2</v>
      </c>
      <c r="D125" s="685">
        <f>HLOOKUP(B125,$E$15:$O$114,16,FALSE)</f>
        <v>1.12E-2</v>
      </c>
      <c r="E125" s="686">
        <f>HLOOKUP(B125,$E$15:$O$114,23,FALSE)</f>
        <v>2.6152000000000002</v>
      </c>
      <c r="F125" s="685">
        <f>HLOOKUP(B125,$E$15:$O$114,30,FALSE)</f>
        <v>13.776899999999999</v>
      </c>
      <c r="G125" s="686">
        <f>HLOOKUP(B125,$E$15:$O$114,37,FALSE)</f>
        <v>1.7000000000000001E-2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1.7500000000000002E-2</v>
      </c>
      <c r="D126" s="685">
        <f t="shared" ref="D126:D133" si="32">HLOOKUP(B126,$E$15:$O$114,16,FALSE)</f>
        <v>1.18E-2</v>
      </c>
      <c r="E126" s="686">
        <f t="shared" ref="E126:E133" si="33">HLOOKUP(B126,$E$15:$O$114,23,FALSE)</f>
        <v>2.7355</v>
      </c>
      <c r="F126" s="685">
        <f t="shared" ref="F126:F133" si="34">HLOOKUP(B126,$E$15:$O$114,30,FALSE)</f>
        <v>13.9131</v>
      </c>
      <c r="G126" s="686">
        <f t="shared" ref="G126:G132" si="35">HLOOKUP(B126,$E$15:$O$114,37,FALSE)</f>
        <v>1.4200000000000001E-2</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1.9699999999999999E-2</v>
      </c>
      <c r="D127" s="685">
        <f>HLOOKUP(B127,$E$15:$O$114,16,FALSE)</f>
        <v>1.34E-2</v>
      </c>
      <c r="E127" s="686">
        <f>HLOOKUP(B127,$E$15:$O$114,23,FALSE)</f>
        <v>3.1166999999999998</v>
      </c>
      <c r="F127" s="685">
        <f>HLOOKUP(B127,$E$15:$O$114,30,FALSE)</f>
        <v>14.521699999999999</v>
      </c>
      <c r="G127" s="686">
        <f>HLOOKUP(B127,$E$15:$O$114,37,FALSE)</f>
        <v>8.8999999999999999E-3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1.9800000000000002E-2</v>
      </c>
      <c r="D128" s="685">
        <f t="shared" si="32"/>
        <v>1.34E-2</v>
      </c>
      <c r="E128" s="686">
        <f t="shared" si="33"/>
        <v>3.1553</v>
      </c>
      <c r="F128" s="685">
        <f t="shared" si="34"/>
        <v>14.715299999999999</v>
      </c>
      <c r="G128" s="686">
        <f t="shared" si="35"/>
        <v>1.1599999999999999E-2</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1.6899999999999998E-2</v>
      </c>
      <c r="D129" s="685">
        <f t="shared" si="32"/>
        <v>1.37E-2</v>
      </c>
      <c r="E129" s="686">
        <f t="shared" si="33"/>
        <v>3.2206000000000001</v>
      </c>
      <c r="F129" s="685">
        <f t="shared" si="34"/>
        <v>15.076599999999999</v>
      </c>
      <c r="G129" s="686">
        <f t="shared" si="35"/>
        <v>1.18E-2</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hidden="1">
      <c r="B130" s="501">
        <v>2017</v>
      </c>
      <c r="C130" s="684">
        <f>HLOOKUP(B130,$E$15:$O$114,9,FALSE)</f>
        <v>1.21E-2</v>
      </c>
      <c r="D130" s="685">
        <f t="shared" si="32"/>
        <v>1.3899999999999999E-2</v>
      </c>
      <c r="E130" s="686">
        <f t="shared" si="33"/>
        <v>3.2837999999999998</v>
      </c>
      <c r="F130" s="685">
        <f t="shared" si="34"/>
        <v>15.401</v>
      </c>
      <c r="G130" s="686">
        <f t="shared" si="35"/>
        <v>1.2E-2</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7.1000000000000004E-3</v>
      </c>
      <c r="D131" s="685">
        <f t="shared" si="32"/>
        <v>1.41E-2</v>
      </c>
      <c r="E131" s="686">
        <f t="shared" si="33"/>
        <v>3.3248000000000002</v>
      </c>
      <c r="F131" s="685">
        <f t="shared" si="34"/>
        <v>15.6023</v>
      </c>
      <c r="G131" s="686">
        <f t="shared" si="35"/>
        <v>1.2200000000000001E-2</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639</v>
      </c>
      <c r="C134" s="598"/>
      <c r="D134" s="599"/>
      <c r="E134" s="600"/>
      <c r="F134" s="599"/>
      <c r="G134" s="599"/>
      <c r="H134" s="599"/>
      <c r="I134" s="599"/>
      <c r="J134" s="599"/>
      <c r="K134" s="599"/>
      <c r="L134" s="599"/>
      <c r="M134" s="599"/>
      <c r="N134" s="599"/>
      <c r="O134" s="599"/>
      <c r="P134" s="599"/>
    </row>
    <row r="136" spans="2:16">
      <c r="B136" s="592" t="s">
        <v>530</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scale="44" fitToHeight="0" orientation="landscape"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4A3E68D2145F49B4776B5283449197" ma:contentTypeVersion="1" ma:contentTypeDescription="Create a new document." ma:contentTypeScope="" ma:versionID="4c43c857f7fef7d9b32f673f7bc28ace">
  <xsd:schema xmlns:xsd="http://www.w3.org/2001/XMLSchema" xmlns:xs="http://www.w3.org/2001/XMLSchema" xmlns:p="http://schemas.microsoft.com/office/2006/metadata/properties" xmlns:ns2="caa58d82-21f3-4bb8-95fd-88c095263b0e" targetNamespace="http://schemas.microsoft.com/office/2006/metadata/properties" ma:root="true" ma:fieldsID="314ca790c86f069b9e2b2cb43acd6761" ns2:_="">
    <xsd:import namespace="caa58d82-21f3-4bb8-95fd-88c095263b0e"/>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58d82-21f3-4bb8-95fd-88c095263b0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86834E-69D4-4707-860E-67A3555B7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58d82-21f3-4bb8-95fd-88c095263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7073F9-AD8C-43E5-A283-AF6174104231}">
  <ds:schemaRefs>
    <ds:schemaRef ds:uri="http://schemas.microsoft.com/sharepoint/v3/contenttype/forms"/>
  </ds:schemaRefs>
</ds:datastoreItem>
</file>

<file path=customXml/itemProps3.xml><?xml version="1.0" encoding="utf-8"?>
<ds:datastoreItem xmlns:ds="http://schemas.openxmlformats.org/officeDocument/2006/customXml" ds:itemID="{5FBD09A1-DF28-4014-9333-D6D4ABFFACCC}">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caa58d82-21f3-4bb8-95fd-88c095263b0e"/>
    <ds:schemaRef ds:uri="http://purl.org/dc/dcmityp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22</vt:i4>
      </vt:variant>
    </vt:vector>
  </HeadingPairs>
  <TitlesOfParts>
    <vt:vector size="37" baseType="lpstr">
      <vt:lpstr>Contents</vt:lpstr>
      <vt:lpstr>Instructions</vt:lpstr>
      <vt:lpstr>LRAMVA Checklist Schematic</vt:lpstr>
      <vt:lpstr>DropDownList</vt:lpstr>
      <vt:lpstr>IRM Chart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Hesselink, Tim</cp:lastModifiedBy>
  <cp:lastPrinted>2018-11-02T13:53:10Z</cp:lastPrinted>
  <dcterms:created xsi:type="dcterms:W3CDTF">2012-03-05T18:56:04Z</dcterms:created>
  <dcterms:modified xsi:type="dcterms:W3CDTF">2018-11-02T13:53:20Z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0x010100184A3E68D2145F49B4776B5283449197</vt:lpwstr>
  </property>
</Properties>
</file>