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OEB\OEB Rate Applications\2019 IRM Application\6. Submission EB-2018-0076\"/>
    </mc:Choice>
  </mc:AlternateContent>
  <bookViews>
    <workbookView xWindow="120" yWindow="195" windowWidth="15600" windowHeight="11580"/>
  </bookViews>
  <sheets>
    <sheet name="IESO charges difference" sheetId="1" r:id="rId1"/>
    <sheet name="2015 RSVA 1588" sheetId="2" r:id="rId2"/>
    <sheet name="2015 RSVA 1589 GA" sheetId="3" r:id="rId3"/>
    <sheet name="2016 RSVA 1588" sheetId="4" r:id="rId4"/>
    <sheet name="2016 RSVA 1589 GA" sheetId="5" r:id="rId5"/>
    <sheet name="2017 RSVA 1588" sheetId="6" r:id="rId6"/>
    <sheet name="2017 RSVA 1589 GA" sheetId="7" r:id="rId7"/>
    <sheet name="1589" sheetId="9" r:id="rId8"/>
    <sheet name="Sheet1" sheetId="8" r:id="rId9"/>
  </sheets>
  <definedNames>
    <definedName name="_xlnm.Print_Area" localSheetId="1">'2015 RSVA 1588'!$A$1:$P$44</definedName>
    <definedName name="_xlnm.Print_Area" localSheetId="2">'2015 RSVA 1589 GA'!$A$1:$P$42</definedName>
    <definedName name="_xlnm.Print_Area" localSheetId="3">'2016 RSVA 1588'!$A$1:$P$44</definedName>
    <definedName name="_xlnm.Print_Area" localSheetId="4">'2016 RSVA 1589 GA'!$A$1:$P$42</definedName>
    <definedName name="_xlnm.Print_Area" localSheetId="5">'2017 RSVA 1588'!$A$1:$P$44</definedName>
    <definedName name="_xlnm.Print_Area" localSheetId="6">'2017 RSVA 1589 GA'!$B$1:$P$45</definedName>
    <definedName name="_xlnm.Print_Area" localSheetId="0">'IESO charges difference'!$A$2:$N$35</definedName>
  </definedNames>
  <calcPr calcId="152511"/>
</workbook>
</file>

<file path=xl/calcChain.xml><?xml version="1.0" encoding="utf-8"?>
<calcChain xmlns="http://schemas.openxmlformats.org/spreadsheetml/2006/main">
  <c r="D29" i="6" l="1"/>
  <c r="E29" i="6"/>
  <c r="F29" i="6"/>
  <c r="G29" i="6"/>
  <c r="H29" i="6"/>
  <c r="C29" i="6"/>
  <c r="D29" i="4"/>
  <c r="E29" i="4"/>
  <c r="F29" i="4"/>
  <c r="G29" i="4"/>
  <c r="H29" i="4"/>
  <c r="I29" i="4"/>
  <c r="J29" i="4"/>
  <c r="K29" i="4"/>
  <c r="L29" i="4"/>
  <c r="M29" i="4"/>
  <c r="N29" i="4"/>
  <c r="C29" i="4"/>
  <c r="D29" i="2"/>
  <c r="E29" i="2"/>
  <c r="F29" i="2"/>
  <c r="G29" i="2"/>
  <c r="H29" i="2"/>
  <c r="I29" i="2"/>
  <c r="J29" i="2"/>
  <c r="K29" i="2"/>
  <c r="L29" i="2"/>
  <c r="M29" i="2"/>
  <c r="N29" i="2"/>
  <c r="C29" i="2"/>
  <c r="O40" i="7" l="1"/>
  <c r="N40" i="7"/>
  <c r="M40" i="7"/>
  <c r="L40" i="7"/>
  <c r="K40" i="7"/>
  <c r="J40" i="7"/>
  <c r="J44" i="7" s="1"/>
  <c r="I40" i="7"/>
  <c r="I44" i="7" s="1"/>
  <c r="H40" i="7"/>
  <c r="G40" i="7"/>
  <c r="F40" i="7"/>
  <c r="E40" i="7"/>
  <c r="D40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40" i="7" s="1"/>
  <c r="O14" i="7"/>
  <c r="O44" i="7" s="1"/>
  <c r="N14" i="7"/>
  <c r="N44" i="7" s="1"/>
  <c r="M14" i="7"/>
  <c r="M44" i="7" s="1"/>
  <c r="L14" i="7"/>
  <c r="L44" i="7" s="1"/>
  <c r="K14" i="7"/>
  <c r="K44" i="7" s="1"/>
  <c r="J14" i="7"/>
  <c r="I14" i="7"/>
  <c r="H14" i="7"/>
  <c r="H44" i="7" s="1"/>
  <c r="G14" i="7"/>
  <c r="G44" i="7" s="1"/>
  <c r="F14" i="7"/>
  <c r="F44" i="7" s="1"/>
  <c r="E14" i="7"/>
  <c r="E44" i="7" s="1"/>
  <c r="E9" i="7" s="1"/>
  <c r="E42" i="7" s="1"/>
  <c r="D14" i="7"/>
  <c r="D42" i="7" s="1"/>
  <c r="P13" i="7"/>
  <c r="P12" i="7"/>
  <c r="P11" i="7"/>
  <c r="P14" i="7" s="1"/>
  <c r="M4" i="7"/>
  <c r="J4" i="7"/>
  <c r="G4" i="7"/>
  <c r="D4" i="7"/>
  <c r="O43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L38" i="6"/>
  <c r="D38" i="6"/>
  <c r="P37" i="6"/>
  <c r="P36" i="6"/>
  <c r="P35" i="6"/>
  <c r="P34" i="6"/>
  <c r="N38" i="6"/>
  <c r="M38" i="6"/>
  <c r="K38" i="6"/>
  <c r="J38" i="6"/>
  <c r="I38" i="6"/>
  <c r="H38" i="6"/>
  <c r="G38" i="6"/>
  <c r="F38" i="6"/>
  <c r="P33" i="6"/>
  <c r="P38" i="6" s="1"/>
  <c r="C38" i="6"/>
  <c r="O31" i="6"/>
  <c r="P30" i="6"/>
  <c r="P28" i="6"/>
  <c r="P27" i="6"/>
  <c r="P26" i="6"/>
  <c r="P25" i="6"/>
  <c r="P24" i="6"/>
  <c r="P31" i="6" s="1"/>
  <c r="N22" i="6"/>
  <c r="N43" i="6" s="1"/>
  <c r="M22" i="6"/>
  <c r="M43" i="6" s="1"/>
  <c r="L22" i="6"/>
  <c r="L43" i="6" s="1"/>
  <c r="K22" i="6"/>
  <c r="K43" i="6" s="1"/>
  <c r="J22" i="6"/>
  <c r="J43" i="6" s="1"/>
  <c r="I22" i="6"/>
  <c r="I43" i="6" s="1"/>
  <c r="H22" i="6"/>
  <c r="H43" i="6" s="1"/>
  <c r="G22" i="6"/>
  <c r="G43" i="6" s="1"/>
  <c r="F22" i="6"/>
  <c r="E22" i="6"/>
  <c r="E43" i="6" s="1"/>
  <c r="D22" i="6"/>
  <c r="C22" i="6"/>
  <c r="J21" i="6"/>
  <c r="I21" i="6"/>
  <c r="H21" i="6"/>
  <c r="D21" i="6"/>
  <c r="C21" i="6"/>
  <c r="N21" i="6"/>
  <c r="M21" i="6"/>
  <c r="L21" i="6"/>
  <c r="K21" i="6"/>
  <c r="G21" i="6"/>
  <c r="F21" i="6"/>
  <c r="P20" i="6"/>
  <c r="O18" i="6"/>
  <c r="O21" i="6" s="1"/>
  <c r="P17" i="6"/>
  <c r="B16" i="6"/>
  <c r="P15" i="6"/>
  <c r="P14" i="6"/>
  <c r="P13" i="6"/>
  <c r="P12" i="6"/>
  <c r="P11" i="6"/>
  <c r="P10" i="6"/>
  <c r="P22" i="6" s="1"/>
  <c r="O9" i="6"/>
  <c r="L4" i="6"/>
  <c r="I4" i="6"/>
  <c r="F4" i="6"/>
  <c r="C4" i="6"/>
  <c r="D43" i="6" l="1"/>
  <c r="D9" i="6" s="1"/>
  <c r="D41" i="6" s="1"/>
  <c r="E9" i="6" s="1"/>
  <c r="E41" i="6" s="1"/>
  <c r="F9" i="6" s="1"/>
  <c r="F41" i="6" s="1"/>
  <c r="G9" i="6" s="1"/>
  <c r="G41" i="6" s="1"/>
  <c r="H9" i="6" s="1"/>
  <c r="H41" i="6" s="1"/>
  <c r="I9" i="6" s="1"/>
  <c r="I41" i="6" s="1"/>
  <c r="J9" i="6" s="1"/>
  <c r="J41" i="6" s="1"/>
  <c r="K9" i="6" s="1"/>
  <c r="K41" i="6" s="1"/>
  <c r="L9" i="6" s="1"/>
  <c r="L41" i="6" s="1"/>
  <c r="M9" i="6" s="1"/>
  <c r="M41" i="6" s="1"/>
  <c r="N9" i="6" s="1"/>
  <c r="N41" i="6" s="1"/>
  <c r="C43" i="6"/>
  <c r="P39" i="6"/>
  <c r="F43" i="6"/>
  <c r="P40" i="6"/>
  <c r="F9" i="7"/>
  <c r="F42" i="7" s="1"/>
  <c r="G9" i="7"/>
  <c r="G42" i="7" s="1"/>
  <c r="H9" i="7" s="1"/>
  <c r="H42" i="7" s="1"/>
  <c r="I9" i="7" s="1"/>
  <c r="I42" i="7" s="1"/>
  <c r="J9" i="7" s="1"/>
  <c r="J42" i="7" s="1"/>
  <c r="K9" i="7" s="1"/>
  <c r="K42" i="7" s="1"/>
  <c r="L9" i="7" s="1"/>
  <c r="L42" i="7" s="1"/>
  <c r="M9" i="7" s="1"/>
  <c r="M42" i="7" s="1"/>
  <c r="N9" i="7" s="1"/>
  <c r="N42" i="7" s="1"/>
  <c r="O9" i="7" s="1"/>
  <c r="O42" i="7" s="1"/>
  <c r="O41" i="6"/>
  <c r="E38" i="6"/>
  <c r="C41" i="6"/>
  <c r="O22" i="6"/>
  <c r="D44" i="7"/>
  <c r="P44" i="7" s="1"/>
  <c r="E21" i="6"/>
  <c r="P43" i="6" l="1"/>
  <c r="O37" i="5"/>
  <c r="N37" i="5"/>
  <c r="M37" i="5"/>
  <c r="L37" i="5"/>
  <c r="K37" i="5"/>
  <c r="J37" i="5"/>
  <c r="I37" i="5"/>
  <c r="H37" i="5"/>
  <c r="G37" i="5"/>
  <c r="F37" i="5"/>
  <c r="E37" i="5"/>
  <c r="D37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O13" i="5"/>
  <c r="N13" i="5"/>
  <c r="N41" i="5" s="1"/>
  <c r="M13" i="5"/>
  <c r="M41" i="5" s="1"/>
  <c r="L13" i="5"/>
  <c r="L41" i="5" s="1"/>
  <c r="K13" i="5"/>
  <c r="J13" i="5"/>
  <c r="J41" i="5" s="1"/>
  <c r="I13" i="5"/>
  <c r="H13" i="5"/>
  <c r="G13" i="5"/>
  <c r="F13" i="5"/>
  <c r="E13" i="5"/>
  <c r="D13" i="5"/>
  <c r="P12" i="5"/>
  <c r="P11" i="5"/>
  <c r="P13" i="5" s="1"/>
  <c r="M4" i="5"/>
  <c r="J4" i="5"/>
  <c r="G4" i="5"/>
  <c r="D4" i="5"/>
  <c r="O43" i="4"/>
  <c r="N39" i="4"/>
  <c r="M39" i="4"/>
  <c r="L39" i="4"/>
  <c r="K39" i="4"/>
  <c r="J39" i="4"/>
  <c r="I39" i="4"/>
  <c r="H39" i="4"/>
  <c r="G39" i="4"/>
  <c r="F39" i="4"/>
  <c r="E39" i="4"/>
  <c r="D39" i="4"/>
  <c r="C39" i="4"/>
  <c r="C41" i="4" s="1"/>
  <c r="P36" i="4"/>
  <c r="M38" i="4"/>
  <c r="L38" i="4"/>
  <c r="J38" i="4"/>
  <c r="I38" i="4"/>
  <c r="G38" i="4"/>
  <c r="E38" i="4"/>
  <c r="D38" i="4"/>
  <c r="O31" i="4"/>
  <c r="O39" i="4" s="1"/>
  <c r="P30" i="4"/>
  <c r="P28" i="4"/>
  <c r="P27" i="4"/>
  <c r="P26" i="4"/>
  <c r="P25" i="4"/>
  <c r="P24" i="4"/>
  <c r="N22" i="4"/>
  <c r="M22" i="4"/>
  <c r="L22" i="4"/>
  <c r="K22" i="4"/>
  <c r="K43" i="4" s="1"/>
  <c r="J22" i="4"/>
  <c r="I22" i="4"/>
  <c r="H22" i="4"/>
  <c r="H43" i="4" s="1"/>
  <c r="G22" i="4"/>
  <c r="G43" i="4" s="1"/>
  <c r="F22" i="4"/>
  <c r="E22" i="4"/>
  <c r="D22" i="4"/>
  <c r="C22" i="4"/>
  <c r="D21" i="4"/>
  <c r="C21" i="4"/>
  <c r="N21" i="4"/>
  <c r="M21" i="4"/>
  <c r="L21" i="4"/>
  <c r="K21" i="4"/>
  <c r="J21" i="4"/>
  <c r="I21" i="4"/>
  <c r="H21" i="4"/>
  <c r="G21" i="4"/>
  <c r="F21" i="4"/>
  <c r="O18" i="4"/>
  <c r="O21" i="4" s="1"/>
  <c r="P17" i="4"/>
  <c r="P15" i="4"/>
  <c r="P14" i="4"/>
  <c r="P13" i="4"/>
  <c r="P12" i="4"/>
  <c r="P11" i="4"/>
  <c r="P10" i="4"/>
  <c r="O9" i="4"/>
  <c r="L4" i="4"/>
  <c r="I4" i="4"/>
  <c r="F4" i="4"/>
  <c r="C4" i="4"/>
  <c r="E41" i="5" l="1"/>
  <c r="D39" i="5"/>
  <c r="J43" i="4"/>
  <c r="M43" i="4"/>
  <c r="E43" i="4"/>
  <c r="C43" i="4"/>
  <c r="I41" i="5"/>
  <c r="P37" i="5"/>
  <c r="H41" i="5"/>
  <c r="K41" i="5"/>
  <c r="F41" i="5"/>
  <c r="G41" i="5"/>
  <c r="O41" i="5"/>
  <c r="P20" i="4"/>
  <c r="F43" i="4"/>
  <c r="N43" i="4"/>
  <c r="P33" i="4"/>
  <c r="P38" i="4" s="1"/>
  <c r="K38" i="4"/>
  <c r="P35" i="4"/>
  <c r="P37" i="4"/>
  <c r="I43" i="4"/>
  <c r="F38" i="4"/>
  <c r="N38" i="4"/>
  <c r="H38" i="4"/>
  <c r="P34" i="4"/>
  <c r="D43" i="4"/>
  <c r="D9" i="4" s="1"/>
  <c r="D41" i="4" s="1"/>
  <c r="E9" i="4" s="1"/>
  <c r="E41" i="4" s="1"/>
  <c r="F9" i="4" s="1"/>
  <c r="F41" i="4" s="1"/>
  <c r="G9" i="4" s="1"/>
  <c r="G41" i="4" s="1"/>
  <c r="H9" i="4" s="1"/>
  <c r="H41" i="4" s="1"/>
  <c r="I9" i="4" s="1"/>
  <c r="I41" i="4" s="1"/>
  <c r="J9" i="4" s="1"/>
  <c r="J41" i="4" s="1"/>
  <c r="K9" i="4" s="1"/>
  <c r="K41" i="4" s="1"/>
  <c r="L9" i="4" s="1"/>
  <c r="L41" i="4" s="1"/>
  <c r="M9" i="4" s="1"/>
  <c r="M41" i="4" s="1"/>
  <c r="N9" i="4" s="1"/>
  <c r="N41" i="4" s="1"/>
  <c r="L43" i="4"/>
  <c r="P39" i="4"/>
  <c r="E9" i="5"/>
  <c r="E39" i="5" s="1"/>
  <c r="F9" i="5" s="1"/>
  <c r="F39" i="5" s="1"/>
  <c r="G9" i="5" s="1"/>
  <c r="G39" i="5" s="1"/>
  <c r="H9" i="5" s="1"/>
  <c r="H39" i="5" s="1"/>
  <c r="I9" i="5" s="1"/>
  <c r="I39" i="5" s="1"/>
  <c r="J9" i="5" s="1"/>
  <c r="J39" i="5" s="1"/>
  <c r="K9" i="5" s="1"/>
  <c r="K39" i="5" s="1"/>
  <c r="L9" i="5" s="1"/>
  <c r="L39" i="5" s="1"/>
  <c r="M9" i="5" s="1"/>
  <c r="M39" i="5" s="1"/>
  <c r="N9" i="5" s="1"/>
  <c r="N39" i="5" s="1"/>
  <c r="P31" i="4"/>
  <c r="C38" i="4"/>
  <c r="O22" i="4"/>
  <c r="O41" i="4" s="1"/>
  <c r="E21" i="4"/>
  <c r="P22" i="4"/>
  <c r="D41" i="5"/>
  <c r="P43" i="4" l="1"/>
  <c r="O9" i="5"/>
  <c r="O39" i="5" s="1"/>
  <c r="P41" i="5"/>
  <c r="P40" i="4"/>
  <c r="O37" i="3" l="1"/>
  <c r="N37" i="3"/>
  <c r="M37" i="3"/>
  <c r="L37" i="3"/>
  <c r="K37" i="3"/>
  <c r="J37" i="3"/>
  <c r="I37" i="3"/>
  <c r="H37" i="3"/>
  <c r="G37" i="3"/>
  <c r="F37" i="3"/>
  <c r="E37" i="3"/>
  <c r="D37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O13" i="3"/>
  <c r="O41" i="3" s="1"/>
  <c r="N13" i="3"/>
  <c r="N41" i="3" s="1"/>
  <c r="M13" i="3"/>
  <c r="M41" i="3" s="1"/>
  <c r="L13" i="3"/>
  <c r="L41" i="3" s="1"/>
  <c r="K13" i="3"/>
  <c r="K41" i="3" s="1"/>
  <c r="J13" i="3"/>
  <c r="J41" i="3" s="1"/>
  <c r="I13" i="3"/>
  <c r="I41" i="3" s="1"/>
  <c r="H13" i="3"/>
  <c r="G13" i="3"/>
  <c r="G41" i="3" s="1"/>
  <c r="F13" i="3"/>
  <c r="F41" i="3" s="1"/>
  <c r="E13" i="3"/>
  <c r="E41" i="3" s="1"/>
  <c r="D13" i="3"/>
  <c r="D41" i="3" s="1"/>
  <c r="P12" i="3"/>
  <c r="P11" i="3"/>
  <c r="P13" i="3" s="1"/>
  <c r="M4" i="3"/>
  <c r="J4" i="3"/>
  <c r="G4" i="3"/>
  <c r="D4" i="3"/>
  <c r="O43" i="2"/>
  <c r="N39" i="2"/>
  <c r="M39" i="2"/>
  <c r="L39" i="2"/>
  <c r="K39" i="2"/>
  <c r="J39" i="2"/>
  <c r="I39" i="2"/>
  <c r="H39" i="2"/>
  <c r="G39" i="2"/>
  <c r="F39" i="2"/>
  <c r="E39" i="2"/>
  <c r="D39" i="2"/>
  <c r="C39" i="2"/>
  <c r="M38" i="2"/>
  <c r="E38" i="2"/>
  <c r="P37" i="2"/>
  <c r="P36" i="2"/>
  <c r="P35" i="2"/>
  <c r="P34" i="2"/>
  <c r="N38" i="2"/>
  <c r="L38" i="2"/>
  <c r="K38" i="2"/>
  <c r="J38" i="2"/>
  <c r="I38" i="2"/>
  <c r="H38" i="2"/>
  <c r="G38" i="2"/>
  <c r="F38" i="2"/>
  <c r="D38" i="2"/>
  <c r="C38" i="2"/>
  <c r="O31" i="2"/>
  <c r="O39" i="2" s="1"/>
  <c r="P30" i="2"/>
  <c r="P28" i="2"/>
  <c r="P27" i="2"/>
  <c r="P26" i="2"/>
  <c r="P25" i="2"/>
  <c r="P24" i="2"/>
  <c r="P31" i="2" s="1"/>
  <c r="N22" i="2"/>
  <c r="N43" i="2" s="1"/>
  <c r="M22" i="2"/>
  <c r="M43" i="2" s="1"/>
  <c r="L22" i="2"/>
  <c r="L43" i="2" s="1"/>
  <c r="K22" i="2"/>
  <c r="K43" i="2" s="1"/>
  <c r="J22" i="2"/>
  <c r="I22" i="2"/>
  <c r="H22" i="2"/>
  <c r="H43" i="2" s="1"/>
  <c r="G22" i="2"/>
  <c r="F22" i="2"/>
  <c r="F43" i="2" s="1"/>
  <c r="E22" i="2"/>
  <c r="E43" i="2" s="1"/>
  <c r="D22" i="2"/>
  <c r="D43" i="2" s="1"/>
  <c r="C22" i="2"/>
  <c r="C43" i="2" s="1"/>
  <c r="L21" i="2"/>
  <c r="J21" i="2"/>
  <c r="I21" i="2"/>
  <c r="D21" i="2"/>
  <c r="C21" i="2"/>
  <c r="N21" i="2"/>
  <c r="M21" i="2"/>
  <c r="K21" i="2"/>
  <c r="H21" i="2"/>
  <c r="G21" i="2"/>
  <c r="F21" i="2"/>
  <c r="E21" i="2"/>
  <c r="O18" i="2"/>
  <c r="O21" i="2" s="1"/>
  <c r="P17" i="2"/>
  <c r="P15" i="2"/>
  <c r="P14" i="2"/>
  <c r="P13" i="2"/>
  <c r="P12" i="2"/>
  <c r="P11" i="2"/>
  <c r="P10" i="2"/>
  <c r="O9" i="2"/>
  <c r="L4" i="2"/>
  <c r="I4" i="2"/>
  <c r="F4" i="2"/>
  <c r="C4" i="2"/>
  <c r="J43" i="2" l="1"/>
  <c r="G43" i="2"/>
  <c r="I43" i="2"/>
  <c r="P39" i="2"/>
  <c r="H41" i="3"/>
  <c r="D39" i="3"/>
  <c r="E9" i="3" s="1"/>
  <c r="E39" i="3" s="1"/>
  <c r="F9" i="3" s="1"/>
  <c r="O41" i="2"/>
  <c r="P43" i="2"/>
  <c r="P41" i="3"/>
  <c r="P33" i="2"/>
  <c r="P38" i="2" s="1"/>
  <c r="C41" i="2"/>
  <c r="D9" i="2" s="1"/>
  <c r="D41" i="2" s="1"/>
  <c r="E9" i="2" s="1"/>
  <c r="E41" i="2" s="1"/>
  <c r="F9" i="2" s="1"/>
  <c r="F41" i="2" s="1"/>
  <c r="G9" i="2" s="1"/>
  <c r="G41" i="2" s="1"/>
  <c r="H9" i="2" s="1"/>
  <c r="H41" i="2" s="1"/>
  <c r="I9" i="2" s="1"/>
  <c r="I41" i="2" s="1"/>
  <c r="J9" i="2" s="1"/>
  <c r="J41" i="2" s="1"/>
  <c r="K9" i="2" s="1"/>
  <c r="K41" i="2" s="1"/>
  <c r="L9" i="2" s="1"/>
  <c r="L41" i="2" s="1"/>
  <c r="M9" i="2" s="1"/>
  <c r="M41" i="2" s="1"/>
  <c r="N9" i="2" s="1"/>
  <c r="N41" i="2" s="1"/>
  <c r="P20" i="2"/>
  <c r="P22" i="2" s="1"/>
  <c r="O22" i="2"/>
  <c r="P37" i="3"/>
  <c r="F39" i="3" l="1"/>
  <c r="G9" i="3" s="1"/>
  <c r="G39" i="3" s="1"/>
  <c r="H9" i="3" s="1"/>
  <c r="H39" i="3" s="1"/>
  <c r="I9" i="3" s="1"/>
  <c r="I39" i="3" s="1"/>
  <c r="J9" i="3" s="1"/>
  <c r="J39" i="3" s="1"/>
  <c r="K9" i="3" s="1"/>
  <c r="K39" i="3" s="1"/>
  <c r="L9" i="3" s="1"/>
  <c r="L39" i="3" s="1"/>
  <c r="M9" i="3" s="1"/>
  <c r="M39" i="3" s="1"/>
  <c r="N9" i="3" s="1"/>
  <c r="N39" i="3" s="1"/>
  <c r="O9" i="3" s="1"/>
  <c r="O39" i="3" s="1"/>
  <c r="P40" i="2"/>
  <c r="P9" i="3" l="1"/>
  <c r="H9" i="1" l="1"/>
  <c r="I9" i="1"/>
  <c r="J9" i="1"/>
  <c r="K9" i="1"/>
  <c r="L9" i="1"/>
  <c r="M9" i="1"/>
  <c r="B11" i="1"/>
  <c r="B12" i="1" s="1"/>
  <c r="C11" i="1"/>
  <c r="C12" i="1" s="1"/>
  <c r="D11" i="1"/>
  <c r="D12" i="1" s="1"/>
  <c r="E11" i="1"/>
  <c r="E12" i="1" s="1"/>
  <c r="F11" i="1"/>
  <c r="F12" i="1" s="1"/>
  <c r="G11" i="1"/>
  <c r="H11" i="1"/>
  <c r="I11" i="1"/>
  <c r="J11" i="1"/>
  <c r="K11" i="1"/>
  <c r="K12" i="1" s="1"/>
  <c r="L11" i="1"/>
  <c r="L12" i="1" s="1"/>
  <c r="M11" i="1"/>
  <c r="M12" i="1" s="1"/>
  <c r="N11" i="1"/>
  <c r="G12" i="1"/>
  <c r="H12" i="1"/>
  <c r="I12" i="1"/>
  <c r="J12" i="1"/>
  <c r="N12" i="1" l="1"/>
  <c r="N21" i="1" l="1"/>
  <c r="N26" i="1"/>
  <c r="N25" i="1"/>
  <c r="N19" i="1"/>
  <c r="M18" i="1" l="1"/>
  <c r="L18" i="1"/>
  <c r="K18" i="1"/>
  <c r="J18" i="1"/>
  <c r="I18" i="1"/>
  <c r="H18" i="1"/>
  <c r="G18" i="1"/>
  <c r="F18" i="1"/>
  <c r="E18" i="1"/>
  <c r="D18" i="1"/>
  <c r="C18" i="1"/>
  <c r="B18" i="1"/>
  <c r="B24" i="1" s="1"/>
  <c r="F32" i="1" l="1"/>
  <c r="F33" i="1" s="1"/>
  <c r="F24" i="1"/>
  <c r="F27" i="1" s="1"/>
  <c r="F29" i="1" s="1"/>
  <c r="B27" i="1"/>
  <c r="G32" i="1"/>
  <c r="G33" i="1" s="1"/>
  <c r="G24" i="1"/>
  <c r="G27" i="1" s="1"/>
  <c r="G29" i="1" s="1"/>
  <c r="H32" i="1"/>
  <c r="H33" i="1" s="1"/>
  <c r="H24" i="1"/>
  <c r="H27" i="1" s="1"/>
  <c r="H29" i="1" s="1"/>
  <c r="C32" i="1"/>
  <c r="C33" i="1" s="1"/>
  <c r="C24" i="1"/>
  <c r="C27" i="1" s="1"/>
  <c r="C29" i="1" s="1"/>
  <c r="K32" i="1"/>
  <c r="K33" i="1" s="1"/>
  <c r="K24" i="1"/>
  <c r="K27" i="1" s="1"/>
  <c r="K29" i="1" s="1"/>
  <c r="J32" i="1"/>
  <c r="J33" i="1" s="1"/>
  <c r="J24" i="1"/>
  <c r="J27" i="1" s="1"/>
  <c r="J29" i="1" s="1"/>
  <c r="D32" i="1"/>
  <c r="D33" i="1" s="1"/>
  <c r="D24" i="1"/>
  <c r="D27" i="1" s="1"/>
  <c r="D29" i="1" s="1"/>
  <c r="L32" i="1"/>
  <c r="L33" i="1" s="1"/>
  <c r="L24" i="1"/>
  <c r="L27" i="1" s="1"/>
  <c r="L29" i="1" s="1"/>
  <c r="I32" i="1"/>
  <c r="I33" i="1" s="1"/>
  <c r="I24" i="1"/>
  <c r="I27" i="1" s="1"/>
  <c r="I29" i="1" s="1"/>
  <c r="E32" i="1"/>
  <c r="E33" i="1" s="1"/>
  <c r="E24" i="1"/>
  <c r="E27" i="1" s="1"/>
  <c r="E29" i="1" s="1"/>
  <c r="M32" i="1"/>
  <c r="M33" i="1" s="1"/>
  <c r="M24" i="1"/>
  <c r="M27" i="1" s="1"/>
  <c r="M29" i="1" s="1"/>
  <c r="N18" i="1"/>
  <c r="B32" i="1"/>
  <c r="B33" i="1" s="1"/>
  <c r="B29" i="1" l="1"/>
  <c r="N29" i="1" s="1"/>
  <c r="N27" i="1"/>
  <c r="N24" i="1"/>
  <c r="N33" i="1"/>
  <c r="N32" i="1"/>
</calcChain>
</file>

<file path=xl/sharedStrings.xml><?xml version="1.0" encoding="utf-8"?>
<sst xmlns="http://schemas.openxmlformats.org/spreadsheetml/2006/main" count="503" uniqueCount="225">
  <si>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</si>
  <si>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</si>
  <si>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</si>
  <si>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</si>
  <si>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</si>
  <si>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</si>
  <si>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</si>
  <si>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</si>
  <si>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</si>
  <si>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</si>
  <si>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</si>
  <si>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</si>
  <si>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2nd Estimate ($/MWh)</t>
  </si>
  <si>
    <t>Actual Rate ($/MWh)</t>
  </si>
  <si>
    <t>Total</t>
  </si>
  <si>
    <t>Variance %</t>
  </si>
  <si>
    <t>WNP Final (from IESO Invoice) ($/MWh)</t>
  </si>
  <si>
    <t>Variance between WNP Final and Actual ($/MWh)</t>
  </si>
  <si>
    <t>1st Estimate ($/MWh)</t>
  </si>
  <si>
    <t>753 - Rural Rate Settlement Charge</t>
  </si>
  <si>
    <t>Rural Rate Protection Charge ($/kWh)</t>
  </si>
  <si>
    <t>UtiliSmart Wholesale Total (excluding MicroFIT/FIT)</t>
  </si>
  <si>
    <t>kWh difference (IESO LESS UtiliSmart)</t>
  </si>
  <si>
    <t>IESO kWh</t>
  </si>
  <si>
    <t>Global Adjustment 2017</t>
  </si>
  <si>
    <t>2017 kWh Check</t>
  </si>
  <si>
    <t>April 2017 Utilismart estimates for billing - there was an expectation of differences.</t>
  </si>
  <si>
    <t>*******</t>
  </si>
  <si>
    <t>Calculated GA</t>
  </si>
  <si>
    <t>Actual GA (IESO Invoice)</t>
  </si>
  <si>
    <t>Class A kWh</t>
  </si>
  <si>
    <t>Class A GA</t>
  </si>
  <si>
    <t>Class A GA (from IESO Invoice) ($/MWh)</t>
  </si>
  <si>
    <t>Non-RPP Percentage</t>
  </si>
  <si>
    <t>Non-RPP portion</t>
  </si>
  <si>
    <t>Difference in  non-Class A GA</t>
  </si>
  <si>
    <t>2015  -  Retail Service Variance Account - Power (1588.00.00)</t>
  </si>
  <si>
    <t>Interest Rate - Annual</t>
  </si>
  <si>
    <t>Effective 1/1/2014</t>
  </si>
  <si>
    <t>Effective 4/1/2015</t>
  </si>
  <si>
    <t>Effective 7/1/2015</t>
  </si>
  <si>
    <t>Effecitve 10/1/2015</t>
  </si>
  <si>
    <t>Interest Rate - Monthly</t>
  </si>
  <si>
    <t>Annual Total</t>
  </si>
  <si>
    <t>Starting Balance</t>
  </si>
  <si>
    <t>1-1588-1500-588-101</t>
  </si>
  <si>
    <t>IMO Energy Charges (Expense)</t>
  </si>
  <si>
    <t>4705's less GA</t>
  </si>
  <si>
    <t>IMO Fixed Energy Settlement Credit</t>
  </si>
  <si>
    <t>4710's</t>
  </si>
  <si>
    <t>RPP True-UP GA</t>
  </si>
  <si>
    <t>1-4705-4400-230-000</t>
  </si>
  <si>
    <t>GA on Power Purchased pd to IESO</t>
  </si>
  <si>
    <t>1-4705-4400-220-000</t>
  </si>
  <si>
    <t>GA Residential (and RPP)</t>
  </si>
  <si>
    <t>4006-420,422,423,424,430,431</t>
  </si>
  <si>
    <t>GA Sentinel Lights</t>
  </si>
  <si>
    <t>4030-420,422,423,424</t>
  </si>
  <si>
    <t>GA paid to General Service Cust.</t>
  </si>
  <si>
    <t>4035-420,422,423,424,430,431</t>
  </si>
  <si>
    <t>GA Non-RPP</t>
  </si>
  <si>
    <t>1-4705-4400-221-000</t>
  </si>
  <si>
    <t>Net Energy Charges</t>
  </si>
  <si>
    <t>Revenue</t>
  </si>
  <si>
    <t>Energy Billed-Residential</t>
  </si>
  <si>
    <t>4006's less GA</t>
  </si>
  <si>
    <t>Energy Billed - Street Lights</t>
  </si>
  <si>
    <t>4025's less GA</t>
  </si>
  <si>
    <t>Energy Billed-Sentinel Lights</t>
  </si>
  <si>
    <t>4030's less GA</t>
  </si>
  <si>
    <t>Energy Billed-General Service</t>
  </si>
  <si>
    <t>4035's less GA</t>
  </si>
  <si>
    <t>Energy Billed-Retailers</t>
  </si>
  <si>
    <t>4055's less GA</t>
  </si>
  <si>
    <t>GA Unbilled Revenue Adjustment</t>
  </si>
  <si>
    <t>Unbilled Revenue Adjustment</t>
  </si>
  <si>
    <t>4050's</t>
  </si>
  <si>
    <t>Eectricity Sales</t>
  </si>
  <si>
    <t>GA-Residential</t>
  </si>
  <si>
    <t>GA -Street Lights</t>
  </si>
  <si>
    <t>4025-420,422,423,424</t>
  </si>
  <si>
    <t>4035-420.422.423.424.430.431</t>
  </si>
  <si>
    <t>GA-Retailers</t>
  </si>
  <si>
    <t>all 4055-0000-420-XXX</t>
  </si>
  <si>
    <t>Total Recoveries</t>
  </si>
  <si>
    <t>Ending Balance</t>
  </si>
  <si>
    <t>RSVA  POWER VARIANCE</t>
  </si>
  <si>
    <t>2014 IRM Approved for Recovery to 1595-1500-595-315</t>
  </si>
  <si>
    <t>2015  -  Retail Service Variance Account - Non-RPP GA (1589)</t>
  </si>
  <si>
    <t>Effective 1/1/2015</t>
  </si>
  <si>
    <t>Effective 10/1/2015</t>
  </si>
  <si>
    <t>1-1589-1500-589-101</t>
  </si>
  <si>
    <t>Expense</t>
  </si>
  <si>
    <t>Power-0146 GA non-RPP</t>
  </si>
  <si>
    <t>1-4707-4400-221-000</t>
  </si>
  <si>
    <t>Total Expenses</t>
  </si>
  <si>
    <t>General-Non-RPP GA</t>
  </si>
  <si>
    <t>1-4035-0000-420-001</t>
  </si>
  <si>
    <t>General-Non-RPP GA Loss</t>
  </si>
  <si>
    <t>1-4035-0000-423-001</t>
  </si>
  <si>
    <t>Resale - DE - GA</t>
  </si>
  <si>
    <t>1-4055-0000-420-705</t>
  </si>
  <si>
    <t>Resale - OESC - GA</t>
  </si>
  <si>
    <t>1-4055-0000-420-710</t>
  </si>
  <si>
    <t>Resale - CE - GA</t>
  </si>
  <si>
    <t>1-4055-0000-420-715</t>
  </si>
  <si>
    <t>Resale - CN - GA</t>
  </si>
  <si>
    <t>1-4055-0000-420-720</t>
  </si>
  <si>
    <t>Resale - SU - GA</t>
  </si>
  <si>
    <t>1-4055-0000-420-725</t>
  </si>
  <si>
    <t>Resale - SE - GA</t>
  </si>
  <si>
    <t>1-4055-0000-420-730</t>
  </si>
  <si>
    <t>Resale - UE - GA</t>
  </si>
  <si>
    <t>1-4055-0000-420-735</t>
  </si>
  <si>
    <t>Resale - EC - GA</t>
  </si>
  <si>
    <t>1-4055-0000-420-740</t>
  </si>
  <si>
    <t>Resale - LA - GA</t>
  </si>
  <si>
    <t>1-4055-0000-420-745</t>
  </si>
  <si>
    <t>Resale - PE - GA</t>
  </si>
  <si>
    <t>1-4055-0000-420-750</t>
  </si>
  <si>
    <t>Resale - CW - GA</t>
  </si>
  <si>
    <t>1-4055-0000-420-755</t>
  </si>
  <si>
    <t>Resale - BP - GA</t>
  </si>
  <si>
    <t>1-4055-0000-420-760</t>
  </si>
  <si>
    <t>Resale - HEC - GA</t>
  </si>
  <si>
    <t>1-4055-0000-420-770</t>
  </si>
  <si>
    <t>Resale - Sunwave - GA</t>
  </si>
  <si>
    <t>1-4055-0000-420-775</t>
  </si>
  <si>
    <t>Resale - DE - Negate GA</t>
  </si>
  <si>
    <t>1-4055-0000-422-705</t>
  </si>
  <si>
    <t>Resale - OESC - Negate GA</t>
  </si>
  <si>
    <t>1-4055-0000-422-710</t>
  </si>
  <si>
    <t>Resale - Retailers-Non-RPP GA RSVA</t>
  </si>
  <si>
    <t>1-4055-4080-430-700</t>
  </si>
  <si>
    <t>GA Street Lights</t>
  </si>
  <si>
    <t xml:space="preserve">GA Revenue  Unbilled </t>
  </si>
  <si>
    <t>RSVA Non-RPP GA Variance</t>
  </si>
  <si>
    <t>2016  -  Retail Service Variance Account - Power (1588.00.00)</t>
  </si>
  <si>
    <t>Effective 1/1/2016</t>
  </si>
  <si>
    <t>Effective 4/1/2016</t>
  </si>
  <si>
    <t>Effective 7/1/2016</t>
  </si>
  <si>
    <t>Effecitve 10/1/2016</t>
  </si>
  <si>
    <t>2016 COS Approved for Recovery to 1595-1500-595-317</t>
  </si>
  <si>
    <t>2016  -  Retail Service Variance Account - Non-RPP GA (1589)</t>
  </si>
  <si>
    <t>RSVA Non-RPP GA - 1589 Expense vs. Revenues</t>
  </si>
  <si>
    <t>RSVA PP - 1588 Expense vs. Revenues</t>
  </si>
  <si>
    <t>2017  -  Retail Service Variance Account - Power (1588.00.00)</t>
  </si>
  <si>
    <t>Effective 1/1/2017</t>
  </si>
  <si>
    <t>Effective 4/1/2017</t>
  </si>
  <si>
    <t>Effective 7/1/2017</t>
  </si>
  <si>
    <t>Effecitve 10/1/2017</t>
  </si>
  <si>
    <t>2017  -  Retail Service Variance Account - Non-RPP GA (1589)</t>
  </si>
  <si>
    <t>Class A -0147 GA non-RPP</t>
  </si>
  <si>
    <t>1-4707-4400-221-001</t>
  </si>
  <si>
    <t>Resale - ONIT - GA</t>
  </si>
  <si>
    <t>Resale - GE - GA</t>
  </si>
  <si>
    <t>Resale - AC - GA</t>
  </si>
  <si>
    <t>GA Unbilled</t>
  </si>
  <si>
    <t>System:</t>
  </si>
  <si>
    <t>HISTORICAL DETAILED TRIAL BALANCE FOR 2017</t>
  </si>
  <si>
    <t>Page:</t>
  </si>
  <si>
    <t>User Date:</t>
  </si>
  <si>
    <t>User ID:</t>
  </si>
  <si>
    <t>rpetersen</t>
  </si>
  <si>
    <t>Wellington North Power Inc.</t>
  </si>
  <si>
    <t>General Ledger</t>
  </si>
  <si>
    <t>Ranges:</t>
  </si>
  <si>
    <t>From:</t>
  </si>
  <si>
    <t>To:</t>
  </si>
  <si>
    <t>Date:</t>
  </si>
  <si>
    <t>Subtotal By:</t>
  </si>
  <si>
    <t>No Subtotals</t>
  </si>
  <si>
    <t>Include:</t>
  </si>
  <si>
    <t>Posting, Zero Balance/No Trx</t>
  </si>
  <si>
    <t>Account:</t>
  </si>
  <si>
    <t>Sorted By:</t>
  </si>
  <si>
    <t>Company</t>
  </si>
  <si>
    <t>Print Currency In:  Functional (CAD)</t>
  </si>
  <si>
    <t>Description:</t>
  </si>
  <si>
    <t>RSVA Non-RPP GA - Variance</t>
  </si>
  <si>
    <t>Beginning Balance:</t>
  </si>
  <si>
    <t>Trx Date</t>
  </si>
  <si>
    <t>Jrnl No.</t>
  </si>
  <si>
    <t>Orig. Audit Trail</t>
  </si>
  <si>
    <t>Distribution Reference</t>
  </si>
  <si>
    <t>Orig. Master Number</t>
  </si>
  <si>
    <t>Orig. Master Name</t>
  </si>
  <si>
    <t>Debit</t>
  </si>
  <si>
    <t>Credit</t>
  </si>
  <si>
    <t>GLTRX00028822</t>
  </si>
  <si>
    <t>RSVA Jan 2017</t>
  </si>
  <si>
    <t>GLTRX00029029</t>
  </si>
  <si>
    <t>RSVA Feb 2017</t>
  </si>
  <si>
    <t>GLTRX00029494</t>
  </si>
  <si>
    <t>RSVA Mar 2017</t>
  </si>
  <si>
    <t>GLTRX00029885</t>
  </si>
  <si>
    <t>RSVA Apr 2017</t>
  </si>
  <si>
    <t>GLTRX00030233</t>
  </si>
  <si>
    <t>RSVA May 2017</t>
  </si>
  <si>
    <t>GLTRX00030601</t>
  </si>
  <si>
    <t>RSVA Jun 2017</t>
  </si>
  <si>
    <t>GLTRX00031001</t>
  </si>
  <si>
    <t>GA Unbilled Changes - Jun 2017</t>
  </si>
  <si>
    <t>GLTRX00033452</t>
  </si>
  <si>
    <t>RSVA Jul 2017</t>
  </si>
  <si>
    <t>GLTRX00031551</t>
  </si>
  <si>
    <t>GLTRX00031464</t>
  </si>
  <si>
    <t>RSVA Aug 2017</t>
  </si>
  <si>
    <t>GLTRX00032298</t>
  </si>
  <si>
    <t>RSVA Adjustment - Aug 2017</t>
  </si>
  <si>
    <t>GLTRX00033491</t>
  </si>
  <si>
    <t>GLTRX00033493</t>
  </si>
  <si>
    <t>GLTRX00032102</t>
  </si>
  <si>
    <t>RSVA Sep 2017</t>
  </si>
  <si>
    <t>GLTRX00032626</t>
  </si>
  <si>
    <t>RSVA Oct 2017</t>
  </si>
  <si>
    <t>GLTRX00033623</t>
  </si>
  <si>
    <t>RSVA Nov 2017</t>
  </si>
  <si>
    <t>GLTRX00033631</t>
  </si>
  <si>
    <t>RSVA Dec 2017</t>
  </si>
  <si>
    <t>Net Change</t>
  </si>
  <si>
    <t>Totals:</t>
  </si>
  <si>
    <t>Accounts</t>
  </si>
  <si>
    <t>Beginning Balance</t>
  </si>
  <si>
    <t>Grand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</si>
</sst>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0.00_);[Red]\(0.00\)"/>
    <numFmt numFmtId="166" formatCode="0.000%"/>
    <numFmt numFmtId="167" formatCode="&quot;$&quot;#,##0.00"/>
    <numFmt numFmtId="168" formatCode="&quot;$&quot;#,##0.0000"/>
    <numFmt numFmtId="169" formatCode="0.00000%"/>
    <numFmt numFmtId="170" formatCode="0.0000%"/>
    <numFmt numFmtId="171" formatCode="[$-409]mmm\-yy;@"/>
    <numFmt numFmtId="172" formatCode="mm/dd/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ahoma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color indexed="17"/>
      <name val="Arial"/>
      <family val="2"/>
    </font>
    <font>
      <sz val="10"/>
      <color theme="8" tint="-0.249977111117893"/>
      <name val="Arial"/>
      <family val="2"/>
    </font>
    <font>
      <sz val="10"/>
      <color rgb="FF00B050"/>
      <name val="Arial"/>
      <family val="2"/>
    </font>
    <font>
      <sz val="10"/>
      <color indexed="50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</cellStyleXfs>
  <cellXfs count="175">
    <xf numFmtId="0" fontId="0" fillId="0" borderId="0" xfId="0"/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0" fontId="0" fillId="0" borderId="3" xfId="0" applyFont="1" applyFill="1" applyBorder="1" applyAlignment="1">
      <alignment horizontal="center"/>
    </xf>
    <xf numFmtId="165" fontId="0" fillId="0" borderId="3" xfId="0" applyNumberFormat="1" applyFont="1" applyFill="1" applyBorder="1" applyAlignment="1">
      <alignment horizontal="center"/>
    </xf>
    <xf numFmtId="166" fontId="0" fillId="0" borderId="4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166" fontId="2" fillId="0" borderId="0" xfId="1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0" fillId="0" borderId="3" xfId="0" applyFill="1" applyBorder="1" applyAlignment="1">
      <alignment horizontal="center"/>
    </xf>
    <xf numFmtId="167" fontId="0" fillId="0" borderId="0" xfId="0" applyNumberFormat="1" applyFont="1" applyFill="1" applyAlignment="1">
      <alignment horizontal="center"/>
    </xf>
    <xf numFmtId="164" fontId="0" fillId="0" borderId="0" xfId="2" applyFont="1" applyFill="1" applyAlignment="1">
      <alignment horizontal="center"/>
    </xf>
    <xf numFmtId="40" fontId="0" fillId="0" borderId="0" xfId="0" applyNumberFormat="1" applyFont="1" applyFill="1" applyAlignment="1">
      <alignment horizontal="center"/>
    </xf>
    <xf numFmtId="168" fontId="0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right"/>
    </xf>
    <xf numFmtId="169" fontId="0" fillId="0" borderId="0" xfId="1" applyNumberFormat="1" applyFont="1" applyFill="1" applyAlignment="1">
      <alignment horizontal="center"/>
    </xf>
    <xf numFmtId="0" fontId="9" fillId="0" borderId="0" xfId="0" applyFont="1" applyFill="1" applyAlignment="1">
      <alignment horizontal="right"/>
    </xf>
    <xf numFmtId="0" fontId="6" fillId="0" borderId="2" xfId="0" applyFont="1" applyFill="1" applyBorder="1" applyAlignment="1">
      <alignment horizontal="center"/>
    </xf>
    <xf numFmtId="2" fontId="0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43" fontId="0" fillId="0" borderId="0" xfId="0" applyNumberFormat="1" applyFont="1" applyFill="1" applyAlignment="1">
      <alignment horizontal="center"/>
    </xf>
    <xf numFmtId="164" fontId="0" fillId="0" borderId="3" xfId="0" applyNumberFormat="1" applyFon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64" fontId="3" fillId="0" borderId="0" xfId="2" applyFont="1" applyFill="1" applyAlignment="1">
      <alignment horizontal="center"/>
    </xf>
    <xf numFmtId="164" fontId="10" fillId="0" borderId="3" xfId="0" applyNumberFormat="1" applyFont="1" applyFill="1" applyBorder="1" applyAlignment="1">
      <alignment horizontal="center"/>
    </xf>
    <xf numFmtId="0" fontId="11" fillId="0" borderId="0" xfId="3" applyAlignment="1">
      <alignment horizontal="right"/>
    </xf>
    <xf numFmtId="0" fontId="11" fillId="0" borderId="0" xfId="3"/>
    <xf numFmtId="0" fontId="12" fillId="0" borderId="0" xfId="3" applyFont="1" applyAlignment="1">
      <alignment horizontal="center"/>
    </xf>
    <xf numFmtId="10" fontId="11" fillId="2" borderId="0" xfId="3" applyNumberFormat="1" applyFill="1"/>
    <xf numFmtId="14" fontId="11" fillId="0" borderId="0" xfId="3" applyNumberFormat="1" applyFont="1" applyAlignment="1">
      <alignment horizontal="left"/>
    </xf>
    <xf numFmtId="10" fontId="11" fillId="2" borderId="0" xfId="3" applyNumberFormat="1" applyFill="1" applyAlignment="1"/>
    <xf numFmtId="170" fontId="11" fillId="0" borderId="0" xfId="3" applyNumberFormat="1"/>
    <xf numFmtId="4" fontId="11" fillId="0" borderId="0" xfId="3" applyNumberFormat="1"/>
    <xf numFmtId="164" fontId="11" fillId="0" borderId="6" xfId="3" applyNumberFormat="1" applyBorder="1" applyAlignment="1">
      <alignment horizontal="right"/>
    </xf>
    <xf numFmtId="164" fontId="11" fillId="0" borderId="7" xfId="3" applyNumberFormat="1" applyBorder="1" applyAlignment="1">
      <alignment horizontal="right"/>
    </xf>
    <xf numFmtId="164" fontId="11" fillId="0" borderId="7" xfId="3" applyNumberFormat="1" applyBorder="1" applyAlignment="1">
      <alignment horizontal="right" wrapText="1"/>
    </xf>
    <xf numFmtId="164" fontId="11" fillId="0" borderId="0" xfId="3" applyNumberFormat="1"/>
    <xf numFmtId="164" fontId="14" fillId="0" borderId="8" xfId="3" applyNumberFormat="1" applyFont="1" applyBorder="1" applyAlignment="1">
      <alignment horizontal="right"/>
    </xf>
    <xf numFmtId="164" fontId="14" fillId="0" borderId="0" xfId="3" applyNumberFormat="1" applyFont="1" applyBorder="1" applyAlignment="1">
      <alignment horizontal="right"/>
    </xf>
    <xf numFmtId="164" fontId="11" fillId="0" borderId="0" xfId="3" applyNumberFormat="1" applyBorder="1" applyAlignment="1">
      <alignment horizontal="right"/>
    </xf>
    <xf numFmtId="164" fontId="11" fillId="0" borderId="9" xfId="3" applyNumberFormat="1" applyBorder="1" applyAlignment="1">
      <alignment horizontal="right"/>
    </xf>
    <xf numFmtId="164" fontId="11" fillId="0" borderId="9" xfId="3" applyNumberFormat="1" applyBorder="1" applyAlignment="1">
      <alignment horizontal="right" wrapText="1"/>
    </xf>
    <xf numFmtId="171" fontId="14" fillId="0" borderId="0" xfId="3" applyNumberFormat="1" applyFont="1" applyBorder="1" applyAlignment="1">
      <alignment horizontal="center"/>
    </xf>
    <xf numFmtId="171" fontId="14" fillId="0" borderId="9" xfId="3" applyNumberFormat="1" applyFont="1" applyBorder="1" applyAlignment="1">
      <alignment horizontal="center"/>
    </xf>
    <xf numFmtId="164" fontId="14" fillId="0" borderId="9" xfId="3" applyNumberFormat="1" applyFont="1" applyBorder="1" applyAlignment="1">
      <alignment horizontal="right" wrapText="1"/>
    </xf>
    <xf numFmtId="164" fontId="14" fillId="3" borderId="8" xfId="3" applyNumberFormat="1" applyFont="1" applyFill="1" applyBorder="1" applyAlignment="1">
      <alignment horizontal="right"/>
    </xf>
    <xf numFmtId="164" fontId="15" fillId="0" borderId="0" xfId="3" applyNumberFormat="1" applyFont="1"/>
    <xf numFmtId="164" fontId="14" fillId="3" borderId="0" xfId="4" applyNumberFormat="1" applyFont="1" applyFill="1" applyBorder="1" applyAlignment="1">
      <alignment horizontal="right"/>
    </xf>
    <xf numFmtId="164" fontId="11" fillId="3" borderId="0" xfId="4" applyNumberFormat="1" applyFont="1" applyFill="1" applyBorder="1" applyAlignment="1">
      <alignment horizontal="right"/>
    </xf>
    <xf numFmtId="164" fontId="11" fillId="3" borderId="9" xfId="4" applyNumberFormat="1" applyFont="1" applyFill="1" applyBorder="1" applyAlignment="1">
      <alignment horizontal="right"/>
    </xf>
    <xf numFmtId="172" fontId="16" fillId="0" borderId="0" xfId="3" applyNumberFormat="1" applyFont="1" applyAlignment="1">
      <alignment horizontal="left"/>
    </xf>
    <xf numFmtId="0" fontId="11" fillId="0" borderId="0" xfId="3" applyBorder="1"/>
    <xf numFmtId="164" fontId="11" fillId="0" borderId="0" xfId="3" applyNumberFormat="1" applyFont="1"/>
    <xf numFmtId="164" fontId="11" fillId="0" borderId="0" xfId="3" applyNumberFormat="1" applyFont="1" applyFill="1" applyBorder="1" applyAlignment="1">
      <alignment horizontal="right"/>
    </xf>
    <xf numFmtId="164" fontId="11" fillId="0" borderId="0" xfId="3" applyNumberFormat="1" applyFont="1" applyBorder="1" applyAlignment="1">
      <alignment horizontal="right"/>
    </xf>
    <xf numFmtId="164" fontId="11" fillId="0" borderId="0" xfId="4" applyNumberFormat="1" applyFont="1" applyFill="1" applyBorder="1" applyAlignment="1">
      <alignment horizontal="right"/>
    </xf>
    <xf numFmtId="164" fontId="11" fillId="0" borderId="9" xfId="3" applyNumberFormat="1" applyFont="1" applyFill="1" applyBorder="1" applyAlignment="1">
      <alignment horizontal="right"/>
    </xf>
    <xf numFmtId="164" fontId="11" fillId="0" borderId="9" xfId="4" applyNumberFormat="1" applyFont="1" applyBorder="1" applyAlignment="1">
      <alignment horizontal="right"/>
    </xf>
    <xf numFmtId="172" fontId="17" fillId="0" borderId="0" xfId="3" applyNumberFormat="1" applyFont="1" applyFill="1" applyAlignment="1">
      <alignment horizontal="left"/>
    </xf>
    <xf numFmtId="164" fontId="11" fillId="0" borderId="0" xfId="3" applyNumberFormat="1" applyBorder="1"/>
    <xf numFmtId="14" fontId="16" fillId="0" borderId="0" xfId="3" applyNumberFormat="1" applyFont="1" applyBorder="1"/>
    <xf numFmtId="164" fontId="11" fillId="0" borderId="0" xfId="3" applyNumberFormat="1" applyFont="1" applyAlignment="1">
      <alignment horizontal="left"/>
    </xf>
    <xf numFmtId="164" fontId="11" fillId="0" borderId="10" xfId="3" applyNumberFormat="1" applyFont="1" applyFill="1" applyBorder="1" applyAlignment="1">
      <alignment horizontal="right"/>
    </xf>
    <xf numFmtId="164" fontId="11" fillId="0" borderId="11" xfId="4" applyNumberFormat="1" applyFont="1" applyBorder="1" applyAlignment="1">
      <alignment horizontal="right"/>
    </xf>
    <xf numFmtId="0" fontId="11" fillId="0" borderId="9" xfId="3" applyBorder="1"/>
    <xf numFmtId="164" fontId="11" fillId="0" borderId="12" xfId="3" applyNumberFormat="1" applyFont="1" applyBorder="1" applyAlignment="1">
      <alignment horizontal="right"/>
    </xf>
    <xf numFmtId="164" fontId="11" fillId="0" borderId="13" xfId="3" applyNumberFormat="1" applyFont="1" applyFill="1" applyBorder="1" applyAlignment="1">
      <alignment horizontal="right"/>
    </xf>
    <xf numFmtId="164" fontId="14" fillId="3" borderId="14" xfId="3" applyNumberFormat="1" applyFont="1" applyFill="1" applyBorder="1" applyAlignment="1">
      <alignment horizontal="right"/>
    </xf>
    <xf numFmtId="164" fontId="14" fillId="3" borderId="10" xfId="3" applyNumberFormat="1" applyFont="1" applyFill="1" applyBorder="1" applyAlignment="1">
      <alignment horizontal="right"/>
    </xf>
    <xf numFmtId="164" fontId="11" fillId="3" borderId="10" xfId="4" applyNumberFormat="1" applyFont="1" applyFill="1" applyBorder="1" applyAlignment="1">
      <alignment horizontal="right"/>
    </xf>
    <xf numFmtId="164" fontId="11" fillId="3" borderId="11" xfId="4" applyNumberFormat="1" applyFont="1" applyFill="1" applyBorder="1" applyAlignment="1">
      <alignment horizontal="right"/>
    </xf>
    <xf numFmtId="164" fontId="11" fillId="0" borderId="9" xfId="4" applyNumberFormat="1" applyFont="1" applyFill="1" applyBorder="1" applyAlignment="1">
      <alignment horizontal="right"/>
    </xf>
    <xf numFmtId="0" fontId="11" fillId="0" borderId="8" xfId="3" applyBorder="1" applyAlignment="1">
      <alignment horizontal="right"/>
    </xf>
    <xf numFmtId="0" fontId="11" fillId="0" borderId="0" xfId="3" applyFont="1" applyAlignment="1">
      <alignment horizontal="left"/>
    </xf>
    <xf numFmtId="164" fontId="11" fillId="0" borderId="0" xfId="3" applyNumberFormat="1" applyFill="1" applyBorder="1" applyAlignment="1">
      <alignment horizontal="right"/>
    </xf>
    <xf numFmtId="0" fontId="11" fillId="0" borderId="8" xfId="3" applyFont="1" applyBorder="1" applyAlignment="1">
      <alignment horizontal="right"/>
    </xf>
    <xf numFmtId="0" fontId="18" fillId="0" borderId="8" xfId="3" applyFont="1" applyBorder="1" applyAlignment="1">
      <alignment horizontal="right"/>
    </xf>
    <xf numFmtId="164" fontId="18" fillId="0" borderId="0" xfId="3" applyNumberFormat="1" applyFont="1" applyFill="1" applyBorder="1" applyAlignment="1">
      <alignment horizontal="right"/>
    </xf>
    <xf numFmtId="0" fontId="18" fillId="0" borderId="0" xfId="3" applyFont="1" applyAlignment="1">
      <alignment horizontal="left"/>
    </xf>
    <xf numFmtId="164" fontId="18" fillId="0" borderId="9" xfId="3" applyNumberFormat="1" applyFont="1" applyFill="1" applyBorder="1" applyAlignment="1">
      <alignment horizontal="right"/>
    </xf>
    <xf numFmtId="164" fontId="18" fillId="0" borderId="9" xfId="4" applyNumberFormat="1" applyFont="1" applyBorder="1" applyAlignment="1">
      <alignment horizontal="right"/>
    </xf>
    <xf numFmtId="0" fontId="18" fillId="0" borderId="0" xfId="3" applyFont="1"/>
    <xf numFmtId="0" fontId="14" fillId="0" borderId="8" xfId="3" applyFont="1" applyFill="1" applyBorder="1" applyAlignment="1">
      <alignment horizontal="right"/>
    </xf>
    <xf numFmtId="0" fontId="19" fillId="0" borderId="0" xfId="3" applyFont="1" applyFill="1" applyAlignment="1">
      <alignment horizontal="left"/>
    </xf>
    <xf numFmtId="164" fontId="11" fillId="0" borderId="11" xfId="3" applyNumberFormat="1" applyFont="1" applyFill="1" applyBorder="1" applyAlignment="1">
      <alignment horizontal="right"/>
    </xf>
    <xf numFmtId="172" fontId="16" fillId="0" borderId="0" xfId="3" applyNumberFormat="1" applyFont="1" applyFill="1" applyAlignment="1">
      <alignment horizontal="left"/>
    </xf>
    <xf numFmtId="0" fontId="19" fillId="0" borderId="0" xfId="3" applyFont="1" applyFill="1"/>
    <xf numFmtId="164" fontId="11" fillId="0" borderId="8" xfId="3" applyNumberFormat="1" applyFont="1" applyBorder="1" applyAlignment="1">
      <alignment horizontal="right"/>
    </xf>
    <xf numFmtId="0" fontId="11" fillId="0" borderId="0" xfId="3" applyFont="1"/>
    <xf numFmtId="164" fontId="11" fillId="0" borderId="8" xfId="3" applyNumberFormat="1" applyBorder="1" applyAlignment="1">
      <alignment horizontal="right"/>
    </xf>
    <xf numFmtId="0" fontId="11" fillId="0" borderId="0" xfId="3" applyFont="1" applyFill="1" applyAlignment="1">
      <alignment horizontal="left"/>
    </xf>
    <xf numFmtId="164" fontId="0" fillId="0" borderId="0" xfId="4" applyFont="1"/>
    <xf numFmtId="164" fontId="11" fillId="0" borderId="8" xfId="3" applyNumberFormat="1" applyFont="1" applyFill="1" applyBorder="1" applyAlignment="1">
      <alignment horizontal="right"/>
    </xf>
    <xf numFmtId="164" fontId="11" fillId="0" borderId="12" xfId="3" applyNumberFormat="1" applyFont="1" applyFill="1" applyBorder="1" applyAlignment="1">
      <alignment horizontal="right"/>
    </xf>
    <xf numFmtId="164" fontId="11" fillId="0" borderId="13" xfId="4" applyNumberFormat="1" applyFont="1" applyFill="1" applyBorder="1" applyAlignment="1">
      <alignment horizontal="right"/>
    </xf>
    <xf numFmtId="172" fontId="16" fillId="3" borderId="0" xfId="3" applyNumberFormat="1" applyFont="1" applyFill="1" applyAlignment="1">
      <alignment horizontal="left"/>
    </xf>
    <xf numFmtId="0" fontId="11" fillId="3" borderId="0" xfId="3" applyFill="1"/>
    <xf numFmtId="164" fontId="14" fillId="0" borderId="8" xfId="3" applyNumberFormat="1" applyFont="1" applyFill="1" applyBorder="1" applyAlignment="1">
      <alignment horizontal="right"/>
    </xf>
    <xf numFmtId="164" fontId="14" fillId="0" borderId="0" xfId="3" applyNumberFormat="1" applyFont="1" applyFill="1" applyBorder="1" applyAlignment="1">
      <alignment horizontal="right"/>
    </xf>
    <xf numFmtId="164" fontId="14" fillId="3" borderId="0" xfId="3" applyNumberFormat="1" applyFont="1" applyFill="1" applyBorder="1" applyAlignment="1">
      <alignment horizontal="right"/>
    </xf>
    <xf numFmtId="164" fontId="11" fillId="0" borderId="0" xfId="4" applyNumberFormat="1" applyFont="1" applyBorder="1" applyAlignment="1">
      <alignment horizontal="right"/>
    </xf>
    <xf numFmtId="164" fontId="14" fillId="0" borderId="8" xfId="3" applyNumberFormat="1" applyFont="1" applyFill="1" applyBorder="1"/>
    <xf numFmtId="39" fontId="11" fillId="0" borderId="0" xfId="3" applyNumberFormat="1"/>
    <xf numFmtId="0" fontId="12" fillId="0" borderId="0" xfId="3" applyFont="1"/>
    <xf numFmtId="10" fontId="11" fillId="4" borderId="0" xfId="3" applyNumberFormat="1" applyFill="1"/>
    <xf numFmtId="164" fontId="11" fillId="0" borderId="6" xfId="3" applyNumberFormat="1" applyBorder="1"/>
    <xf numFmtId="164" fontId="11" fillId="0" borderId="15" xfId="3" applyNumberFormat="1" applyBorder="1"/>
    <xf numFmtId="164" fontId="14" fillId="0" borderId="8" xfId="3" applyNumberFormat="1" applyFont="1" applyBorder="1"/>
    <xf numFmtId="164" fontId="14" fillId="0" borderId="0" xfId="3" applyNumberFormat="1" applyFont="1" applyBorder="1"/>
    <xf numFmtId="164" fontId="11" fillId="0" borderId="3" xfId="3" applyNumberFormat="1" applyBorder="1"/>
    <xf numFmtId="164" fontId="14" fillId="0" borderId="3" xfId="3" applyNumberFormat="1" applyFont="1" applyBorder="1" applyAlignment="1">
      <alignment horizontal="center"/>
    </xf>
    <xf numFmtId="164" fontId="14" fillId="3" borderId="8" xfId="3" applyNumberFormat="1" applyFont="1" applyFill="1" applyBorder="1" applyAlignment="1">
      <alignment horizontal="left"/>
    </xf>
    <xf numFmtId="164" fontId="0" fillId="3" borderId="0" xfId="4" applyNumberFormat="1" applyFont="1" applyFill="1" applyBorder="1"/>
    <xf numFmtId="164" fontId="0" fillId="3" borderId="3" xfId="4" applyNumberFormat="1" applyFont="1" applyFill="1" applyBorder="1"/>
    <xf numFmtId="164" fontId="0" fillId="0" borderId="0" xfId="4" applyNumberFormat="1" applyFont="1" applyBorder="1"/>
    <xf numFmtId="164" fontId="0" fillId="0" borderId="0" xfId="4" applyNumberFormat="1" applyFont="1" applyFill="1" applyBorder="1"/>
    <xf numFmtId="164" fontId="0" fillId="0" borderId="3" xfId="4" applyNumberFormat="1" applyFont="1" applyBorder="1"/>
    <xf numFmtId="164" fontId="11" fillId="0" borderId="16" xfId="3" applyNumberFormat="1" applyFont="1" applyBorder="1" applyAlignment="1">
      <alignment horizontal="right"/>
    </xf>
    <xf numFmtId="164" fontId="11" fillId="0" borderId="17" xfId="3" applyNumberFormat="1" applyFont="1" applyBorder="1"/>
    <xf numFmtId="164" fontId="11" fillId="0" borderId="17" xfId="3" applyNumberFormat="1" applyFont="1" applyBorder="1" applyAlignment="1">
      <alignment horizontal="right"/>
    </xf>
    <xf numFmtId="164" fontId="11" fillId="0" borderId="17" xfId="3" applyNumberFormat="1" applyFont="1" applyFill="1" applyBorder="1" applyAlignment="1">
      <alignment horizontal="right"/>
    </xf>
    <xf numFmtId="164" fontId="0" fillId="0" borderId="17" xfId="4" applyNumberFormat="1" applyFont="1" applyFill="1" applyBorder="1"/>
    <xf numFmtId="164" fontId="14" fillId="3" borderId="8" xfId="3" applyNumberFormat="1" applyFont="1" applyFill="1" applyBorder="1"/>
    <xf numFmtId="164" fontId="14" fillId="3" borderId="0" xfId="3" applyNumberFormat="1" applyFont="1" applyFill="1" applyBorder="1"/>
    <xf numFmtId="164" fontId="0" fillId="3" borderId="15" xfId="4" applyNumberFormat="1" applyFont="1" applyFill="1" applyBorder="1"/>
    <xf numFmtId="164" fontId="14" fillId="0" borderId="8" xfId="3" applyNumberFormat="1" applyFont="1" applyBorder="1" applyAlignment="1">
      <alignment horizontal="left"/>
    </xf>
    <xf numFmtId="164" fontId="14" fillId="0" borderId="0" xfId="3" applyNumberFormat="1" applyFont="1" applyBorder="1" applyAlignment="1">
      <alignment horizontal="left"/>
    </xf>
    <xf numFmtId="0" fontId="11" fillId="0" borderId="8" xfId="3" applyFont="1" applyBorder="1"/>
    <xf numFmtId="164" fontId="0" fillId="0" borderId="3" xfId="4" applyNumberFormat="1" applyFont="1" applyFill="1" applyBorder="1"/>
    <xf numFmtId="164" fontId="18" fillId="0" borderId="3" xfId="4" applyNumberFormat="1" applyFont="1" applyFill="1" applyBorder="1"/>
    <xf numFmtId="164" fontId="18" fillId="0" borderId="0" xfId="3" applyNumberFormat="1" applyFont="1"/>
    <xf numFmtId="164" fontId="14" fillId="3" borderId="5" xfId="3" applyNumberFormat="1" applyFont="1" applyFill="1" applyBorder="1" applyAlignment="1">
      <alignment horizontal="left"/>
    </xf>
    <xf numFmtId="164" fontId="14" fillId="3" borderId="6" xfId="3" applyNumberFormat="1" applyFont="1" applyFill="1" applyBorder="1" applyAlignment="1">
      <alignment horizontal="left"/>
    </xf>
    <xf numFmtId="164" fontId="0" fillId="3" borderId="6" xfId="4" applyNumberFormat="1" applyFont="1" applyFill="1" applyBorder="1"/>
    <xf numFmtId="164" fontId="0" fillId="3" borderId="7" xfId="4" applyNumberFormat="1" applyFont="1" applyFill="1" applyBorder="1"/>
    <xf numFmtId="164" fontId="14" fillId="0" borderId="8" xfId="3" applyNumberFormat="1" applyFont="1" applyFill="1" applyBorder="1" applyAlignment="1">
      <alignment horizontal="left"/>
    </xf>
    <xf numFmtId="164" fontId="14" fillId="0" borderId="0" xfId="3" applyNumberFormat="1" applyFont="1" applyFill="1" applyBorder="1" applyAlignment="1">
      <alignment horizontal="left"/>
    </xf>
    <xf numFmtId="164" fontId="14" fillId="3" borderId="0" xfId="3" applyNumberFormat="1" applyFont="1" applyFill="1" applyBorder="1" applyAlignment="1">
      <alignment horizontal="left"/>
    </xf>
    <xf numFmtId="0" fontId="11" fillId="0" borderId="0" xfId="3" applyFill="1"/>
    <xf numFmtId="164" fontId="11" fillId="0" borderId="0" xfId="3" applyNumberFormat="1" applyFont="1" applyFill="1"/>
    <xf numFmtId="164" fontId="14" fillId="0" borderId="0" xfId="4" applyNumberFormat="1" applyFont="1" applyFill="1" applyBorder="1"/>
    <xf numFmtId="164" fontId="13" fillId="0" borderId="5" xfId="3" applyNumberFormat="1" applyFont="1" applyFill="1" applyBorder="1"/>
    <xf numFmtId="164" fontId="13" fillId="0" borderId="6" xfId="3" applyNumberFormat="1" applyFont="1" applyFill="1" applyBorder="1"/>
    <xf numFmtId="164" fontId="20" fillId="0" borderId="6" xfId="3" applyNumberFormat="1" applyFont="1" applyFill="1" applyBorder="1"/>
    <xf numFmtId="164" fontId="11" fillId="0" borderId="6" xfId="3" applyNumberFormat="1" applyFill="1" applyBorder="1"/>
    <xf numFmtId="2" fontId="11" fillId="0" borderId="0" xfId="3" applyNumberFormat="1" applyFont="1" applyFill="1"/>
    <xf numFmtId="164" fontId="11" fillId="0" borderId="9" xfId="3" applyNumberFormat="1" applyFill="1" applyBorder="1" applyAlignment="1">
      <alignment horizontal="right"/>
    </xf>
    <xf numFmtId="164" fontId="13" fillId="0" borderId="5" xfId="3" applyNumberFormat="1" applyFont="1" applyFill="1" applyBorder="1" applyAlignment="1">
      <alignment horizontal="left"/>
    </xf>
    <xf numFmtId="164" fontId="13" fillId="0" borderId="6" xfId="3" applyNumberFormat="1" applyFont="1" applyFill="1" applyBorder="1" applyAlignment="1">
      <alignment horizontal="left"/>
    </xf>
    <xf numFmtId="164" fontId="11" fillId="0" borderId="6" xfId="3" applyNumberFormat="1" applyFill="1" applyBorder="1" applyAlignment="1">
      <alignment horizontal="right"/>
    </xf>
    <xf numFmtId="10" fontId="11" fillId="0" borderId="0" xfId="3" applyNumberFormat="1" applyAlignment="1">
      <alignment horizontal="right"/>
    </xf>
    <xf numFmtId="0" fontId="14" fillId="0" borderId="8" xfId="3" applyFont="1" applyBorder="1"/>
    <xf numFmtId="0" fontId="14" fillId="0" borderId="8" xfId="3" applyFont="1" applyBorder="1" applyAlignment="1">
      <alignment horizontal="right"/>
    </xf>
    <xf numFmtId="0" fontId="14" fillId="0" borderId="0" xfId="3" applyFont="1" applyAlignment="1">
      <alignment horizontal="left"/>
    </xf>
    <xf numFmtId="14" fontId="0" fillId="0" borderId="0" xfId="0" applyNumberFormat="1"/>
    <xf numFmtId="19" fontId="0" fillId="0" borderId="0" xfId="0" applyNumberFormat="1"/>
    <xf numFmtId="8" fontId="0" fillId="0" borderId="0" xfId="0" applyNumberFormat="1"/>
    <xf numFmtId="3" fontId="0" fillId="0" borderId="0" xfId="0" applyNumberFormat="1"/>
    <xf numFmtId="8" fontId="3" fillId="0" borderId="0" xfId="0" applyNumberFormat="1" applyFont="1"/>
    <xf numFmtId="1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12" fillId="0" borderId="0" xfId="3" applyFont="1" applyAlignment="1">
      <alignment horizontal="center"/>
    </xf>
  </cellXfs>
  <cellStyles count="5">
    <cellStyle name="Comma" xfId="2" builtinId="3"/>
    <cellStyle name="Comma 2" xfId="4"/>
    <cellStyle name="Normal" xfId="0" builtinId="0"/>
    <cellStyle name="Normal 2" xfId="3"/>
    <cellStyle name="Percent" xfId="1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5"/>
  <sheetViews>
    <sheetView tabSelected="1" zoomScale="80" zoomScaleNormal="80" workbookViewId="0">
      <selection activeCell="A28" sqref="A28:B28"/>
    </sheetView>
  </sheetViews>
  <sheetFormatPr defaultColWidth="9.140625" defaultRowHeight="15" x14ac:dyDescent="0.25"/>
  <cols>
    <col min="1" max="1" width="50" style="3" customWidth="1"/>
    <col min="2" max="2" width="16.140625" style="3" bestFit="1" customWidth="1"/>
    <col min="3" max="3" width="15.140625" style="3" bestFit="1" customWidth="1"/>
    <col min="4" max="4" width="16.140625" style="3" bestFit="1" customWidth="1"/>
    <col min="5" max="6" width="14.7109375" style="3" bestFit="1" customWidth="1"/>
    <col min="7" max="7" width="15.140625" style="3" bestFit="1" customWidth="1"/>
    <col min="8" max="8" width="14.7109375" style="3" bestFit="1" customWidth="1"/>
    <col min="9" max="9" width="15.140625" style="3" bestFit="1" customWidth="1"/>
    <col min="10" max="10" width="14.7109375" style="3" bestFit="1" customWidth="1"/>
    <col min="11" max="11" width="15.140625" style="3" bestFit="1" customWidth="1"/>
    <col min="12" max="12" width="15.140625" style="3" customWidth="1"/>
    <col min="13" max="13" width="15.140625" style="3" bestFit="1" customWidth="1"/>
    <col min="14" max="14" width="17.28515625" style="3" bestFit="1" customWidth="1"/>
    <col min="15" max="15" width="2.42578125" style="3" customWidth="1"/>
    <col min="16" max="16" width="9.140625" style="3"/>
    <col min="17" max="17" width="11.42578125" style="3" bestFit="1" customWidth="1"/>
    <col min="18" max="16384" width="9.140625" style="3"/>
  </cols>
  <sheetData>
    <row r="2" spans="1:17" x14ac:dyDescent="0.25">
      <c r="A2" s="29" t="s">
        <v>24</v>
      </c>
      <c r="B2" s="25"/>
    </row>
    <row r="3" spans="1:17" x14ac:dyDescent="0.25">
      <c r="A3" s="1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10" t="s">
        <v>14</v>
      </c>
    </row>
    <row r="4" spans="1:17" x14ac:dyDescent="0.25">
      <c r="A4" s="5" t="s">
        <v>18</v>
      </c>
      <c r="B4" s="31">
        <v>66.87</v>
      </c>
      <c r="C4" s="31">
        <v>105.59</v>
      </c>
      <c r="D4" s="31">
        <v>84.09</v>
      </c>
      <c r="E4" s="31">
        <v>68.739999999999995</v>
      </c>
      <c r="F4" s="31">
        <v>106.23</v>
      </c>
      <c r="G4" s="31">
        <v>119.54</v>
      </c>
      <c r="H4" s="31">
        <v>106.52</v>
      </c>
      <c r="I4" s="31">
        <v>115</v>
      </c>
      <c r="J4" s="31">
        <v>127.39</v>
      </c>
      <c r="K4" s="31">
        <v>102.12</v>
      </c>
      <c r="L4" s="31">
        <v>111.64</v>
      </c>
      <c r="M4" s="31">
        <v>83.91</v>
      </c>
      <c r="N4" s="18"/>
    </row>
    <row r="5" spans="1:17" x14ac:dyDescent="0.25">
      <c r="A5" s="5" t="s">
        <v>12</v>
      </c>
      <c r="B5" s="31">
        <v>86.77</v>
      </c>
      <c r="C5" s="31">
        <v>84.3</v>
      </c>
      <c r="D5" s="31">
        <v>68.86</v>
      </c>
      <c r="E5" s="31">
        <v>102.18</v>
      </c>
      <c r="F5" s="31">
        <v>127.76</v>
      </c>
      <c r="G5" s="31">
        <v>125.63</v>
      </c>
      <c r="H5" s="31">
        <v>101.97</v>
      </c>
      <c r="I5" s="31">
        <v>104.76</v>
      </c>
      <c r="J5" s="31">
        <v>98.95</v>
      </c>
      <c r="K5" s="31">
        <v>119.73</v>
      </c>
      <c r="L5" s="31">
        <v>96.69</v>
      </c>
      <c r="M5" s="31">
        <v>96.69</v>
      </c>
      <c r="N5" s="7"/>
    </row>
    <row r="6" spans="1:17" x14ac:dyDescent="0.25">
      <c r="A6" s="6" t="s">
        <v>13</v>
      </c>
      <c r="B6" s="31">
        <v>82.27</v>
      </c>
      <c r="C6" s="31">
        <v>86.39</v>
      </c>
      <c r="D6" s="31">
        <v>71.349999999999994</v>
      </c>
      <c r="E6" s="31">
        <v>107.78</v>
      </c>
      <c r="F6" s="31">
        <v>123.07</v>
      </c>
      <c r="G6" s="31">
        <v>118.48</v>
      </c>
      <c r="H6" s="31">
        <v>112.8</v>
      </c>
      <c r="I6" s="31">
        <v>101.09</v>
      </c>
      <c r="J6" s="31">
        <v>88.64</v>
      </c>
      <c r="K6" s="31">
        <v>125.63</v>
      </c>
      <c r="L6" s="31">
        <v>97.04</v>
      </c>
      <c r="M6" s="31">
        <v>92.07</v>
      </c>
      <c r="N6" s="7"/>
    </row>
    <row r="7" spans="1:17" x14ac:dyDescent="0.25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7"/>
    </row>
    <row r="8" spans="1:17" x14ac:dyDescent="0.25">
      <c r="A8" s="11" t="s">
        <v>16</v>
      </c>
      <c r="B8" s="17">
        <v>82.34</v>
      </c>
      <c r="C8" s="17">
        <v>86.52</v>
      </c>
      <c r="D8" s="17">
        <v>71.56</v>
      </c>
      <c r="E8" s="12">
        <v>108.25</v>
      </c>
      <c r="F8" s="12">
        <v>123.66</v>
      </c>
      <c r="G8" s="12">
        <v>118.45</v>
      </c>
      <c r="H8" s="12">
        <v>118.91</v>
      </c>
      <c r="I8" s="12">
        <v>101.66</v>
      </c>
      <c r="J8" s="12">
        <v>89.65</v>
      </c>
      <c r="K8" s="12">
        <v>126.38</v>
      </c>
      <c r="L8" s="17">
        <v>97.1</v>
      </c>
      <c r="M8" s="17">
        <v>92.18</v>
      </c>
      <c r="N8" s="7"/>
    </row>
    <row r="9" spans="1:17" x14ac:dyDescent="0.25">
      <c r="A9" s="11" t="s">
        <v>32</v>
      </c>
      <c r="B9" s="17"/>
      <c r="C9" s="17"/>
      <c r="D9" s="17"/>
      <c r="E9" s="12"/>
      <c r="F9" s="12"/>
      <c r="G9" s="12"/>
      <c r="H9" s="17">
        <f>H26/H19*1000</f>
        <v>73.026416817065112</v>
      </c>
      <c r="I9" s="17">
        <f t="shared" ref="I9:M9" si="0">I26/I19*1000</f>
        <v>66.451449822487149</v>
      </c>
      <c r="J9" s="17">
        <f t="shared" si="0"/>
        <v>57.584238945218864</v>
      </c>
      <c r="K9" s="17">
        <f t="shared" si="0"/>
        <v>75.401712630848721</v>
      </c>
      <c r="L9" s="17">
        <f t="shared" si="0"/>
        <v>64.794589514555028</v>
      </c>
      <c r="M9" s="17">
        <f t="shared" si="0"/>
        <v>89.329079369613083</v>
      </c>
      <c r="N9" s="7"/>
    </row>
    <row r="10" spans="1:17" x14ac:dyDescent="0.25">
      <c r="N10" s="7"/>
    </row>
    <row r="11" spans="1:17" x14ac:dyDescent="0.25">
      <c r="A11" s="13" t="s">
        <v>17</v>
      </c>
      <c r="B11" s="14">
        <f>B8-B6</f>
        <v>7.000000000000739E-2</v>
      </c>
      <c r="C11" s="14">
        <f t="shared" ref="C11:D11" si="1">C8-C6</f>
        <v>0.12999999999999545</v>
      </c>
      <c r="D11" s="14">
        <f t="shared" si="1"/>
        <v>0.21000000000000796</v>
      </c>
      <c r="E11" s="14">
        <f>E8-E6</f>
        <v>0.46999999999999886</v>
      </c>
      <c r="F11" s="14">
        <f t="shared" ref="F11:G11" si="2">F8-F6</f>
        <v>0.59000000000000341</v>
      </c>
      <c r="G11" s="14">
        <f t="shared" si="2"/>
        <v>-3.0000000000001137E-2</v>
      </c>
      <c r="H11" s="14">
        <f>H8-H6</f>
        <v>6.1099999999999994</v>
      </c>
      <c r="I11" s="14">
        <f>I8-I6</f>
        <v>0.56999999999999318</v>
      </c>
      <c r="J11" s="14">
        <f>J8-J6</f>
        <v>1.0100000000000051</v>
      </c>
      <c r="K11" s="14">
        <f t="shared" ref="K11" si="3">K8-K6</f>
        <v>0.75</v>
      </c>
      <c r="L11" s="14">
        <f>L8-L6</f>
        <v>5.9999999999988063E-2</v>
      </c>
      <c r="M11" s="14">
        <f>M8-M6</f>
        <v>0.11000000000001364</v>
      </c>
      <c r="N11" s="8">
        <f>SUM(B11:M11)</f>
        <v>10.050000000000011</v>
      </c>
    </row>
    <row r="12" spans="1:17" x14ac:dyDescent="0.25">
      <c r="A12" s="15" t="s">
        <v>15</v>
      </c>
      <c r="B12" s="16">
        <f>B11/B6</f>
        <v>8.5085693448410586E-4</v>
      </c>
      <c r="C12" s="16">
        <f t="shared" ref="C12" si="4">C11/C6</f>
        <v>1.5048037967356806E-3</v>
      </c>
      <c r="D12" s="16">
        <f>D11/D6</f>
        <v>2.943237561317561E-3</v>
      </c>
      <c r="E12" s="16">
        <f t="shared" ref="E12:H12" si="5">E11/E6</f>
        <v>4.360734830209676E-3</v>
      </c>
      <c r="F12" s="16">
        <f t="shared" si="5"/>
        <v>4.7940196636061059E-3</v>
      </c>
      <c r="G12" s="16">
        <f t="shared" si="5"/>
        <v>-2.5320729237002986E-4</v>
      </c>
      <c r="H12" s="16">
        <f t="shared" si="5"/>
        <v>5.4166666666666662E-2</v>
      </c>
      <c r="I12" s="16">
        <f>I11/I6</f>
        <v>5.6385399149272248E-3</v>
      </c>
      <c r="J12" s="16">
        <f t="shared" ref="J12:M12" si="6">J11/J6</f>
        <v>1.1394404332130022E-2</v>
      </c>
      <c r="K12" s="16">
        <f t="shared" si="6"/>
        <v>5.9699116453076498E-3</v>
      </c>
      <c r="L12" s="16">
        <f t="shared" si="6"/>
        <v>6.1830173124472441E-4</v>
      </c>
      <c r="M12" s="16">
        <f t="shared" si="6"/>
        <v>1.1947431302271494E-3</v>
      </c>
      <c r="N12" s="9">
        <f>SUM(B12:M12)</f>
        <v>9.3183012914486524E-2</v>
      </c>
    </row>
    <row r="14" spans="1:17" x14ac:dyDescent="0.25">
      <c r="A14" s="24" t="s">
        <v>25</v>
      </c>
    </row>
    <row r="15" spans="1:17" x14ac:dyDescent="0.25">
      <c r="B15" s="4" t="s">
        <v>0</v>
      </c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10" t="s">
        <v>14</v>
      </c>
      <c r="Q15" s="30"/>
    </row>
    <row r="16" spans="1:17" x14ac:dyDescent="0.25">
      <c r="A16" s="23" t="s">
        <v>19</v>
      </c>
      <c r="B16" s="19">
        <v>20854.86</v>
      </c>
      <c r="C16" s="19">
        <v>18501.080000000002</v>
      </c>
      <c r="D16" s="19">
        <v>20411.93</v>
      </c>
      <c r="E16" s="19">
        <v>17483.39</v>
      </c>
      <c r="F16" s="19">
        <v>17870.86</v>
      </c>
      <c r="G16" s="19">
        <v>17872.45</v>
      </c>
      <c r="H16" s="19">
        <v>2502.25</v>
      </c>
      <c r="I16" s="19">
        <v>2693.99</v>
      </c>
      <c r="J16" s="19">
        <v>2551.4</v>
      </c>
      <c r="K16" s="19">
        <v>2656.45</v>
      </c>
      <c r="L16" s="19">
        <v>2771.4</v>
      </c>
      <c r="M16" s="19">
        <v>2705.52</v>
      </c>
      <c r="N16" s="18"/>
    </row>
    <row r="17" spans="1:17" x14ac:dyDescent="0.25">
      <c r="A17" s="23" t="s">
        <v>20</v>
      </c>
      <c r="B17" s="22">
        <v>2.0999999999999999E-3</v>
      </c>
      <c r="C17" s="22">
        <v>2.0999999999999999E-3</v>
      </c>
      <c r="D17" s="22">
        <v>2.0999999999999999E-3</v>
      </c>
      <c r="E17" s="22">
        <v>2.0999999999999999E-3</v>
      </c>
      <c r="F17" s="22">
        <v>2.0999999999999999E-3</v>
      </c>
      <c r="G17" s="22">
        <v>2.0999999999999999E-3</v>
      </c>
      <c r="H17" s="22">
        <v>2.9999999999999997E-4</v>
      </c>
      <c r="I17" s="22">
        <v>2.9999999999999997E-4</v>
      </c>
      <c r="J17" s="22">
        <v>2.9999999999999997E-4</v>
      </c>
      <c r="K17" s="22">
        <v>2.9999999999999997E-4</v>
      </c>
      <c r="L17" s="22">
        <v>2.9999999999999997E-4</v>
      </c>
      <c r="M17" s="22">
        <v>2.9999999999999997E-4</v>
      </c>
      <c r="N17" s="7"/>
    </row>
    <row r="18" spans="1:17" x14ac:dyDescent="0.25">
      <c r="A18" s="23" t="s">
        <v>23</v>
      </c>
      <c r="B18" s="20">
        <f t="shared" ref="B18:H18" si="7">B16/B17</f>
        <v>9930885.7142857146</v>
      </c>
      <c r="C18" s="20">
        <f t="shared" si="7"/>
        <v>8810038.095238097</v>
      </c>
      <c r="D18" s="20">
        <f t="shared" si="7"/>
        <v>9719966.6666666679</v>
      </c>
      <c r="E18" s="20">
        <f t="shared" si="7"/>
        <v>8325423.8095238097</v>
      </c>
      <c r="F18" s="20">
        <f t="shared" si="7"/>
        <v>8509933.333333334</v>
      </c>
      <c r="G18" s="20">
        <f t="shared" si="7"/>
        <v>8510690.4761904776</v>
      </c>
      <c r="H18" s="20">
        <f t="shared" si="7"/>
        <v>8340833.333333334</v>
      </c>
      <c r="I18" s="20">
        <f>I16/I17</f>
        <v>8979966.666666666</v>
      </c>
      <c r="J18" s="20">
        <f>J16/J17</f>
        <v>8504666.6666666679</v>
      </c>
      <c r="K18" s="20">
        <f t="shared" ref="K18:M18" si="8">K16/K17</f>
        <v>8854833.333333334</v>
      </c>
      <c r="L18" s="20">
        <f t="shared" si="8"/>
        <v>9238000.0000000019</v>
      </c>
      <c r="M18" s="20">
        <f t="shared" si="8"/>
        <v>9018400</v>
      </c>
      <c r="N18" s="33">
        <f>SUM(B18:M18)</f>
        <v>106743638.0952381</v>
      </c>
    </row>
    <row r="19" spans="1:17" x14ac:dyDescent="0.25">
      <c r="A19" s="23" t="s">
        <v>30</v>
      </c>
      <c r="B19" s="20"/>
      <c r="C19" s="20"/>
      <c r="D19" s="20"/>
      <c r="E19" s="20"/>
      <c r="F19" s="20"/>
      <c r="G19" s="20"/>
      <c r="H19" s="20">
        <v>2000691.07</v>
      </c>
      <c r="I19" s="20">
        <v>2064878.65</v>
      </c>
      <c r="J19" s="20">
        <v>1900690.05</v>
      </c>
      <c r="K19" s="20">
        <v>1943149.63</v>
      </c>
      <c r="L19" s="20">
        <v>1881970.87</v>
      </c>
      <c r="M19" s="20">
        <v>1526899.09</v>
      </c>
      <c r="N19" s="33">
        <f>SUM(H19:M19)</f>
        <v>11318279.359999999</v>
      </c>
    </row>
    <row r="20" spans="1:17" x14ac:dyDescent="0.25">
      <c r="N20" s="7"/>
    </row>
    <row r="21" spans="1:17" x14ac:dyDescent="0.25">
      <c r="A21" s="26" t="s">
        <v>21</v>
      </c>
      <c r="B21" s="20">
        <v>9930845.6700000018</v>
      </c>
      <c r="C21" s="20">
        <v>8810006.1099999994</v>
      </c>
      <c r="D21" s="20">
        <v>9719884.1300000008</v>
      </c>
      <c r="E21" s="20">
        <v>8321511.2400000002</v>
      </c>
      <c r="F21" s="20">
        <v>8509908.9399999995</v>
      </c>
      <c r="G21" s="20">
        <v>8510700.7899999991</v>
      </c>
      <c r="H21" s="20">
        <v>8340830.3099999996</v>
      </c>
      <c r="I21" s="20">
        <v>8979933.4199999999</v>
      </c>
      <c r="J21" s="20">
        <v>8504611.8499999996</v>
      </c>
      <c r="K21" s="20">
        <v>8854887.3300000001</v>
      </c>
      <c r="L21" s="20">
        <v>9237983.8599999994</v>
      </c>
      <c r="M21" s="20">
        <v>9018398.870000001</v>
      </c>
      <c r="N21" s="33">
        <f>SUM(B21:M21)</f>
        <v>106739502.52</v>
      </c>
    </row>
    <row r="22" spans="1:17" x14ac:dyDescent="0.25">
      <c r="A22" s="26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33"/>
    </row>
    <row r="23" spans="1:17" x14ac:dyDescent="0.25">
      <c r="A23" s="26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7"/>
    </row>
    <row r="24" spans="1:17" x14ac:dyDescent="0.25">
      <c r="A24" s="26" t="s">
        <v>28</v>
      </c>
      <c r="B24" s="20">
        <f t="shared" ref="B24:G24" si="9">B18*B6/1000</f>
        <v>817013.96771428571</v>
      </c>
      <c r="C24" s="20">
        <f t="shared" si="9"/>
        <v>761099.19104761921</v>
      </c>
      <c r="D24" s="20">
        <f t="shared" si="9"/>
        <v>693519.6216666667</v>
      </c>
      <c r="E24" s="20">
        <f t="shared" si="9"/>
        <v>897314.17819047614</v>
      </c>
      <c r="F24" s="20">
        <f t="shared" si="9"/>
        <v>1047317.4953333334</v>
      </c>
      <c r="G24" s="20">
        <f t="shared" si="9"/>
        <v>1008346.6076190479</v>
      </c>
      <c r="H24" s="20">
        <f t="shared" ref="H24:M24" si="10">(H18-H19)*H6/1000</f>
        <v>715168.04730400001</v>
      </c>
      <c r="I24" s="20">
        <f t="shared" si="10"/>
        <v>699046.24760483322</v>
      </c>
      <c r="J24" s="20">
        <f t="shared" si="10"/>
        <v>585376.48730133346</v>
      </c>
      <c r="K24" s="20">
        <f t="shared" si="10"/>
        <v>868314.82364976674</v>
      </c>
      <c r="L24" s="20">
        <f t="shared" si="10"/>
        <v>713829.06677520019</v>
      </c>
      <c r="M24" s="20">
        <f t="shared" si="10"/>
        <v>689742.48878370004</v>
      </c>
      <c r="N24" s="33">
        <f>SUM(B24:M24)</f>
        <v>9496088.2229902633</v>
      </c>
    </row>
    <row r="25" spans="1:17" x14ac:dyDescent="0.25">
      <c r="A25" s="26" t="s">
        <v>29</v>
      </c>
      <c r="B25" s="20">
        <v>817686.62</v>
      </c>
      <c r="C25" s="20">
        <v>762205.86</v>
      </c>
      <c r="D25" s="20">
        <v>695550.09</v>
      </c>
      <c r="E25" s="20">
        <v>900773.9</v>
      </c>
      <c r="F25" s="20">
        <v>1052347.3</v>
      </c>
      <c r="G25" s="20">
        <v>1008068.75</v>
      </c>
      <c r="H25" s="20">
        <v>749337.9</v>
      </c>
      <c r="I25" s="20">
        <v>702968.49</v>
      </c>
      <c r="J25" s="20">
        <v>592057.49</v>
      </c>
      <c r="K25" s="20">
        <v>873528.4</v>
      </c>
      <c r="L25" s="20">
        <v>714273.66</v>
      </c>
      <c r="M25" s="20">
        <v>690590.84</v>
      </c>
      <c r="N25" s="33">
        <f>SUM(B25:M25)</f>
        <v>9559389.3000000007</v>
      </c>
    </row>
    <row r="26" spans="1:17" x14ac:dyDescent="0.25">
      <c r="A26" s="26" t="s">
        <v>31</v>
      </c>
      <c r="B26" s="20"/>
      <c r="C26" s="20"/>
      <c r="D26" s="20"/>
      <c r="E26" s="20"/>
      <c r="F26" s="20"/>
      <c r="G26" s="20"/>
      <c r="H26" s="20">
        <v>146103.29999999999</v>
      </c>
      <c r="I26" s="20">
        <v>137214.18</v>
      </c>
      <c r="J26" s="20">
        <v>109449.79</v>
      </c>
      <c r="K26" s="20">
        <v>146516.81</v>
      </c>
      <c r="L26" s="20">
        <v>121941.53</v>
      </c>
      <c r="M26" s="20">
        <v>136396.49</v>
      </c>
      <c r="N26" s="33">
        <f>SUM(H26:M26)</f>
        <v>797622.1</v>
      </c>
    </row>
    <row r="27" spans="1:17" x14ac:dyDescent="0.25">
      <c r="A27" s="26" t="s">
        <v>35</v>
      </c>
      <c r="B27" s="20">
        <f>B24-B25</f>
        <v>-672.65228571428452</v>
      </c>
      <c r="C27" s="20">
        <f t="shared" ref="C27:M27" si="11">C24-C25</f>
        <v>-1106.6689523807727</v>
      </c>
      <c r="D27" s="20">
        <f t="shared" si="11"/>
        <v>-2030.468333333265</v>
      </c>
      <c r="E27" s="20">
        <f t="shared" si="11"/>
        <v>-3459.7218095238786</v>
      </c>
      <c r="F27" s="20">
        <f t="shared" si="11"/>
        <v>-5029.8046666666633</v>
      </c>
      <c r="G27" s="20">
        <f t="shared" si="11"/>
        <v>277.85761904786341</v>
      </c>
      <c r="H27" s="20">
        <f t="shared" si="11"/>
        <v>-34169.852696000016</v>
      </c>
      <c r="I27" s="20">
        <f t="shared" si="11"/>
        <v>-3922.2423951667733</v>
      </c>
      <c r="J27" s="20">
        <f t="shared" si="11"/>
        <v>-6681.0026986665325</v>
      </c>
      <c r="K27" s="20">
        <f t="shared" si="11"/>
        <v>-5213.5763502332848</v>
      </c>
      <c r="L27" s="20">
        <f t="shared" si="11"/>
        <v>-444.59322479984257</v>
      </c>
      <c r="M27" s="20">
        <f t="shared" si="11"/>
        <v>-848.351216299925</v>
      </c>
      <c r="N27" s="33">
        <f>SUM(B27:M27)</f>
        <v>-63301.077009737375</v>
      </c>
    </row>
    <row r="28" spans="1:17" x14ac:dyDescent="0.25">
      <c r="A28" s="26" t="s">
        <v>33</v>
      </c>
      <c r="B28" s="34">
        <v>0.64631499999999997</v>
      </c>
      <c r="C28" s="34">
        <v>0.67761300000000002</v>
      </c>
      <c r="D28" s="34">
        <v>0.64722999999999997</v>
      </c>
      <c r="E28" s="34">
        <v>0.72838099999999995</v>
      </c>
      <c r="F28" s="34">
        <v>0.70289000000000001</v>
      </c>
      <c r="G28" s="34">
        <v>0.70725899999999997</v>
      </c>
      <c r="H28" s="34">
        <v>0.61977099999999996</v>
      </c>
      <c r="I28" s="34">
        <v>0.61624100000000004</v>
      </c>
      <c r="J28" s="34">
        <v>0.60375199999999996</v>
      </c>
      <c r="K28" s="34">
        <v>0.64282700000000004</v>
      </c>
      <c r="L28" s="34">
        <v>0.57538900000000004</v>
      </c>
      <c r="M28" s="34">
        <v>0.50241499999999994</v>
      </c>
      <c r="N28" s="33"/>
    </row>
    <row r="29" spans="1:17" ht="21" x14ac:dyDescent="0.35">
      <c r="A29" s="26" t="s">
        <v>34</v>
      </c>
      <c r="B29" s="35">
        <f>B27*B28</f>
        <v>-434.74526204142779</v>
      </c>
      <c r="C29" s="35">
        <f t="shared" ref="C29:M29" si="12">C27*C28</f>
        <v>-749.89326882959256</v>
      </c>
      <c r="D29" s="35">
        <f t="shared" si="12"/>
        <v>-1314.1800193832892</v>
      </c>
      <c r="E29" s="35">
        <f t="shared" si="12"/>
        <v>-2519.995631342812</v>
      </c>
      <c r="F29" s="35">
        <f t="shared" si="12"/>
        <v>-3535.3994021533308</v>
      </c>
      <c r="G29" s="35">
        <f t="shared" si="12"/>
        <v>196.51730179017281</v>
      </c>
      <c r="H29" s="35">
        <f t="shared" si="12"/>
        <v>-21177.483775252625</v>
      </c>
      <c r="I29" s="35">
        <f t="shared" si="12"/>
        <v>-2417.0465758399678</v>
      </c>
      <c r="J29" s="35">
        <f t="shared" si="12"/>
        <v>-4033.6687413253162</v>
      </c>
      <c r="K29" s="35">
        <f t="shared" si="12"/>
        <v>-3351.4276444914121</v>
      </c>
      <c r="L29" s="35">
        <f t="shared" si="12"/>
        <v>-255.81405102435664</v>
      </c>
      <c r="M29" s="35">
        <f t="shared" si="12"/>
        <v>-426.22437633732676</v>
      </c>
      <c r="N29" s="36">
        <f>SUM(B29:M29)</f>
        <v>-40019.361446231283</v>
      </c>
    </row>
    <row r="30" spans="1:17" x14ac:dyDescent="0.25">
      <c r="A30" s="26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33"/>
    </row>
    <row r="31" spans="1:17" x14ac:dyDescent="0.25">
      <c r="A31" s="23"/>
      <c r="N31" s="7"/>
    </row>
    <row r="32" spans="1:17" x14ac:dyDescent="0.25">
      <c r="A32" s="28" t="s">
        <v>22</v>
      </c>
      <c r="B32" s="21">
        <f>B18-B21</f>
        <v>40.044285712763667</v>
      </c>
      <c r="C32" s="21">
        <f t="shared" ref="C32:H32" si="13">C18-C21</f>
        <v>31.985238097608089</v>
      </c>
      <c r="D32" s="21">
        <f t="shared" si="13"/>
        <v>82.536666667088866</v>
      </c>
      <c r="E32" s="21">
        <f t="shared" si="13"/>
        <v>3912.5695238094777</v>
      </c>
      <c r="F32" s="21">
        <f t="shared" si="13"/>
        <v>24.393333334475756</v>
      </c>
      <c r="G32" s="21">
        <f t="shared" si="13"/>
        <v>-10.313809521496296</v>
      </c>
      <c r="H32" s="21">
        <f t="shared" si="13"/>
        <v>3.023333334363997</v>
      </c>
      <c r="I32" s="21">
        <f>I18-I21</f>
        <v>33.246666666120291</v>
      </c>
      <c r="J32" s="21">
        <f>J18-J21</f>
        <v>54.816666668280959</v>
      </c>
      <c r="K32" s="21">
        <f t="shared" ref="K32:M32" si="14">K18-K21</f>
        <v>-53.996666666120291</v>
      </c>
      <c r="L32" s="21">
        <f t="shared" si="14"/>
        <v>16.140000002458692</v>
      </c>
      <c r="M32" s="21">
        <f t="shared" si="14"/>
        <v>1.1299999989569187</v>
      </c>
      <c r="N32" s="8">
        <f>SUM(B32:M32)</f>
        <v>4135.5752381039783</v>
      </c>
      <c r="Q32" s="32"/>
    </row>
    <row r="33" spans="1:14" x14ac:dyDescent="0.25">
      <c r="A33" s="15" t="s">
        <v>15</v>
      </c>
      <c r="B33" s="27">
        <f>B32/B18</f>
        <v>4.0322975074780509E-6</v>
      </c>
      <c r="C33" s="27">
        <f t="shared" ref="C33:M33" si="15">C32/C18</f>
        <v>3.6305448117070449E-6</v>
      </c>
      <c r="D33" s="27">
        <f t="shared" si="15"/>
        <v>8.4914557320589771E-6</v>
      </c>
      <c r="E33" s="27">
        <f t="shared" si="15"/>
        <v>4.6995439671596316E-4</v>
      </c>
      <c r="F33" s="27">
        <f t="shared" si="15"/>
        <v>2.8664541047492446E-6</v>
      </c>
      <c r="G33" s="27">
        <f t="shared" si="15"/>
        <v>-1.2118651888880494E-6</v>
      </c>
      <c r="H33" s="27">
        <f t="shared" si="15"/>
        <v>3.6247377372732503E-7</v>
      </c>
      <c r="I33" s="27">
        <f t="shared" si="15"/>
        <v>3.7023151532990428E-6</v>
      </c>
      <c r="J33" s="27">
        <f t="shared" si="15"/>
        <v>6.4454809126300406E-6</v>
      </c>
      <c r="K33" s="27">
        <f t="shared" si="15"/>
        <v>-6.0979879161422521E-6</v>
      </c>
      <c r="L33" s="27">
        <f t="shared" si="15"/>
        <v>1.7471314139920641E-6</v>
      </c>
      <c r="M33" s="27">
        <f t="shared" si="15"/>
        <v>1.2529938780237278E-7</v>
      </c>
      <c r="N33" s="9">
        <f>SUM(B33:M33)</f>
        <v>4.9404799640837688E-4</v>
      </c>
    </row>
    <row r="34" spans="1:14" x14ac:dyDescent="0.25">
      <c r="E34" s="16" t="s">
        <v>27</v>
      </c>
    </row>
    <row r="35" spans="1:14" x14ac:dyDescent="0.25">
      <c r="E35" s="3" t="s">
        <v>26</v>
      </c>
    </row>
  </sheetData>
  <pageMargins left="0.70866141732283472" right="0.70866141732283472" top="0.74803149606299213" bottom="0.74803149606299213" header="0.31496062992125984" footer="0.31496062992125984"/>
  <pageSetup scale="49" orientation="landscape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zoomScaleNormal="100" zoomScaleSheetLayoutView="80" workbookViewId="0">
      <pane xSplit="2" ySplit="8" topLeftCell="C12" activePane="bottomRight" state="frozen"/>
      <selection activeCell="C60" sqref="C60"/>
      <selection pane="topRight" activeCell="C60" sqref="C60"/>
      <selection pane="bottomLeft" activeCell="C60" sqref="C60"/>
      <selection pane="bottomRight" activeCell="C9" sqref="C9"/>
    </sheetView>
  </sheetViews>
  <sheetFormatPr defaultRowHeight="12.75" x14ac:dyDescent="0.2"/>
  <cols>
    <col min="1" max="1" width="42" style="38" customWidth="1"/>
    <col min="2" max="2" width="29.7109375" style="38" customWidth="1"/>
    <col min="3" max="3" width="18.7109375" style="38" customWidth="1"/>
    <col min="4" max="5" width="14.7109375" style="38" customWidth="1"/>
    <col min="6" max="6" width="15.42578125" style="38" customWidth="1"/>
    <col min="7" max="7" width="16.7109375" style="38" customWidth="1"/>
    <col min="8" max="8" width="16.140625" style="38" customWidth="1"/>
    <col min="9" max="9" width="15.7109375" style="38" customWidth="1"/>
    <col min="10" max="10" width="16.7109375" style="38" customWidth="1"/>
    <col min="11" max="11" width="15.7109375" style="38" customWidth="1"/>
    <col min="12" max="12" width="17" style="38" customWidth="1"/>
    <col min="13" max="13" width="16.140625" style="38" customWidth="1"/>
    <col min="14" max="14" width="16.28515625" style="38" customWidth="1"/>
    <col min="15" max="15" width="15" style="38" customWidth="1"/>
    <col min="16" max="16" width="15.42578125" style="38" customWidth="1"/>
    <col min="17" max="17" width="24.5703125" style="44" bestFit="1" customWidth="1"/>
    <col min="18" max="18" width="13.85546875" style="38" customWidth="1"/>
    <col min="19" max="19" width="16.42578125" style="38" bestFit="1" customWidth="1"/>
    <col min="20" max="20" width="14.5703125" style="38" bestFit="1" customWidth="1"/>
    <col min="21" max="16384" width="9.140625" style="38"/>
  </cols>
  <sheetData>
    <row r="1" spans="1:20" ht="23.25" x14ac:dyDescent="0.35">
      <c r="A1" s="174" t="s">
        <v>36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37"/>
      <c r="R1" s="37"/>
      <c r="S1" s="37"/>
    </row>
    <row r="2" spans="1:20" ht="23.25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7"/>
      <c r="R2" s="37"/>
      <c r="S2" s="37"/>
    </row>
    <row r="3" spans="1:20" x14ac:dyDescent="0.2">
      <c r="A3" s="38" t="s">
        <v>37</v>
      </c>
      <c r="C3" s="40">
        <v>1.47E-2</v>
      </c>
      <c r="D3" s="41" t="s">
        <v>38</v>
      </c>
      <c r="E3" s="37"/>
      <c r="F3" s="42">
        <v>1.0999999999999999E-2</v>
      </c>
      <c r="G3" s="41" t="s">
        <v>39</v>
      </c>
      <c r="H3" s="37"/>
      <c r="I3" s="40">
        <v>1.0999999999999999E-2</v>
      </c>
      <c r="J3" s="41" t="s">
        <v>40</v>
      </c>
      <c r="K3" s="37"/>
      <c r="L3" s="40">
        <v>1.0999999999999999E-2</v>
      </c>
      <c r="M3" s="41" t="s">
        <v>41</v>
      </c>
      <c r="N3" s="37"/>
      <c r="O3" s="37"/>
      <c r="P3" s="37"/>
      <c r="Q3" s="37"/>
      <c r="R3" s="37"/>
      <c r="S3" s="37"/>
    </row>
    <row r="4" spans="1:20" x14ac:dyDescent="0.2">
      <c r="A4" s="38" t="s">
        <v>42</v>
      </c>
      <c r="C4" s="43">
        <f>+C3/12</f>
        <v>1.225E-3</v>
      </c>
      <c r="D4" s="37"/>
      <c r="E4" s="37"/>
      <c r="F4" s="43">
        <f>+F3/12</f>
        <v>9.1666666666666665E-4</v>
      </c>
      <c r="G4" s="37"/>
      <c r="H4" s="37"/>
      <c r="I4" s="43">
        <f>+I3/12</f>
        <v>9.1666666666666665E-4</v>
      </c>
      <c r="J4" s="37"/>
      <c r="K4" s="37"/>
      <c r="L4" s="43">
        <f>+L3/12</f>
        <v>9.1666666666666665E-4</v>
      </c>
      <c r="M4" s="37"/>
      <c r="N4" s="37"/>
      <c r="O4" s="37"/>
      <c r="P4" s="37"/>
      <c r="Q4" s="37"/>
      <c r="R4" s="37"/>
      <c r="S4" s="37"/>
    </row>
    <row r="5" spans="1:20" ht="13.5" thickBot="1" x14ac:dyDescent="0.25">
      <c r="R5" s="44"/>
    </row>
    <row r="6" spans="1:20" ht="18" x14ac:dyDescent="0.25">
      <c r="A6" s="159" t="s">
        <v>145</v>
      </c>
      <c r="B6" s="160"/>
      <c r="C6" s="161"/>
      <c r="D6" s="161"/>
      <c r="E6" s="161"/>
      <c r="F6" s="161"/>
      <c r="G6" s="161"/>
      <c r="H6" s="45"/>
      <c r="I6" s="45"/>
      <c r="J6" s="45"/>
      <c r="K6" s="45"/>
      <c r="L6" s="45"/>
      <c r="M6" s="45"/>
      <c r="N6" s="45"/>
      <c r="O6" s="46"/>
      <c r="P6" s="47"/>
      <c r="Q6" s="48"/>
    </row>
    <row r="7" spans="1:20" x14ac:dyDescent="0.2">
      <c r="A7" s="49"/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2"/>
      <c r="P7" s="53"/>
      <c r="Q7" s="48"/>
    </row>
    <row r="8" spans="1:20" x14ac:dyDescent="0.2">
      <c r="A8" s="49"/>
      <c r="B8" s="50"/>
      <c r="C8" s="54">
        <v>42005</v>
      </c>
      <c r="D8" s="54">
        <v>42036</v>
      </c>
      <c r="E8" s="54">
        <v>42064</v>
      </c>
      <c r="F8" s="54">
        <v>42095</v>
      </c>
      <c r="G8" s="54">
        <v>42125</v>
      </c>
      <c r="H8" s="54">
        <v>42156</v>
      </c>
      <c r="I8" s="54">
        <v>42186</v>
      </c>
      <c r="J8" s="54">
        <v>42217</v>
      </c>
      <c r="K8" s="54">
        <v>42248</v>
      </c>
      <c r="L8" s="54">
        <v>42278</v>
      </c>
      <c r="M8" s="54">
        <v>42309</v>
      </c>
      <c r="N8" s="54">
        <v>42339</v>
      </c>
      <c r="O8" s="55"/>
      <c r="P8" s="56" t="s">
        <v>43</v>
      </c>
    </row>
    <row r="9" spans="1:20" x14ac:dyDescent="0.2">
      <c r="A9" s="57" t="s">
        <v>44</v>
      </c>
      <c r="B9" s="58" t="s">
        <v>45</v>
      </c>
      <c r="C9" s="59">
        <v>76576.259999999995</v>
      </c>
      <c r="D9" s="60">
        <f>IF(D43=0,0,C41)</f>
        <v>37900.760000000126</v>
      </c>
      <c r="E9" s="60">
        <f t="shared" ref="E9:O9" si="0">IF(E43=0,0,D41)</f>
        <v>-85300.032529999735</v>
      </c>
      <c r="F9" s="60">
        <f t="shared" si="0"/>
        <v>115189.70747000026</v>
      </c>
      <c r="G9" s="60">
        <f>IF(G43=0,0,F41)</f>
        <v>11268.267470000195</v>
      </c>
      <c r="H9" s="60">
        <f t="shared" si="0"/>
        <v>-104299.11252999981</v>
      </c>
      <c r="I9" s="60">
        <f>IF(I43=0,0,H41)</f>
        <v>334.5032300001767</v>
      </c>
      <c r="J9" s="60">
        <f t="shared" si="0"/>
        <v>-72242.564999999828</v>
      </c>
      <c r="K9" s="60">
        <f>IF(K43=0,0,J41)</f>
        <v>-52528.151609999884</v>
      </c>
      <c r="L9" s="60">
        <f>IF(L43=0,0,K41)</f>
        <v>-109157.9196299999</v>
      </c>
      <c r="M9" s="60">
        <f>IF(M43=0,0,L41)</f>
        <v>-26989.362529999809</v>
      </c>
      <c r="N9" s="60">
        <f>IF(N43=0,0,M41)</f>
        <v>111106.46317000029</v>
      </c>
      <c r="O9" s="61">
        <f t="shared" si="0"/>
        <v>0</v>
      </c>
      <c r="P9" s="61"/>
      <c r="Q9" s="62"/>
      <c r="R9" s="51"/>
      <c r="S9" s="63"/>
      <c r="T9" s="63"/>
    </row>
    <row r="10" spans="1:20" x14ac:dyDescent="0.2">
      <c r="A10" s="49" t="s">
        <v>46</v>
      </c>
      <c r="B10" s="64" t="s">
        <v>47</v>
      </c>
      <c r="C10" s="65">
        <v>521648.65</v>
      </c>
      <c r="D10" s="66">
        <v>656271.92000000004</v>
      </c>
      <c r="E10" s="67">
        <v>458181.79</v>
      </c>
      <c r="F10" s="67">
        <v>381975.79</v>
      </c>
      <c r="G10" s="65">
        <v>362650.71</v>
      </c>
      <c r="H10" s="65">
        <v>367978.17</v>
      </c>
      <c r="I10" s="65">
        <v>410582.01</v>
      </c>
      <c r="J10" s="65">
        <v>422796.12</v>
      </c>
      <c r="K10" s="65">
        <v>467116.57</v>
      </c>
      <c r="L10" s="65">
        <v>448574.75</v>
      </c>
      <c r="M10" s="65">
        <v>421840.27</v>
      </c>
      <c r="N10" s="65">
        <v>418571.29</v>
      </c>
      <c r="O10" s="68"/>
      <c r="P10" s="69">
        <f t="shared" ref="P10:P15" si="1">SUM(C10:O10)</f>
        <v>5338188.04</v>
      </c>
      <c r="Q10" s="70"/>
      <c r="R10" s="71"/>
      <c r="S10" s="63"/>
      <c r="T10" s="71"/>
    </row>
    <row r="11" spans="1:20" x14ac:dyDescent="0.2">
      <c r="A11" s="49" t="s">
        <v>48</v>
      </c>
      <c r="B11" s="64" t="s">
        <v>49</v>
      </c>
      <c r="C11" s="65">
        <v>0</v>
      </c>
      <c r="D11" s="66">
        <v>0</v>
      </c>
      <c r="E11" s="67">
        <v>0</v>
      </c>
      <c r="F11" s="67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5">
        <v>0</v>
      </c>
      <c r="M11" s="65">
        <v>0</v>
      </c>
      <c r="N11" s="65">
        <v>0</v>
      </c>
      <c r="O11" s="68"/>
      <c r="P11" s="69">
        <f t="shared" si="1"/>
        <v>0</v>
      </c>
      <c r="Q11" s="70"/>
      <c r="R11" s="72"/>
      <c r="S11" s="63"/>
      <c r="T11" s="71"/>
    </row>
    <row r="12" spans="1:20" x14ac:dyDescent="0.2">
      <c r="A12" s="49" t="s">
        <v>50</v>
      </c>
      <c r="B12" s="73" t="s">
        <v>51</v>
      </c>
      <c r="C12" s="65">
        <v>39452.19</v>
      </c>
      <c r="D12" s="66">
        <v>-77471.070000000007</v>
      </c>
      <c r="E12" s="67">
        <v>226524.88</v>
      </c>
      <c r="F12" s="67">
        <v>-50924.38</v>
      </c>
      <c r="G12" s="65">
        <v>-86505.57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v>25864.49</v>
      </c>
      <c r="N12" s="65">
        <v>0</v>
      </c>
      <c r="O12" s="68"/>
      <c r="P12" s="69">
        <f t="shared" si="1"/>
        <v>76940.539999999994</v>
      </c>
      <c r="Q12" s="70"/>
      <c r="R12" s="72"/>
      <c r="S12" s="63"/>
      <c r="T12" s="71"/>
    </row>
    <row r="13" spans="1:20" x14ac:dyDescent="0.2">
      <c r="A13" s="49" t="s">
        <v>52</v>
      </c>
      <c r="B13" s="73" t="s">
        <v>53</v>
      </c>
      <c r="C13" s="65">
        <v>0</v>
      </c>
      <c r="D13" s="66">
        <v>0</v>
      </c>
      <c r="E13" s="67">
        <v>0</v>
      </c>
      <c r="F13" s="67">
        <v>0</v>
      </c>
      <c r="G13" s="65">
        <v>0</v>
      </c>
      <c r="H13" s="65">
        <v>-14826.8</v>
      </c>
      <c r="I13" s="65">
        <v>-26336.19</v>
      </c>
      <c r="J13" s="65">
        <v>7465.3</v>
      </c>
      <c r="K13" s="65">
        <v>-12539.41</v>
      </c>
      <c r="L13" s="65">
        <v>58114.89</v>
      </c>
      <c r="M13" s="65">
        <v>0</v>
      </c>
      <c r="N13" s="65">
        <v>-213213.44</v>
      </c>
      <c r="O13" s="68"/>
      <c r="P13" s="69">
        <f t="shared" si="1"/>
        <v>-201335.65</v>
      </c>
      <c r="Q13" s="70"/>
      <c r="R13" s="63"/>
      <c r="S13" s="63"/>
      <c r="T13" s="63"/>
    </row>
    <row r="14" spans="1:20" x14ac:dyDescent="0.2">
      <c r="A14" s="49" t="s">
        <v>54</v>
      </c>
      <c r="B14" s="73" t="s">
        <v>55</v>
      </c>
      <c r="C14" s="65">
        <v>2.64</v>
      </c>
      <c r="D14" s="66">
        <v>0</v>
      </c>
      <c r="E14" s="67">
        <v>0</v>
      </c>
      <c r="F14" s="67">
        <v>21.16</v>
      </c>
      <c r="G14" s="65">
        <v>0</v>
      </c>
      <c r="H14" s="65">
        <v>0</v>
      </c>
      <c r="I14" s="65">
        <v>58.12</v>
      </c>
      <c r="J14" s="65">
        <v>0</v>
      </c>
      <c r="K14" s="65">
        <v>6.3</v>
      </c>
      <c r="L14" s="65">
        <v>12.08</v>
      </c>
      <c r="M14" s="65">
        <v>68.900000000000006</v>
      </c>
      <c r="N14" s="65">
        <v>109.44</v>
      </c>
      <c r="O14" s="68"/>
      <c r="P14" s="69">
        <f t="shared" si="1"/>
        <v>278.64</v>
      </c>
      <c r="Q14" s="70"/>
      <c r="R14" s="72"/>
      <c r="S14" s="63"/>
      <c r="T14" s="71"/>
    </row>
    <row r="15" spans="1:20" x14ac:dyDescent="0.2">
      <c r="A15" s="49" t="s">
        <v>56</v>
      </c>
      <c r="B15" s="73" t="s">
        <v>57</v>
      </c>
      <c r="C15" s="65">
        <v>0</v>
      </c>
      <c r="D15" s="66">
        <v>0</v>
      </c>
      <c r="E15" s="67">
        <v>0</v>
      </c>
      <c r="F15" s="67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8"/>
      <c r="P15" s="69">
        <f t="shared" si="1"/>
        <v>0</v>
      </c>
      <c r="Q15" s="70"/>
      <c r="R15" s="72"/>
      <c r="S15" s="63"/>
      <c r="T15" s="71"/>
    </row>
    <row r="16" spans="1:20" x14ac:dyDescent="0.2">
      <c r="A16" s="49"/>
      <c r="B16" s="73"/>
      <c r="C16" s="65"/>
      <c r="D16" s="66"/>
      <c r="E16" s="67"/>
      <c r="F16" s="67"/>
      <c r="G16" s="65"/>
      <c r="H16" s="65"/>
      <c r="I16" s="65"/>
      <c r="J16" s="65"/>
      <c r="K16" s="65">
        <v>0</v>
      </c>
      <c r="L16" s="65"/>
      <c r="M16" s="65"/>
      <c r="N16" s="65"/>
      <c r="O16" s="68"/>
      <c r="P16" s="69"/>
      <c r="Q16" s="70"/>
      <c r="R16" s="72"/>
      <c r="S16" s="63"/>
      <c r="T16" s="71"/>
    </row>
    <row r="17" spans="1:20" x14ac:dyDescent="0.2">
      <c r="A17" s="49" t="s">
        <v>58</v>
      </c>
      <c r="B17" s="73" t="s">
        <v>59</v>
      </c>
      <c r="C17" s="65">
        <v>3281.68</v>
      </c>
      <c r="D17" s="66">
        <v>2819.89</v>
      </c>
      <c r="E17" s="67">
        <v>3019.92</v>
      </c>
      <c r="F17" s="67">
        <v>1846.67</v>
      </c>
      <c r="G17" s="65">
        <v>2255.98</v>
      </c>
      <c r="H17" s="65">
        <v>2193.06</v>
      </c>
      <c r="I17" s="65">
        <v>2038.43</v>
      </c>
      <c r="J17" s="65">
        <v>2697.86</v>
      </c>
      <c r="K17" s="65">
        <v>2712.13</v>
      </c>
      <c r="L17" s="65">
        <v>2961.32</v>
      </c>
      <c r="M17" s="65">
        <v>3470.19</v>
      </c>
      <c r="N17" s="65">
        <v>4360.7700000000004</v>
      </c>
      <c r="O17" s="68"/>
      <c r="P17" s="69">
        <f>SUM(C17:O17)</f>
        <v>33657.899999999994</v>
      </c>
      <c r="Q17" s="70"/>
      <c r="R17" s="72"/>
      <c r="S17" s="63"/>
      <c r="T17" s="71"/>
    </row>
    <row r="18" spans="1:20" hidden="1" x14ac:dyDescent="0.2">
      <c r="A18" s="49"/>
      <c r="B18" s="6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>
        <f t="shared" ref="O18" si="2">SUM(O10:O17)</f>
        <v>0</v>
      </c>
      <c r="P18" s="75"/>
      <c r="Q18" s="62"/>
      <c r="R18" s="71"/>
      <c r="S18" s="63"/>
      <c r="T18" s="71"/>
    </row>
    <row r="19" spans="1:20" hidden="1" x14ac:dyDescent="0.2">
      <c r="O19" s="76"/>
    </row>
    <row r="20" spans="1:20" hidden="1" x14ac:dyDescent="0.2">
      <c r="A20" s="49" t="s">
        <v>60</v>
      </c>
      <c r="B20" s="73" t="s">
        <v>61</v>
      </c>
      <c r="C20" s="65">
        <v>0</v>
      </c>
      <c r="D20" s="66"/>
      <c r="E20" s="67">
        <v>0</v>
      </c>
      <c r="F20" s="67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8"/>
      <c r="P20" s="69">
        <f>SUM(C20:O20)</f>
        <v>0</v>
      </c>
      <c r="Q20" s="70"/>
      <c r="R20" s="63"/>
      <c r="S20" s="71"/>
      <c r="T20" s="63"/>
    </row>
    <row r="21" spans="1:20" hidden="1" x14ac:dyDescent="0.2">
      <c r="A21" s="49"/>
      <c r="B21" s="50"/>
      <c r="C21" s="77">
        <f>SUM(C20)</f>
        <v>0</v>
      </c>
      <c r="D21" s="77">
        <f t="shared" ref="D21:N21" si="3">SUM(D20)</f>
        <v>0</v>
      </c>
      <c r="E21" s="77">
        <f t="shared" si="3"/>
        <v>0</v>
      </c>
      <c r="F21" s="77">
        <f t="shared" si="3"/>
        <v>0</v>
      </c>
      <c r="G21" s="77">
        <f t="shared" si="3"/>
        <v>0</v>
      </c>
      <c r="H21" s="77">
        <f t="shared" si="3"/>
        <v>0</v>
      </c>
      <c r="I21" s="77">
        <f t="shared" si="3"/>
        <v>0</v>
      </c>
      <c r="J21" s="77">
        <f t="shared" si="3"/>
        <v>0</v>
      </c>
      <c r="K21" s="77">
        <f t="shared" si="3"/>
        <v>0</v>
      </c>
      <c r="L21" s="77">
        <f t="shared" si="3"/>
        <v>0</v>
      </c>
      <c r="M21" s="77">
        <f t="shared" si="3"/>
        <v>0</v>
      </c>
      <c r="N21" s="77">
        <f t="shared" si="3"/>
        <v>0</v>
      </c>
      <c r="O21" s="78">
        <f>SUM(O12:O20)</f>
        <v>0</v>
      </c>
      <c r="P21" s="69"/>
      <c r="Q21" s="62"/>
    </row>
    <row r="22" spans="1:20" x14ac:dyDescent="0.2">
      <c r="A22" s="79" t="s">
        <v>62</v>
      </c>
      <c r="B22" s="80"/>
      <c r="C22" s="81">
        <f t="shared" ref="C22:N22" si="4">SUM(C10:C17)</f>
        <v>564385.16000000015</v>
      </c>
      <c r="D22" s="81">
        <f t="shared" si="4"/>
        <v>581620.74000000011</v>
      </c>
      <c r="E22" s="81">
        <f t="shared" si="4"/>
        <v>687726.59</v>
      </c>
      <c r="F22" s="81">
        <f t="shared" si="4"/>
        <v>332919.23999999993</v>
      </c>
      <c r="G22" s="81">
        <f t="shared" si="4"/>
        <v>278401.12</v>
      </c>
      <c r="H22" s="81">
        <f t="shared" si="4"/>
        <v>355344.43</v>
      </c>
      <c r="I22" s="81">
        <f t="shared" si="4"/>
        <v>386342.37</v>
      </c>
      <c r="J22" s="81">
        <f t="shared" si="4"/>
        <v>432959.27999999997</v>
      </c>
      <c r="K22" s="81">
        <f t="shared" si="4"/>
        <v>457295.59</v>
      </c>
      <c r="L22" s="81">
        <f t="shared" si="4"/>
        <v>509663.04000000004</v>
      </c>
      <c r="M22" s="81">
        <f t="shared" si="4"/>
        <v>451243.85000000003</v>
      </c>
      <c r="N22" s="81">
        <f t="shared" si="4"/>
        <v>209828.05999999997</v>
      </c>
      <c r="O22" s="82">
        <f>+O18+O21</f>
        <v>0</v>
      </c>
      <c r="P22" s="82">
        <f>SUM(P18:P20)</f>
        <v>0</v>
      </c>
      <c r="Q22" s="62"/>
    </row>
    <row r="23" spans="1:20" x14ac:dyDescent="0.2">
      <c r="A23" s="49" t="s">
        <v>63</v>
      </c>
      <c r="B23" s="50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83"/>
      <c r="P23" s="69"/>
      <c r="Q23" s="62"/>
    </row>
    <row r="24" spans="1:20" x14ac:dyDescent="0.2">
      <c r="A24" s="84" t="s">
        <v>64</v>
      </c>
      <c r="B24" s="85" t="s">
        <v>65</v>
      </c>
      <c r="C24" s="86">
        <v>-250938.94</v>
      </c>
      <c r="D24" s="65">
        <v>-274050.52</v>
      </c>
      <c r="E24" s="67">
        <v>-261174.18</v>
      </c>
      <c r="F24" s="65">
        <v>-238110</v>
      </c>
      <c r="G24" s="65">
        <v>-187644.98</v>
      </c>
      <c r="H24" s="65">
        <v>-172709.72</v>
      </c>
      <c r="I24" s="65">
        <v>-174758.8</v>
      </c>
      <c r="J24" s="65">
        <v>-199320.16</v>
      </c>
      <c r="K24" s="65">
        <v>-187400.74</v>
      </c>
      <c r="L24" s="65">
        <v>-185070.53</v>
      </c>
      <c r="M24" s="65">
        <v>-193365.68</v>
      </c>
      <c r="N24" s="65">
        <v>-222283.5</v>
      </c>
      <c r="O24" s="68"/>
      <c r="P24" s="69">
        <f t="shared" ref="P24:P30" si="5">SUM(C24:O24)</f>
        <v>-2546827.75</v>
      </c>
      <c r="Q24" s="70"/>
    </row>
    <row r="25" spans="1:20" x14ac:dyDescent="0.2">
      <c r="A25" s="84" t="s">
        <v>66</v>
      </c>
      <c r="B25" s="85" t="s">
        <v>67</v>
      </c>
      <c r="C25" s="86">
        <v>-1473.91</v>
      </c>
      <c r="D25" s="65">
        <v>-2251.84</v>
      </c>
      <c r="E25" s="67">
        <v>-3389.15</v>
      </c>
      <c r="F25" s="65">
        <v>-1717.88</v>
      </c>
      <c r="G25" s="65">
        <v>-825.59</v>
      </c>
      <c r="H25" s="65">
        <v>-446.45</v>
      </c>
      <c r="I25" s="65">
        <v>-272.52999999999997</v>
      </c>
      <c r="J25" s="65">
        <v>-753.67</v>
      </c>
      <c r="K25" s="65">
        <v>-1016.1</v>
      </c>
      <c r="L25" s="65">
        <v>-1446.49</v>
      </c>
      <c r="M25" s="65">
        <v>-1335.28</v>
      </c>
      <c r="N25" s="65">
        <v>-532.41999999999996</v>
      </c>
      <c r="O25" s="68"/>
      <c r="P25" s="69">
        <f t="shared" si="5"/>
        <v>-15461.310000000001</v>
      </c>
      <c r="Q25" s="70"/>
    </row>
    <row r="26" spans="1:20" x14ac:dyDescent="0.2">
      <c r="A26" s="84" t="s">
        <v>68</v>
      </c>
      <c r="B26" s="85" t="s">
        <v>69</v>
      </c>
      <c r="C26" s="86">
        <v>-169.6</v>
      </c>
      <c r="D26" s="65">
        <v>-169.6</v>
      </c>
      <c r="E26" s="67">
        <v>-169.6</v>
      </c>
      <c r="F26" s="65">
        <v>-169.6</v>
      </c>
      <c r="G26" s="65">
        <v>-169.6</v>
      </c>
      <c r="H26" s="65">
        <v>-181.19</v>
      </c>
      <c r="I26" s="65">
        <v>-181.19</v>
      </c>
      <c r="J26" s="65">
        <v>-181.19</v>
      </c>
      <c r="K26" s="65">
        <v>-181.19</v>
      </c>
      <c r="L26" s="65">
        <v>-183.73</v>
      </c>
      <c r="M26" s="65">
        <v>-169.98</v>
      </c>
      <c r="N26" s="65">
        <v>-174.05</v>
      </c>
      <c r="O26" s="68"/>
      <c r="P26" s="69">
        <f t="shared" si="5"/>
        <v>-2100.5200000000004</v>
      </c>
      <c r="Q26" s="70"/>
    </row>
    <row r="27" spans="1:20" x14ac:dyDescent="0.2">
      <c r="A27" s="87" t="s">
        <v>70</v>
      </c>
      <c r="B27" s="85" t="s">
        <v>71</v>
      </c>
      <c r="C27" s="86">
        <v>-183392.81</v>
      </c>
      <c r="D27" s="65">
        <v>-225136.95</v>
      </c>
      <c r="E27" s="67">
        <v>-288519.45</v>
      </c>
      <c r="F27" s="65">
        <v>-209780.96</v>
      </c>
      <c r="G27" s="65">
        <v>-147316.39000000001</v>
      </c>
      <c r="H27" s="65">
        <v>-144312.23000000001</v>
      </c>
      <c r="I27" s="65">
        <v>-142288.44</v>
      </c>
      <c r="J27" s="65">
        <v>-176763.76</v>
      </c>
      <c r="K27" s="65">
        <v>-174109.37</v>
      </c>
      <c r="L27" s="65">
        <v>-212777.21</v>
      </c>
      <c r="M27" s="65">
        <v>-188256.28</v>
      </c>
      <c r="N27" s="65">
        <v>-134697.54999999999</v>
      </c>
      <c r="O27" s="68"/>
      <c r="P27" s="69">
        <f t="shared" si="5"/>
        <v>-2227351.4</v>
      </c>
      <c r="Q27" s="70"/>
    </row>
    <row r="28" spans="1:20" x14ac:dyDescent="0.2">
      <c r="A28" s="87" t="s">
        <v>72</v>
      </c>
      <c r="B28" s="85" t="s">
        <v>73</v>
      </c>
      <c r="C28" s="86">
        <v>-52569.82</v>
      </c>
      <c r="D28" s="65">
        <v>-75895.740000000005</v>
      </c>
      <c r="E28" s="67">
        <v>-124701.21</v>
      </c>
      <c r="F28" s="65">
        <v>-64569.54</v>
      </c>
      <c r="G28" s="65">
        <v>-40208.089999999997</v>
      </c>
      <c r="H28" s="65">
        <v>-38344.03</v>
      </c>
      <c r="I28" s="65">
        <v>-36025.31</v>
      </c>
      <c r="J28" s="65">
        <v>-51202.29</v>
      </c>
      <c r="K28" s="65">
        <v>-54180.83</v>
      </c>
      <c r="L28" s="65">
        <v>-75656.52</v>
      </c>
      <c r="M28" s="65">
        <v>-59991.3</v>
      </c>
      <c r="N28" s="65">
        <v>-22596.560000000001</v>
      </c>
      <c r="O28" s="68"/>
      <c r="P28" s="69">
        <f t="shared" si="5"/>
        <v>-695941.24000000011</v>
      </c>
      <c r="Q28" s="70"/>
    </row>
    <row r="29" spans="1:20" x14ac:dyDescent="0.2">
      <c r="A29" s="164" t="s">
        <v>74</v>
      </c>
      <c r="B29" s="85"/>
      <c r="C29" s="110">
        <f>-'2015 RSVA 1589 GA'!D36</f>
        <v>-23898.55</v>
      </c>
      <c r="D29" s="110">
        <f>-'2015 RSVA 1589 GA'!E36</f>
        <v>78742.447469999999</v>
      </c>
      <c r="E29" s="110">
        <f>-'2015 RSVA 1589 GA'!F36</f>
        <v>-8468.26</v>
      </c>
      <c r="F29" s="110">
        <f>-'2015 RSVA 1589 GA'!G36</f>
        <v>102809.85</v>
      </c>
      <c r="G29" s="110">
        <f>-'2015 RSVA 1589 GA'!H36</f>
        <v>-19805.04</v>
      </c>
      <c r="H29" s="110">
        <f>-'2015 RSVA 1589 GA'!I36</f>
        <v>88480.775760000004</v>
      </c>
      <c r="I29" s="110">
        <f>-'2015 RSVA 1589 GA'!J36</f>
        <v>-42434.698230000002</v>
      </c>
      <c r="J29" s="110">
        <f>-'2015 RSVA 1589 GA'!K36</f>
        <v>16479.393390000001</v>
      </c>
      <c r="K29" s="110">
        <f>-'2015 RSVA 1589 GA'!L36</f>
        <v>-76780.878020000004</v>
      </c>
      <c r="L29" s="110">
        <f>-'2015 RSVA 1589 GA'!M36</f>
        <v>-171862.5129</v>
      </c>
      <c r="M29" s="110">
        <f>-'2015 RSVA 1589 GA'!N36</f>
        <v>147098.6257</v>
      </c>
      <c r="N29" s="110">
        <f>-'2015 RSVA 1589 GA'!O36</f>
        <v>19010.8</v>
      </c>
      <c r="O29" s="68"/>
      <c r="P29" s="69"/>
      <c r="Q29" s="70"/>
    </row>
    <row r="30" spans="1:20" s="93" customFormat="1" x14ac:dyDescent="0.2">
      <c r="A30" s="88" t="s">
        <v>75</v>
      </c>
      <c r="B30" s="90" t="s">
        <v>76</v>
      </c>
      <c r="C30" s="89">
        <v>-90617.03</v>
      </c>
      <c r="D30" s="89">
        <v>-206059.33</v>
      </c>
      <c r="E30" s="89">
        <v>199185</v>
      </c>
      <c r="F30" s="89">
        <v>-25302.55</v>
      </c>
      <c r="G30" s="89">
        <v>2001.19</v>
      </c>
      <c r="H30" s="89">
        <v>16802.03</v>
      </c>
      <c r="I30" s="89">
        <v>-62958.47</v>
      </c>
      <c r="J30" s="89">
        <v>-1503.19</v>
      </c>
      <c r="K30" s="89">
        <v>-20256.25</v>
      </c>
      <c r="L30" s="89">
        <v>219502.51</v>
      </c>
      <c r="M30" s="89">
        <v>-17128.13</v>
      </c>
      <c r="N30" s="89">
        <v>-44849.57</v>
      </c>
      <c r="O30" s="91"/>
      <c r="P30" s="92">
        <f t="shared" si="5"/>
        <v>-31183.789999999968</v>
      </c>
      <c r="Q30" s="70"/>
    </row>
    <row r="31" spans="1:20" s="98" customFormat="1" hidden="1" x14ac:dyDescent="0.2">
      <c r="A31" s="94" t="s">
        <v>77</v>
      </c>
      <c r="B31" s="95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96">
        <f t="shared" ref="O31:P31" si="6">SUM(O24:O30)</f>
        <v>0</v>
      </c>
      <c r="P31" s="96">
        <f t="shared" si="6"/>
        <v>-5518866.0100000007</v>
      </c>
      <c r="Q31" s="97"/>
    </row>
    <row r="32" spans="1:20" s="98" customFormat="1" hidden="1" x14ac:dyDescent="0.2">
      <c r="A32" s="94"/>
      <c r="B32" s="9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8"/>
      <c r="P32" s="68"/>
      <c r="Q32" s="97"/>
    </row>
    <row r="33" spans="1:18" s="100" customFormat="1" hidden="1" x14ac:dyDescent="0.2">
      <c r="A33" s="99" t="s">
        <v>78</v>
      </c>
      <c r="B33" s="85" t="s">
        <v>55</v>
      </c>
      <c r="C33" s="65">
        <v>0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65">
        <v>0</v>
      </c>
      <c r="O33" s="68"/>
      <c r="P33" s="68">
        <f>SUM(C33:O33)</f>
        <v>0</v>
      </c>
      <c r="Q33" s="70"/>
    </row>
    <row r="34" spans="1:18" hidden="1" x14ac:dyDescent="0.2">
      <c r="A34" s="101" t="s">
        <v>79</v>
      </c>
      <c r="B34" s="102" t="s">
        <v>80</v>
      </c>
      <c r="C34" s="65">
        <v>0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8"/>
      <c r="P34" s="68">
        <f>SUM(C34:O34)</f>
        <v>0</v>
      </c>
      <c r="Q34" s="70"/>
    </row>
    <row r="35" spans="1:18" ht="15" hidden="1" x14ac:dyDescent="0.25">
      <c r="A35" s="101" t="s">
        <v>56</v>
      </c>
      <c r="B35" s="102" t="s">
        <v>57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5">
        <v>0</v>
      </c>
      <c r="N35" s="65">
        <v>0</v>
      </c>
      <c r="O35" s="68"/>
      <c r="P35" s="68">
        <f>SUM(C35:O35)</f>
        <v>0</v>
      </c>
      <c r="Q35" s="70"/>
      <c r="R35" s="103"/>
    </row>
    <row r="36" spans="1:18" ht="15" hidden="1" x14ac:dyDescent="0.25">
      <c r="A36" s="101" t="s">
        <v>58</v>
      </c>
      <c r="B36" s="85" t="s">
        <v>81</v>
      </c>
      <c r="C36" s="65">
        <v>0</v>
      </c>
      <c r="D36" s="65">
        <v>0</v>
      </c>
      <c r="E36" s="65">
        <v>0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65">
        <v>0</v>
      </c>
      <c r="N36" s="65">
        <v>0</v>
      </c>
      <c r="O36" s="68"/>
      <c r="P36" s="68">
        <f>SUM(C36:O36)</f>
        <v>0</v>
      </c>
      <c r="Q36" s="70"/>
      <c r="R36" s="103"/>
    </row>
    <row r="37" spans="1:18" ht="15" hidden="1" x14ac:dyDescent="0.25">
      <c r="A37" s="101" t="s">
        <v>82</v>
      </c>
      <c r="B37" s="85" t="s">
        <v>83</v>
      </c>
      <c r="C37" s="65">
        <v>0</v>
      </c>
      <c r="D37" s="65">
        <v>0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  <c r="M37" s="65">
        <v>0</v>
      </c>
      <c r="N37" s="65">
        <v>0</v>
      </c>
      <c r="O37" s="68"/>
      <c r="P37" s="68">
        <f>SUM(C37:O37)</f>
        <v>0</v>
      </c>
      <c r="Q37" s="70"/>
      <c r="R37" s="103"/>
    </row>
    <row r="38" spans="1:18" hidden="1" x14ac:dyDescent="0.2">
      <c r="A38" s="104"/>
      <c r="B38" s="65"/>
      <c r="C38" s="105">
        <f t="shared" ref="C38:N38" si="7">SUM(C33:C37)</f>
        <v>0</v>
      </c>
      <c r="D38" s="105">
        <f t="shared" si="7"/>
        <v>0</v>
      </c>
      <c r="E38" s="105">
        <f t="shared" si="7"/>
        <v>0</v>
      </c>
      <c r="F38" s="105">
        <f t="shared" si="7"/>
        <v>0</v>
      </c>
      <c r="G38" s="105">
        <f t="shared" si="7"/>
        <v>0</v>
      </c>
      <c r="H38" s="105">
        <f t="shared" si="7"/>
        <v>0</v>
      </c>
      <c r="I38" s="105">
        <f t="shared" si="7"/>
        <v>0</v>
      </c>
      <c r="J38" s="105">
        <f t="shared" si="7"/>
        <v>0</v>
      </c>
      <c r="K38" s="105">
        <f t="shared" si="7"/>
        <v>0</v>
      </c>
      <c r="L38" s="105">
        <f t="shared" si="7"/>
        <v>0</v>
      </c>
      <c r="M38" s="105">
        <f t="shared" si="7"/>
        <v>0</v>
      </c>
      <c r="N38" s="105">
        <f t="shared" si="7"/>
        <v>0</v>
      </c>
      <c r="O38" s="106"/>
      <c r="P38" s="75">
        <f>SUM(P33:P37)</f>
        <v>0</v>
      </c>
      <c r="Q38" s="62"/>
      <c r="R38" s="48"/>
    </row>
    <row r="39" spans="1:18" s="108" customFormat="1" x14ac:dyDescent="0.2">
      <c r="A39" s="79" t="s">
        <v>84</v>
      </c>
      <c r="B39" s="80"/>
      <c r="C39" s="81">
        <f>SUM(C24:C30)</f>
        <v>-603060.66</v>
      </c>
      <c r="D39" s="81">
        <f t="shared" ref="D39:N39" si="8">SUM(D24:D30)</f>
        <v>-704821.53252999997</v>
      </c>
      <c r="E39" s="81">
        <f t="shared" si="8"/>
        <v>-487236.85</v>
      </c>
      <c r="F39" s="81">
        <f t="shared" si="8"/>
        <v>-436840.68</v>
      </c>
      <c r="G39" s="81">
        <f t="shared" si="8"/>
        <v>-393968.5</v>
      </c>
      <c r="H39" s="81">
        <f t="shared" si="8"/>
        <v>-250710.81424000001</v>
      </c>
      <c r="I39" s="81">
        <f t="shared" si="8"/>
        <v>-458919.43822999997</v>
      </c>
      <c r="J39" s="81">
        <f t="shared" si="8"/>
        <v>-413244.86661000003</v>
      </c>
      <c r="K39" s="81">
        <f t="shared" si="8"/>
        <v>-513925.35802000004</v>
      </c>
      <c r="L39" s="81">
        <f t="shared" si="8"/>
        <v>-427494.48289999994</v>
      </c>
      <c r="M39" s="81">
        <f t="shared" si="8"/>
        <v>-313148.02429999993</v>
      </c>
      <c r="N39" s="81">
        <f t="shared" si="8"/>
        <v>-406122.85000000003</v>
      </c>
      <c r="O39" s="82">
        <f>SUM(O24:O38)-O31</f>
        <v>0</v>
      </c>
      <c r="P39" s="82">
        <f>SUM(C39:O39)</f>
        <v>-5409494.0568300001</v>
      </c>
      <c r="Q39" s="107"/>
    </row>
    <row r="40" spans="1:18" x14ac:dyDescent="0.2">
      <c r="A40" s="109"/>
      <c r="B40" s="110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83"/>
      <c r="P40" s="83">
        <f>SUM(P24:P37)-P31</f>
        <v>-5518866.0100000007</v>
      </c>
      <c r="Q40" s="62"/>
    </row>
    <row r="41" spans="1:18" x14ac:dyDescent="0.2">
      <c r="A41" s="57" t="s">
        <v>85</v>
      </c>
      <c r="B41" s="111"/>
      <c r="C41" s="60">
        <f>+C9+C22+C39</f>
        <v>37900.760000000126</v>
      </c>
      <c r="D41" s="60">
        <f>+D9+D22+D39</f>
        <v>-85300.032529999735</v>
      </c>
      <c r="E41" s="60">
        <f>+E9+E22+E39</f>
        <v>115189.70747000026</v>
      </c>
      <c r="F41" s="60">
        <f>+F9+F22+F39</f>
        <v>11268.267470000195</v>
      </c>
      <c r="G41" s="60">
        <f>+G9+G22+G39+G44</f>
        <v>-104299.11252999981</v>
      </c>
      <c r="H41" s="60">
        <f t="shared" ref="H41:O41" si="9">+H9+H22+H39</f>
        <v>334.5032300001767</v>
      </c>
      <c r="I41" s="60">
        <f t="shared" si="9"/>
        <v>-72242.564999999828</v>
      </c>
      <c r="J41" s="60">
        <f t="shared" si="9"/>
        <v>-52528.151609999884</v>
      </c>
      <c r="K41" s="60">
        <f t="shared" si="9"/>
        <v>-109157.9196299999</v>
      </c>
      <c r="L41" s="60">
        <f t="shared" si="9"/>
        <v>-26989.362529999809</v>
      </c>
      <c r="M41" s="60">
        <f t="shared" si="9"/>
        <v>111106.46317000029</v>
      </c>
      <c r="N41" s="60">
        <f t="shared" si="9"/>
        <v>-85188.326829999743</v>
      </c>
      <c r="O41" s="61">
        <f t="shared" si="9"/>
        <v>0</v>
      </c>
      <c r="P41" s="61"/>
      <c r="Q41" s="62"/>
    </row>
    <row r="42" spans="1:18" x14ac:dyDescent="0.2">
      <c r="A42" s="101"/>
      <c r="B42" s="51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69"/>
      <c r="P42" s="69"/>
      <c r="Q42" s="62"/>
    </row>
    <row r="43" spans="1:18" s="150" customFormat="1" x14ac:dyDescent="0.2">
      <c r="A43" s="147" t="s">
        <v>86</v>
      </c>
      <c r="B43" s="157" t="s">
        <v>45</v>
      </c>
      <c r="C43" s="86">
        <f t="shared" ref="C43:N43" si="10">C22+C39</f>
        <v>-38675.499999999884</v>
      </c>
      <c r="D43" s="86">
        <f t="shared" si="10"/>
        <v>-123200.79252999986</v>
      </c>
      <c r="E43" s="86">
        <f t="shared" si="10"/>
        <v>200489.74</v>
      </c>
      <c r="F43" s="86">
        <f t="shared" si="10"/>
        <v>-103921.44000000006</v>
      </c>
      <c r="G43" s="86">
        <f t="shared" si="10"/>
        <v>-115567.38</v>
      </c>
      <c r="H43" s="86">
        <f t="shared" si="10"/>
        <v>104633.61575999999</v>
      </c>
      <c r="I43" s="86">
        <f t="shared" si="10"/>
        <v>-72577.068229999975</v>
      </c>
      <c r="J43" s="86">
        <f t="shared" si="10"/>
        <v>19714.413389999943</v>
      </c>
      <c r="K43" s="86">
        <f t="shared" si="10"/>
        <v>-56629.768020000018</v>
      </c>
      <c r="L43" s="86">
        <f t="shared" si="10"/>
        <v>82168.557100000093</v>
      </c>
      <c r="M43" s="86">
        <f t="shared" si="10"/>
        <v>138095.8257000001</v>
      </c>
      <c r="N43" s="86">
        <f t="shared" si="10"/>
        <v>-196294.79000000007</v>
      </c>
      <c r="O43" s="158">
        <f>+O10+O11+O12+O13+O24+O25+O26+O27+O28</f>
        <v>0</v>
      </c>
      <c r="P43" s="83">
        <f>SUM(C43:O43)</f>
        <v>-161764.58682999975</v>
      </c>
      <c r="Q43" s="70"/>
    </row>
    <row r="44" spans="1:18" s="150" customFormat="1" x14ac:dyDescent="0.2">
      <c r="A44" s="113" t="s">
        <v>87</v>
      </c>
      <c r="B44" s="157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158"/>
      <c r="P44" s="83"/>
      <c r="Q44" s="70"/>
    </row>
    <row r="45" spans="1:18" s="114" customFormat="1" x14ac:dyDescent="0.2"/>
    <row r="46" spans="1:18" s="114" customFormat="1" x14ac:dyDescent="0.2"/>
    <row r="47" spans="1:18" s="114" customFormat="1" x14ac:dyDescent="0.2"/>
    <row r="48" spans="1:18" s="114" customFormat="1" x14ac:dyDescent="0.2"/>
    <row r="49" s="114" customFormat="1" x14ac:dyDescent="0.2"/>
    <row r="50" s="114" customFormat="1" x14ac:dyDescent="0.2"/>
    <row r="51" s="114" customFormat="1" x14ac:dyDescent="0.2"/>
    <row r="52" s="114" customFormat="1" x14ac:dyDescent="0.2"/>
    <row r="53" s="114" customFormat="1" x14ac:dyDescent="0.2"/>
    <row r="54" s="114" customFormat="1" x14ac:dyDescent="0.2"/>
    <row r="55" s="114" customFormat="1" x14ac:dyDescent="0.2"/>
    <row r="56" s="114" customFormat="1" x14ac:dyDescent="0.2"/>
    <row r="57" s="114" customFormat="1" x14ac:dyDescent="0.2"/>
    <row r="58" s="114" customFormat="1" x14ac:dyDescent="0.2"/>
  </sheetData>
  <mergeCells count="1">
    <mergeCell ref="A1:P1"/>
  </mergeCells>
  <printOptions horizontalCentered="1"/>
  <pageMargins left="0.7" right="0.7" top="0.75" bottom="0.75" header="0.3" footer="0.3"/>
  <pageSetup scale="41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Normal="100" workbookViewId="0">
      <pane xSplit="3" ySplit="8" topLeftCell="D15" activePane="bottomRight" state="frozen"/>
      <selection activeCell="C60" sqref="C60"/>
      <selection pane="topRight" activeCell="C60" sqref="C60"/>
      <selection pane="bottomLeft" activeCell="C60" sqref="C60"/>
      <selection pane="bottomRight" activeCell="E28" sqref="E28"/>
    </sheetView>
  </sheetViews>
  <sheetFormatPr defaultRowHeight="12.75" x14ac:dyDescent="0.2"/>
  <cols>
    <col min="1" max="1" width="9.5703125" style="38" customWidth="1"/>
    <col min="2" max="2" width="42.85546875" style="38" customWidth="1"/>
    <col min="3" max="3" width="27.28515625" style="38" customWidth="1"/>
    <col min="4" max="4" width="15.42578125" style="38" customWidth="1"/>
    <col min="5" max="5" width="16.140625" style="38" customWidth="1"/>
    <col min="6" max="6" width="14.28515625" style="38" customWidth="1"/>
    <col min="7" max="12" width="14.42578125" style="38" customWidth="1"/>
    <col min="13" max="14" width="14.28515625" style="38" customWidth="1"/>
    <col min="15" max="15" width="15" style="38" customWidth="1"/>
    <col min="16" max="16" width="15.85546875" style="38" customWidth="1"/>
    <col min="17" max="16384" width="9.140625" style="38"/>
  </cols>
  <sheetData>
    <row r="1" spans="1:16" ht="23.25" x14ac:dyDescent="0.35">
      <c r="A1" s="115"/>
      <c r="B1" s="174" t="s">
        <v>88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</row>
    <row r="2" spans="1:16" ht="23.25" x14ac:dyDescent="0.35">
      <c r="A2" s="11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x14ac:dyDescent="0.2">
      <c r="B3" s="38" t="s">
        <v>37</v>
      </c>
      <c r="D3" s="116">
        <v>1.47E-2</v>
      </c>
      <c r="E3" s="41" t="s">
        <v>89</v>
      </c>
      <c r="F3" s="37"/>
      <c r="G3" s="116">
        <v>1.0999999999999999E-2</v>
      </c>
      <c r="H3" s="41" t="s">
        <v>39</v>
      </c>
      <c r="I3" s="37"/>
      <c r="J3" s="40">
        <v>1.0999999999999999E-2</v>
      </c>
      <c r="K3" s="41" t="s">
        <v>40</v>
      </c>
      <c r="M3" s="116">
        <v>1.0999999999999999E-2</v>
      </c>
      <c r="N3" s="41" t="s">
        <v>90</v>
      </c>
    </row>
    <row r="4" spans="1:16" x14ac:dyDescent="0.2">
      <c r="B4" s="38" t="s">
        <v>42</v>
      </c>
      <c r="D4" s="43">
        <f>+D3/12</f>
        <v>1.225E-3</v>
      </c>
      <c r="E4" s="37"/>
      <c r="F4" s="37"/>
      <c r="G4" s="43">
        <f>+G3/12</f>
        <v>9.1666666666666665E-4</v>
      </c>
      <c r="H4" s="37"/>
      <c r="I4" s="37"/>
      <c r="J4" s="43">
        <f>+J3/12</f>
        <v>9.1666666666666665E-4</v>
      </c>
      <c r="K4" s="37"/>
      <c r="M4" s="43">
        <f>+M3/12</f>
        <v>9.1666666666666665E-4</v>
      </c>
      <c r="N4" s="37"/>
    </row>
    <row r="5" spans="1:16" ht="13.5" thickBot="1" x14ac:dyDescent="0.25"/>
    <row r="6" spans="1:16" ht="18" x14ac:dyDescent="0.25">
      <c r="A6" s="48"/>
      <c r="B6" s="153" t="s">
        <v>144</v>
      </c>
      <c r="C6" s="154"/>
      <c r="D6" s="155"/>
      <c r="E6" s="155"/>
      <c r="F6" s="155"/>
      <c r="G6" s="156"/>
      <c r="H6" s="156"/>
      <c r="I6" s="156"/>
      <c r="J6" s="117"/>
      <c r="K6" s="117"/>
      <c r="L6" s="117"/>
      <c r="M6" s="117"/>
      <c r="N6" s="117"/>
      <c r="O6" s="117"/>
      <c r="P6" s="118"/>
    </row>
    <row r="7" spans="1:16" x14ac:dyDescent="0.2">
      <c r="A7" s="48"/>
      <c r="B7" s="119"/>
      <c r="C7" s="120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121"/>
    </row>
    <row r="8" spans="1:16" x14ac:dyDescent="0.2">
      <c r="A8" s="48"/>
      <c r="B8" s="119"/>
      <c r="C8" s="120"/>
      <c r="D8" s="54">
        <v>42005</v>
      </c>
      <c r="E8" s="54">
        <v>42036</v>
      </c>
      <c r="F8" s="54">
        <v>42064</v>
      </c>
      <c r="G8" s="54">
        <v>42095</v>
      </c>
      <c r="H8" s="54">
        <v>42125</v>
      </c>
      <c r="I8" s="54">
        <v>42156</v>
      </c>
      <c r="J8" s="54">
        <v>42186</v>
      </c>
      <c r="K8" s="54">
        <v>42217</v>
      </c>
      <c r="L8" s="54">
        <v>42248</v>
      </c>
      <c r="M8" s="54">
        <v>42278</v>
      </c>
      <c r="N8" s="54">
        <v>42309</v>
      </c>
      <c r="O8" s="54">
        <v>42339</v>
      </c>
      <c r="P8" s="122" t="s">
        <v>43</v>
      </c>
    </row>
    <row r="9" spans="1:16" ht="15" x14ac:dyDescent="0.25">
      <c r="A9" s="48"/>
      <c r="B9" s="123" t="s">
        <v>44</v>
      </c>
      <c r="C9" s="64" t="s">
        <v>91</v>
      </c>
      <c r="D9" s="124">
        <v>147421.43</v>
      </c>
      <c r="E9" s="124">
        <f>IF(E41=0,0,D39)</f>
        <v>64560.439999999944</v>
      </c>
      <c r="F9" s="124">
        <f t="shared" ref="F9:N9" si="0">IF(F41=0,0,E39)</f>
        <v>-130589.95747000008</v>
      </c>
      <c r="G9" s="124">
        <f t="shared" si="0"/>
        <v>-130954.23747000005</v>
      </c>
      <c r="H9" s="124">
        <f>IF(H41=0,0,G39)</f>
        <v>150288.87252999994</v>
      </c>
      <c r="I9" s="124">
        <f t="shared" si="0"/>
        <v>384065.41252999986</v>
      </c>
      <c r="J9" s="124">
        <f>IF(J41=0,0,I39)</f>
        <v>289420.19676999981</v>
      </c>
      <c r="K9" s="124">
        <f t="shared" si="0"/>
        <v>238761.0149999999</v>
      </c>
      <c r="L9" s="124">
        <f t="shared" si="0"/>
        <v>180210.62161000003</v>
      </c>
      <c r="M9" s="124">
        <f>IF(M41=0,0,L39+9389.76)</f>
        <v>120957.84963000011</v>
      </c>
      <c r="N9" s="124">
        <f t="shared" si="0"/>
        <v>229369.18253000011</v>
      </c>
      <c r="O9" s="124">
        <f>IF(O41=0,0,N39)-9389.76</f>
        <v>346959.64683000022</v>
      </c>
      <c r="P9" s="125">
        <f>SUM(D9:O9)</f>
        <v>1890470.4724899996</v>
      </c>
    </row>
    <row r="10" spans="1:16" ht="15" x14ac:dyDescent="0.25">
      <c r="A10" s="48"/>
      <c r="B10" s="119" t="s">
        <v>92</v>
      </c>
      <c r="C10" s="120"/>
      <c r="D10" s="126"/>
      <c r="E10" s="126"/>
      <c r="F10" s="126"/>
      <c r="G10" s="126"/>
      <c r="H10" s="126"/>
      <c r="I10" s="126"/>
      <c r="J10" s="126"/>
      <c r="K10" s="126"/>
      <c r="L10" s="126"/>
      <c r="M10" s="127"/>
      <c r="N10" s="127"/>
      <c r="O10" s="127"/>
      <c r="P10" s="128"/>
    </row>
    <row r="11" spans="1:16" ht="15" x14ac:dyDescent="0.25">
      <c r="A11" s="48"/>
      <c r="B11" s="99" t="s">
        <v>93</v>
      </c>
      <c r="C11" s="64" t="s">
        <v>94</v>
      </c>
      <c r="D11" s="66">
        <v>322367.65000000002</v>
      </c>
      <c r="E11" s="66">
        <v>249199.3</v>
      </c>
      <c r="F11" s="65">
        <v>426779.08</v>
      </c>
      <c r="G11" s="127">
        <v>632651.52000000002</v>
      </c>
      <c r="H11" s="127">
        <v>637062.81999999995</v>
      </c>
      <c r="I11" s="127">
        <v>609390.18000000005</v>
      </c>
      <c r="J11" s="127">
        <v>498727.27</v>
      </c>
      <c r="K11" s="127">
        <v>525215.04</v>
      </c>
      <c r="L11" s="127">
        <v>438110.64</v>
      </c>
      <c r="M11" s="127">
        <v>489805.88</v>
      </c>
      <c r="N11" s="127">
        <v>694745.8</v>
      </c>
      <c r="O11" s="127">
        <v>534348.53</v>
      </c>
      <c r="P11" s="128">
        <f>SUM(D11:O11)</f>
        <v>6058403.71</v>
      </c>
    </row>
    <row r="12" spans="1:16" ht="15.75" thickBot="1" x14ac:dyDescent="0.3">
      <c r="A12" s="48"/>
      <c r="B12" s="129"/>
      <c r="C12" s="130"/>
      <c r="D12" s="131"/>
      <c r="E12" s="131"/>
      <c r="F12" s="132"/>
      <c r="G12" s="133"/>
      <c r="H12" s="133"/>
      <c r="I12" s="133"/>
      <c r="J12" s="133"/>
      <c r="K12" s="133"/>
      <c r="L12" s="133"/>
      <c r="M12" s="133"/>
      <c r="N12" s="133"/>
      <c r="O12" s="133"/>
      <c r="P12" s="128">
        <f>SUM(D12:O12)</f>
        <v>0</v>
      </c>
    </row>
    <row r="13" spans="1:16" ht="15" x14ac:dyDescent="0.25">
      <c r="A13" s="48"/>
      <c r="B13" s="134" t="s">
        <v>95</v>
      </c>
      <c r="C13" s="135"/>
      <c r="D13" s="124">
        <f>SUM(D11:D12)</f>
        <v>322367.65000000002</v>
      </c>
      <c r="E13" s="124">
        <f t="shared" ref="E13:O13" si="1">SUM(E11:E12)</f>
        <v>249199.3</v>
      </c>
      <c r="F13" s="124">
        <f t="shared" si="1"/>
        <v>426779.08</v>
      </c>
      <c r="G13" s="124">
        <f t="shared" si="1"/>
        <v>632651.52000000002</v>
      </c>
      <c r="H13" s="124">
        <f t="shared" si="1"/>
        <v>637062.81999999995</v>
      </c>
      <c r="I13" s="124">
        <f t="shared" si="1"/>
        <v>609390.18000000005</v>
      </c>
      <c r="J13" s="124">
        <f t="shared" si="1"/>
        <v>498727.27</v>
      </c>
      <c r="K13" s="124">
        <f t="shared" si="1"/>
        <v>525215.04</v>
      </c>
      <c r="L13" s="124">
        <f t="shared" si="1"/>
        <v>438110.64</v>
      </c>
      <c r="M13" s="124">
        <f t="shared" si="1"/>
        <v>489805.88</v>
      </c>
      <c r="N13" s="124">
        <f t="shared" si="1"/>
        <v>694745.8</v>
      </c>
      <c r="O13" s="124">
        <f t="shared" si="1"/>
        <v>534348.53</v>
      </c>
      <c r="P13" s="136">
        <f>SUM(P11:P12)</f>
        <v>6058403.71</v>
      </c>
    </row>
    <row r="14" spans="1:16" ht="15" x14ac:dyDescent="0.25">
      <c r="A14" s="48"/>
      <c r="B14" s="137" t="s">
        <v>63</v>
      </c>
      <c r="C14" s="138"/>
      <c r="D14" s="126"/>
      <c r="E14" s="126"/>
      <c r="F14" s="126"/>
      <c r="G14" s="126"/>
      <c r="H14" s="127"/>
      <c r="I14" s="127"/>
      <c r="J14" s="127"/>
      <c r="K14" s="127"/>
      <c r="L14" s="127"/>
      <c r="M14" s="127"/>
      <c r="N14" s="127"/>
      <c r="O14" s="127"/>
      <c r="P14" s="128"/>
    </row>
    <row r="15" spans="1:16" ht="15" x14ac:dyDescent="0.25">
      <c r="B15" s="99"/>
      <c r="C15" s="64"/>
      <c r="D15" s="126"/>
      <c r="E15" s="126"/>
      <c r="F15" s="126"/>
      <c r="G15" s="126"/>
      <c r="H15" s="127"/>
      <c r="I15" s="127"/>
      <c r="J15" s="127"/>
      <c r="K15" s="127"/>
      <c r="L15" s="127"/>
      <c r="M15" s="127"/>
      <c r="N15" s="127"/>
      <c r="O15" s="127"/>
      <c r="P15" s="128"/>
    </row>
    <row r="16" spans="1:16" ht="15" x14ac:dyDescent="0.25">
      <c r="B16" s="139" t="s">
        <v>96</v>
      </c>
      <c r="C16" s="85" t="s">
        <v>97</v>
      </c>
      <c r="D16" s="65">
        <v>-243037.52</v>
      </c>
      <c r="E16" s="65">
        <v>-206773.36</v>
      </c>
      <c r="F16" s="65">
        <v>-243039.83</v>
      </c>
      <c r="G16" s="65">
        <v>-142540.66</v>
      </c>
      <c r="H16" s="65">
        <v>-244626.4</v>
      </c>
      <c r="I16" s="127">
        <v>-353781.07</v>
      </c>
      <c r="J16" s="127">
        <v>-341414.48</v>
      </c>
      <c r="K16" s="127">
        <v>-332239.71000000002</v>
      </c>
      <c r="L16" s="127">
        <v>-338236.73</v>
      </c>
      <c r="M16" s="127">
        <v>-323893.58</v>
      </c>
      <c r="N16" s="127">
        <v>-245359.94</v>
      </c>
      <c r="O16" s="127">
        <v>-272721.55</v>
      </c>
      <c r="P16" s="140">
        <f t="shared" ref="P16:P34" si="2">SUM(D16:O16)</f>
        <v>-3287664.83</v>
      </c>
    </row>
    <row r="17" spans="2:16" ht="15" x14ac:dyDescent="0.25">
      <c r="B17" s="139" t="s">
        <v>98</v>
      </c>
      <c r="C17" s="85" t="s">
        <v>99</v>
      </c>
      <c r="D17" s="65">
        <v>-17401.5</v>
      </c>
      <c r="E17" s="65">
        <v>-14804.99</v>
      </c>
      <c r="F17" s="65">
        <v>-17401.650000000001</v>
      </c>
      <c r="G17" s="65">
        <v>-10205.9</v>
      </c>
      <c r="H17" s="65">
        <v>-17515.28</v>
      </c>
      <c r="I17" s="127">
        <v>-25330.73</v>
      </c>
      <c r="J17" s="127">
        <v>-24445.27</v>
      </c>
      <c r="K17" s="127">
        <v>-23788.36</v>
      </c>
      <c r="L17" s="127">
        <v>-24217.759999999998</v>
      </c>
      <c r="M17" s="127">
        <v>-23190.81</v>
      </c>
      <c r="N17" s="127">
        <v>-17567.8</v>
      </c>
      <c r="O17" s="127">
        <v>-19526.86</v>
      </c>
      <c r="P17" s="140">
        <f t="shared" si="2"/>
        <v>-235396.90999999997</v>
      </c>
    </row>
    <row r="18" spans="2:16" ht="15" x14ac:dyDescent="0.25">
      <c r="B18" s="139" t="s">
        <v>100</v>
      </c>
      <c r="C18" s="85" t="s">
        <v>101</v>
      </c>
      <c r="D18" s="65">
        <v>-85203.76</v>
      </c>
      <c r="E18" s="65">
        <v>-72309.149999999994</v>
      </c>
      <c r="F18" s="65">
        <v>-5820.98</v>
      </c>
      <c r="G18" s="65">
        <v>-2978.83</v>
      </c>
      <c r="H18" s="65">
        <v>-4411.16</v>
      </c>
      <c r="I18" s="127">
        <v>-5076.05</v>
      </c>
      <c r="J18" s="127">
        <v>-4490.0600000000004</v>
      </c>
      <c r="K18" s="127">
        <v>-1766.69</v>
      </c>
      <c r="L18" s="127">
        <v>-1539.22</v>
      </c>
      <c r="M18" s="127">
        <v>-4217.74</v>
      </c>
      <c r="N18" s="127">
        <v>-3726.55</v>
      </c>
      <c r="O18" s="127">
        <v>-4676.38</v>
      </c>
      <c r="P18" s="140">
        <f t="shared" si="2"/>
        <v>-196216.56999999995</v>
      </c>
    </row>
    <row r="19" spans="2:16" ht="15" x14ac:dyDescent="0.25">
      <c r="B19" s="139" t="s">
        <v>102</v>
      </c>
      <c r="C19" s="85" t="s">
        <v>103</v>
      </c>
      <c r="D19" s="65">
        <v>-9781.32</v>
      </c>
      <c r="E19" s="65">
        <v>-7827.76</v>
      </c>
      <c r="F19" s="65">
        <v>-9014.59</v>
      </c>
      <c r="G19" s="65">
        <v>-4382.88</v>
      </c>
      <c r="H19" s="65">
        <v>-6709.25</v>
      </c>
      <c r="I19" s="127">
        <v>-8501.06</v>
      </c>
      <c r="J19" s="127">
        <v>-8191.41</v>
      </c>
      <c r="K19" s="127">
        <v>-8922.07</v>
      </c>
      <c r="L19" s="127">
        <v>-8476.18</v>
      </c>
      <c r="M19" s="127">
        <v>-7656.45</v>
      </c>
      <c r="N19" s="127">
        <v>-6037.56</v>
      </c>
      <c r="O19" s="127">
        <v>-7532</v>
      </c>
      <c r="P19" s="140">
        <f>SUM(D19:O19)</f>
        <v>-93032.53</v>
      </c>
    </row>
    <row r="20" spans="2:16" ht="15" x14ac:dyDescent="0.25">
      <c r="B20" s="139" t="s">
        <v>104</v>
      </c>
      <c r="C20" s="85" t="s">
        <v>105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127">
        <v>0</v>
      </c>
      <c r="J20" s="127">
        <v>0</v>
      </c>
      <c r="K20" s="127">
        <v>0</v>
      </c>
      <c r="L20" s="127">
        <v>0</v>
      </c>
      <c r="M20" s="127">
        <v>0</v>
      </c>
      <c r="N20" s="127">
        <v>0</v>
      </c>
      <c r="O20" s="127">
        <v>0</v>
      </c>
      <c r="P20" s="140">
        <f>SUM(D20:O20)</f>
        <v>0</v>
      </c>
    </row>
    <row r="21" spans="2:16" ht="15" x14ac:dyDescent="0.25">
      <c r="B21" s="139" t="s">
        <v>106</v>
      </c>
      <c r="C21" s="85" t="s">
        <v>107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127">
        <v>0</v>
      </c>
      <c r="J21" s="127">
        <v>0</v>
      </c>
      <c r="K21" s="127">
        <v>0</v>
      </c>
      <c r="L21" s="127">
        <v>0</v>
      </c>
      <c r="M21" s="127">
        <v>0</v>
      </c>
      <c r="N21" s="127">
        <v>0</v>
      </c>
      <c r="O21" s="127">
        <v>0</v>
      </c>
      <c r="P21" s="140">
        <f t="shared" si="2"/>
        <v>0</v>
      </c>
    </row>
    <row r="22" spans="2:16" ht="15" x14ac:dyDescent="0.25">
      <c r="B22" s="139" t="s">
        <v>108</v>
      </c>
      <c r="C22" s="85" t="s">
        <v>109</v>
      </c>
      <c r="D22" s="65">
        <v>-1850.65</v>
      </c>
      <c r="E22" s="65">
        <v>-1291.76</v>
      </c>
      <c r="F22" s="65">
        <v>-1457.92</v>
      </c>
      <c r="G22" s="65">
        <v>-821.73</v>
      </c>
      <c r="H22" s="65">
        <v>-1564.21</v>
      </c>
      <c r="I22" s="127">
        <v>-2631</v>
      </c>
      <c r="J22" s="127">
        <v>-2654.45</v>
      </c>
      <c r="K22" s="127">
        <v>-2726.94</v>
      </c>
      <c r="L22" s="127">
        <v>-2483.6799999999998</v>
      </c>
      <c r="M22" s="127">
        <v>-2317.54</v>
      </c>
      <c r="N22" s="127">
        <v>-1646.96</v>
      </c>
      <c r="O22" s="127">
        <v>-1811.58</v>
      </c>
      <c r="P22" s="140">
        <f t="shared" si="2"/>
        <v>-23258.42</v>
      </c>
    </row>
    <row r="23" spans="2:16" s="93" customFormat="1" ht="15" x14ac:dyDescent="0.25">
      <c r="B23" s="139" t="s">
        <v>110</v>
      </c>
      <c r="C23" s="85" t="s">
        <v>111</v>
      </c>
      <c r="D23" s="65">
        <v>-5784.62</v>
      </c>
      <c r="E23" s="65">
        <v>-5453.09</v>
      </c>
      <c r="F23" s="65">
        <v>-6630.47</v>
      </c>
      <c r="G23" s="65">
        <v>-2831.17</v>
      </c>
      <c r="H23" s="65">
        <v>-3773.02</v>
      </c>
      <c r="I23" s="127">
        <v>-4350.9799999999996</v>
      </c>
      <c r="J23" s="127">
        <v>-4876.07</v>
      </c>
      <c r="K23" s="127">
        <v>-4643.3599999999997</v>
      </c>
      <c r="L23" s="127">
        <v>-4476.54</v>
      </c>
      <c r="M23" s="127">
        <v>-4232.0600000000004</v>
      </c>
      <c r="N23" s="127">
        <v>-4155.92</v>
      </c>
      <c r="O23" s="127">
        <v>-5656.43</v>
      </c>
      <c r="P23" s="141">
        <f t="shared" si="2"/>
        <v>-56863.729999999996</v>
      </c>
    </row>
    <row r="24" spans="2:16" ht="15" x14ac:dyDescent="0.25">
      <c r="B24" s="139" t="s">
        <v>112</v>
      </c>
      <c r="C24" s="85" t="s">
        <v>113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127">
        <v>0</v>
      </c>
      <c r="J24" s="127">
        <v>0</v>
      </c>
      <c r="K24" s="127">
        <v>0</v>
      </c>
      <c r="L24" s="127">
        <v>0</v>
      </c>
      <c r="M24" s="127">
        <v>0</v>
      </c>
      <c r="N24" s="127">
        <v>0</v>
      </c>
      <c r="O24" s="127">
        <v>0</v>
      </c>
      <c r="P24" s="140">
        <f t="shared" si="2"/>
        <v>0</v>
      </c>
    </row>
    <row r="25" spans="2:16" ht="15" x14ac:dyDescent="0.25">
      <c r="B25" s="139" t="s">
        <v>114</v>
      </c>
      <c r="C25" s="85" t="s">
        <v>115</v>
      </c>
      <c r="D25" s="65">
        <v>-37322.94</v>
      </c>
      <c r="E25" s="65">
        <v>-33085.24</v>
      </c>
      <c r="F25" s="65">
        <v>-39149.65</v>
      </c>
      <c r="G25" s="65">
        <v>-21655.5</v>
      </c>
      <c r="H25" s="65">
        <v>-39450.230000000003</v>
      </c>
      <c r="I25" s="127">
        <v>-60153.46</v>
      </c>
      <c r="J25" s="127">
        <v>-59602.65</v>
      </c>
      <c r="K25" s="127">
        <v>-49042.55</v>
      </c>
      <c r="L25" s="127">
        <v>-52056.85</v>
      </c>
      <c r="M25" s="127">
        <v>-49106.65</v>
      </c>
      <c r="N25" s="127">
        <v>-34838.089999999997</v>
      </c>
      <c r="O25" s="127">
        <v>-41852.11</v>
      </c>
      <c r="P25" s="140">
        <f t="shared" si="2"/>
        <v>-517315.91999999993</v>
      </c>
    </row>
    <row r="26" spans="2:16" ht="15" x14ac:dyDescent="0.25">
      <c r="B26" s="139" t="s">
        <v>116</v>
      </c>
      <c r="C26" s="85" t="s">
        <v>117</v>
      </c>
      <c r="D26" s="65">
        <v>-9894.84</v>
      </c>
      <c r="E26" s="65">
        <v>-9283.2199999999993</v>
      </c>
      <c r="F26" s="65">
        <v>-11885.84</v>
      </c>
      <c r="G26" s="65">
        <v>-5568.49</v>
      </c>
      <c r="H26" s="65">
        <v>-7055.84</v>
      </c>
      <c r="I26" s="127">
        <v>-6148.84</v>
      </c>
      <c r="J26" s="127">
        <v>-5280.08</v>
      </c>
      <c r="K26" s="127">
        <v>-5282.19</v>
      </c>
      <c r="L26" s="127">
        <v>-4821.93</v>
      </c>
      <c r="M26" s="127">
        <v>-4472.2299999999996</v>
      </c>
      <c r="N26" s="127">
        <v>-5029.26</v>
      </c>
      <c r="O26" s="127">
        <v>-6554.43</v>
      </c>
      <c r="P26" s="140">
        <f t="shared" si="2"/>
        <v>-81277.19</v>
      </c>
    </row>
    <row r="27" spans="2:16" ht="15" x14ac:dyDescent="0.25">
      <c r="B27" s="139" t="s">
        <v>118</v>
      </c>
      <c r="C27" s="85" t="s">
        <v>119</v>
      </c>
      <c r="D27" s="65">
        <v>-6527.71</v>
      </c>
      <c r="E27" s="65">
        <v>-5005.67</v>
      </c>
      <c r="F27" s="65">
        <v>-5875.97</v>
      </c>
      <c r="G27" s="65">
        <v>-3364.78</v>
      </c>
      <c r="H27" s="65">
        <v>-5461.88</v>
      </c>
      <c r="I27" s="127">
        <v>-8497.68</v>
      </c>
      <c r="J27" s="127">
        <v>-8238.3700000000008</v>
      </c>
      <c r="K27" s="127">
        <v>-8619.1200000000008</v>
      </c>
      <c r="L27" s="127">
        <v>-7725.38</v>
      </c>
      <c r="M27" s="127">
        <v>-6913.68</v>
      </c>
      <c r="N27" s="127">
        <v>-4917.43</v>
      </c>
      <c r="O27" s="127">
        <v>-5497.01</v>
      </c>
      <c r="P27" s="140">
        <f>SUM(D27:O27)</f>
        <v>-76644.680000000008</v>
      </c>
    </row>
    <row r="28" spans="2:16" ht="15" x14ac:dyDescent="0.25">
      <c r="B28" s="139" t="s">
        <v>120</v>
      </c>
      <c r="C28" s="85" t="s">
        <v>121</v>
      </c>
      <c r="D28" s="65">
        <v>-161.85</v>
      </c>
      <c r="E28" s="65">
        <v>-123.44</v>
      </c>
      <c r="F28" s="65">
        <v>-152.02000000000001</v>
      </c>
      <c r="G28" s="65">
        <v>-80.099999999999994</v>
      </c>
      <c r="H28" s="65">
        <v>-126.19</v>
      </c>
      <c r="I28" s="127">
        <v>-170.19</v>
      </c>
      <c r="J28" s="127">
        <v>-168.59</v>
      </c>
      <c r="K28" s="127">
        <v>-157.72</v>
      </c>
      <c r="L28" s="127">
        <v>-70.95</v>
      </c>
      <c r="M28" s="127">
        <v>-75.069999999999993</v>
      </c>
      <c r="N28" s="127">
        <v>-60.96</v>
      </c>
      <c r="O28" s="127">
        <v>-67.959999999999994</v>
      </c>
      <c r="P28" s="140">
        <f>SUM(D28:O28)</f>
        <v>-1415.04</v>
      </c>
    </row>
    <row r="29" spans="2:16" ht="15" x14ac:dyDescent="0.25">
      <c r="B29" s="139" t="s">
        <v>122</v>
      </c>
      <c r="C29" s="85" t="s">
        <v>123</v>
      </c>
      <c r="D29" s="65">
        <v>-2067.9499999999998</v>
      </c>
      <c r="E29" s="65">
        <v>-1643.53</v>
      </c>
      <c r="F29" s="65">
        <v>-86056.68</v>
      </c>
      <c r="G29" s="65">
        <v>-49433.17</v>
      </c>
      <c r="H29" s="65">
        <v>-85610.14</v>
      </c>
      <c r="I29" s="127">
        <v>-132054.5</v>
      </c>
      <c r="J29" s="127">
        <v>-125214.83</v>
      </c>
      <c r="K29" s="127">
        <v>-121333.34</v>
      </c>
      <c r="L29" s="127">
        <v>-128796.26</v>
      </c>
      <c r="M29" s="127">
        <v>-118386.15</v>
      </c>
      <c r="N29" s="127">
        <v>-90128.15</v>
      </c>
      <c r="O29" s="127">
        <v>-97643.57</v>
      </c>
      <c r="P29" s="140">
        <f t="shared" si="2"/>
        <v>-1038368.27</v>
      </c>
    </row>
    <row r="30" spans="2:16" ht="15" x14ac:dyDescent="0.25">
      <c r="B30" s="139" t="s">
        <v>124</v>
      </c>
      <c r="C30" s="85" t="s">
        <v>125</v>
      </c>
      <c r="D30" s="65">
        <v>-3797.38</v>
      </c>
      <c r="E30" s="65">
        <v>-3258.86</v>
      </c>
      <c r="F30" s="65">
        <v>-3976.83</v>
      </c>
      <c r="G30" s="65">
        <v>-2098.5100000000002</v>
      </c>
      <c r="H30" s="65">
        <v>-2679.99</v>
      </c>
      <c r="I30" s="127">
        <v>-3738.24</v>
      </c>
      <c r="J30" s="127">
        <v>-4151.22</v>
      </c>
      <c r="K30" s="127">
        <v>-4327.49</v>
      </c>
      <c r="L30" s="127">
        <v>-4381.3</v>
      </c>
      <c r="M30" s="127">
        <v>-3847.03</v>
      </c>
      <c r="N30" s="127">
        <v>-2739.57</v>
      </c>
      <c r="O30" s="127">
        <v>-3421.52</v>
      </c>
      <c r="P30" s="140">
        <f t="shared" si="2"/>
        <v>-42417.939999999995</v>
      </c>
    </row>
    <row r="31" spans="2:16" ht="15" x14ac:dyDescent="0.25">
      <c r="B31" s="139" t="s">
        <v>126</v>
      </c>
      <c r="C31" s="85" t="s">
        <v>127</v>
      </c>
      <c r="D31" s="65">
        <v>-267.12</v>
      </c>
      <c r="E31" s="65">
        <v>-100.14</v>
      </c>
      <c r="F31" s="65">
        <v>-128.44</v>
      </c>
      <c r="G31" s="65">
        <v>-63.91</v>
      </c>
      <c r="H31" s="65">
        <v>-99.04</v>
      </c>
      <c r="I31" s="127">
        <v>-116.79</v>
      </c>
      <c r="J31" s="127">
        <v>-147.97</v>
      </c>
      <c r="K31" s="127">
        <v>-165.77</v>
      </c>
      <c r="L31" s="127">
        <v>-147.37</v>
      </c>
      <c r="M31" s="127">
        <v>-113.61</v>
      </c>
      <c r="N31" s="127">
        <v>-85.41</v>
      </c>
      <c r="O31" s="127">
        <v>-93.48</v>
      </c>
      <c r="P31" s="140">
        <f t="shared" si="2"/>
        <v>-1529.0500000000002</v>
      </c>
    </row>
    <row r="32" spans="2:16" ht="15" x14ac:dyDescent="0.25">
      <c r="B32" s="139" t="s">
        <v>128</v>
      </c>
      <c r="C32" s="85" t="s">
        <v>129</v>
      </c>
      <c r="D32" s="65"/>
      <c r="E32" s="65"/>
      <c r="J32" s="127"/>
      <c r="K32" s="127"/>
      <c r="L32" s="127"/>
      <c r="M32" s="127"/>
      <c r="N32" s="127"/>
      <c r="O32" s="127"/>
      <c r="P32" s="140">
        <f t="shared" si="2"/>
        <v>0</v>
      </c>
    </row>
    <row r="33" spans="1:16" ht="15" x14ac:dyDescent="0.25">
      <c r="B33" s="139" t="s">
        <v>130</v>
      </c>
      <c r="C33" s="85" t="s">
        <v>131</v>
      </c>
      <c r="D33" s="65"/>
      <c r="E33" s="65"/>
      <c r="F33" s="65"/>
      <c r="G33" s="65"/>
      <c r="H33" s="65"/>
      <c r="I33" s="127"/>
      <c r="J33" s="127"/>
      <c r="K33" s="127"/>
      <c r="L33" s="127"/>
      <c r="M33" s="127"/>
      <c r="N33" s="127"/>
      <c r="O33" s="127"/>
      <c r="P33" s="140">
        <f t="shared" si="2"/>
        <v>0</v>
      </c>
    </row>
    <row r="34" spans="1:16" ht="15" x14ac:dyDescent="0.25">
      <c r="B34" s="139" t="s">
        <v>132</v>
      </c>
      <c r="C34" s="85" t="s">
        <v>133</v>
      </c>
      <c r="D34" s="65"/>
      <c r="E34" s="65"/>
      <c r="F34" s="65"/>
      <c r="G34" s="65"/>
      <c r="H34" s="65"/>
      <c r="I34" s="127"/>
      <c r="J34" s="127"/>
      <c r="K34" s="127"/>
      <c r="L34" s="127"/>
      <c r="M34" s="127"/>
      <c r="N34" s="127"/>
      <c r="O34" s="127"/>
      <c r="P34" s="140">
        <f t="shared" si="2"/>
        <v>0</v>
      </c>
    </row>
    <row r="35" spans="1:16" ht="15" x14ac:dyDescent="0.25">
      <c r="B35" s="139" t="s">
        <v>134</v>
      </c>
      <c r="C35" s="85" t="s">
        <v>80</v>
      </c>
      <c r="D35" s="65">
        <v>-6028.03</v>
      </c>
      <c r="E35" s="65">
        <v>-4647.04</v>
      </c>
      <c r="F35" s="65">
        <v>-5020.75</v>
      </c>
      <c r="G35" s="65">
        <v>-2572.9299999999998</v>
      </c>
      <c r="H35" s="65">
        <v>-4008.69</v>
      </c>
      <c r="I35" s="127">
        <v>-5004.03</v>
      </c>
      <c r="J35" s="127">
        <v>-2945.7</v>
      </c>
      <c r="K35" s="127">
        <v>-4270.7299999999996</v>
      </c>
      <c r="L35" s="127">
        <v>-6103.9</v>
      </c>
      <c r="M35" s="127">
        <v>-4834.46</v>
      </c>
      <c r="N35" s="127">
        <v>-4373.3500000000004</v>
      </c>
      <c r="O35" s="127">
        <v>-5671.68</v>
      </c>
      <c r="P35" s="140"/>
    </row>
    <row r="36" spans="1:16" s="93" customFormat="1" ht="13.5" thickBot="1" x14ac:dyDescent="0.25">
      <c r="B36" s="137" t="s">
        <v>135</v>
      </c>
      <c r="C36" s="142"/>
      <c r="D36" s="152">
        <v>23898.55</v>
      </c>
      <c r="E36" s="152">
        <v>-78742.447469999999</v>
      </c>
      <c r="F36" s="152">
        <v>8468.26</v>
      </c>
      <c r="G36" s="152">
        <v>-102809.85</v>
      </c>
      <c r="H36" s="152">
        <v>19805.04</v>
      </c>
      <c r="I36" s="152">
        <v>-88480.775760000004</v>
      </c>
      <c r="J36" s="152">
        <v>42434.698230000002</v>
      </c>
      <c r="K36" s="152">
        <v>-16479.393390000001</v>
      </c>
      <c r="L36" s="152">
        <v>76780.878020000004</v>
      </c>
      <c r="M36" s="152">
        <v>171862.5129</v>
      </c>
      <c r="N36" s="152">
        <v>-147098.6257</v>
      </c>
      <c r="O36" s="152">
        <v>-19010.8</v>
      </c>
      <c r="P36" s="141"/>
    </row>
    <row r="37" spans="1:16" ht="15" x14ac:dyDescent="0.25">
      <c r="A37" s="48"/>
      <c r="B37" s="143" t="s">
        <v>84</v>
      </c>
      <c r="C37" s="144"/>
      <c r="D37" s="145">
        <f>SUM(D15:D36)</f>
        <v>-405228.64000000007</v>
      </c>
      <c r="E37" s="145">
        <f>SUM(E15:E36)</f>
        <v>-444349.69747000001</v>
      </c>
      <c r="F37" s="145">
        <f t="shared" ref="F37:P37" si="3">SUM(F15:F36)</f>
        <v>-427143.36</v>
      </c>
      <c r="G37" s="145">
        <f t="shared" si="3"/>
        <v>-351408.41000000003</v>
      </c>
      <c r="H37" s="145">
        <f>SUM(H15:H36)</f>
        <v>-403286.28</v>
      </c>
      <c r="I37" s="145">
        <f t="shared" si="3"/>
        <v>-704035.3957600001</v>
      </c>
      <c r="J37" s="145">
        <f t="shared" si="3"/>
        <v>-549386.45176999993</v>
      </c>
      <c r="K37" s="145">
        <f t="shared" si="3"/>
        <v>-583765.4333899999</v>
      </c>
      <c r="L37" s="145">
        <f t="shared" si="3"/>
        <v>-506753.17197999993</v>
      </c>
      <c r="M37" s="145">
        <f t="shared" si="3"/>
        <v>-381394.54709999997</v>
      </c>
      <c r="N37" s="145">
        <f t="shared" si="3"/>
        <v>-567765.57569999993</v>
      </c>
      <c r="O37" s="145">
        <f t="shared" si="3"/>
        <v>-491737.36</v>
      </c>
      <c r="P37" s="146">
        <f t="shared" si="3"/>
        <v>-5651401.0800000001</v>
      </c>
    </row>
    <row r="38" spans="1:16" ht="15" x14ac:dyDescent="0.25">
      <c r="A38" s="48"/>
      <c r="B38" s="147"/>
      <c r="C38" s="148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40"/>
    </row>
    <row r="39" spans="1:16" ht="15" x14ac:dyDescent="0.25">
      <c r="A39" s="48"/>
      <c r="B39" s="123" t="s">
        <v>85</v>
      </c>
      <c r="C39" s="149"/>
      <c r="D39" s="124">
        <f t="shared" ref="D39:O39" si="4">+D9+D13+D37</f>
        <v>64560.439999999944</v>
      </c>
      <c r="E39" s="124">
        <f>+E9+E13+E37</f>
        <v>-130589.95747000008</v>
      </c>
      <c r="F39" s="124">
        <f t="shared" si="4"/>
        <v>-130954.23747000005</v>
      </c>
      <c r="G39" s="124">
        <f>+G9+G13+G37</f>
        <v>150288.87252999994</v>
      </c>
      <c r="H39" s="124">
        <f>+H9+H13+H37+H42</f>
        <v>384065.41252999986</v>
      </c>
      <c r="I39" s="124">
        <f t="shared" si="4"/>
        <v>289420.19676999981</v>
      </c>
      <c r="J39" s="124">
        <f t="shared" si="4"/>
        <v>238761.0149999999</v>
      </c>
      <c r="K39" s="124">
        <f t="shared" si="4"/>
        <v>180210.62161000003</v>
      </c>
      <c r="L39" s="124">
        <f t="shared" si="4"/>
        <v>111568.08963000012</v>
      </c>
      <c r="M39" s="124">
        <f t="shared" si="4"/>
        <v>229369.18253000011</v>
      </c>
      <c r="N39" s="124">
        <f t="shared" si="4"/>
        <v>356349.40683000023</v>
      </c>
      <c r="O39" s="124">
        <f t="shared" si="4"/>
        <v>389570.81683000026</v>
      </c>
      <c r="P39" s="125"/>
    </row>
    <row r="40" spans="1:16" ht="15" x14ac:dyDescent="0.25">
      <c r="A40" s="48"/>
      <c r="B40" s="137"/>
      <c r="C40" s="138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8"/>
    </row>
    <row r="41" spans="1:16" s="150" customFormat="1" ht="15" x14ac:dyDescent="0.25">
      <c r="B41" s="147" t="s">
        <v>136</v>
      </c>
      <c r="C41" s="151" t="s">
        <v>91</v>
      </c>
      <c r="D41" s="152">
        <f>D13+D37</f>
        <v>-82860.990000000049</v>
      </c>
      <c r="E41" s="152">
        <f t="shared" ref="E41:O41" si="5">E13+E37</f>
        <v>-195150.39747000003</v>
      </c>
      <c r="F41" s="152">
        <f t="shared" si="5"/>
        <v>-364.27999999996973</v>
      </c>
      <c r="G41" s="152">
        <f t="shared" si="5"/>
        <v>281243.11</v>
      </c>
      <c r="H41" s="152">
        <f t="shared" si="5"/>
        <v>233776.53999999992</v>
      </c>
      <c r="I41" s="152">
        <f t="shared" si="5"/>
        <v>-94645.21576000005</v>
      </c>
      <c r="J41" s="152">
        <f t="shared" si="5"/>
        <v>-50659.181769999908</v>
      </c>
      <c r="K41" s="152">
        <f t="shared" si="5"/>
        <v>-58550.393389999866</v>
      </c>
      <c r="L41" s="152">
        <f t="shared" si="5"/>
        <v>-68642.531979999912</v>
      </c>
      <c r="M41" s="152">
        <f t="shared" si="5"/>
        <v>108411.33290000004</v>
      </c>
      <c r="N41" s="152">
        <f t="shared" si="5"/>
        <v>126980.22430000012</v>
      </c>
      <c r="O41" s="152">
        <f t="shared" si="5"/>
        <v>42611.170000000042</v>
      </c>
      <c r="P41" s="140">
        <f>SUM(D41:O41)</f>
        <v>242149.38683000032</v>
      </c>
    </row>
    <row r="42" spans="1:16" s="150" customFormat="1" ht="15" x14ac:dyDescent="0.25">
      <c r="B42" s="113" t="s">
        <v>87</v>
      </c>
      <c r="C42" s="151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40"/>
    </row>
  </sheetData>
  <mergeCells count="1">
    <mergeCell ref="B1:P1"/>
  </mergeCells>
  <printOptions horizontalCentered="1"/>
  <pageMargins left="0.7" right="0.7" top="0.75" bottom="0.75" header="0.3" footer="0.3"/>
  <pageSetup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zoomScaleNormal="100" zoomScaleSheetLayoutView="80" workbookViewId="0">
      <pane xSplit="2" ySplit="8" topLeftCell="C14" activePane="bottomRight" state="frozen"/>
      <selection activeCell="F42" sqref="F42"/>
      <selection pane="topRight" activeCell="F42" sqref="F42"/>
      <selection pane="bottomLeft" activeCell="F42" sqref="F42"/>
      <selection pane="bottomRight" activeCell="C29" sqref="C29"/>
    </sheetView>
  </sheetViews>
  <sheetFormatPr defaultRowHeight="12.75" x14ac:dyDescent="0.2"/>
  <cols>
    <col min="1" max="1" width="42" style="38" customWidth="1"/>
    <col min="2" max="2" width="29.7109375" style="38" customWidth="1"/>
    <col min="3" max="3" width="18.7109375" style="38" customWidth="1"/>
    <col min="4" max="5" width="14.7109375" style="38" customWidth="1"/>
    <col min="6" max="6" width="15.42578125" style="38" customWidth="1"/>
    <col min="7" max="7" width="16.7109375" style="38" customWidth="1"/>
    <col min="8" max="8" width="16.140625" style="38" customWidth="1"/>
    <col min="9" max="9" width="15.7109375" style="38" customWidth="1"/>
    <col min="10" max="10" width="16.7109375" style="38" customWidth="1"/>
    <col min="11" max="11" width="15.7109375" style="38" customWidth="1"/>
    <col min="12" max="12" width="17" style="38" customWidth="1"/>
    <col min="13" max="13" width="16.140625" style="38" customWidth="1"/>
    <col min="14" max="14" width="16.28515625" style="38" customWidth="1"/>
    <col min="15" max="15" width="15" style="38" customWidth="1"/>
    <col min="16" max="16" width="15.42578125" style="38" customWidth="1"/>
    <col min="17" max="17" width="24.5703125" style="44" bestFit="1" customWidth="1"/>
    <col min="18" max="18" width="13.85546875" style="38" customWidth="1"/>
    <col min="19" max="19" width="16.42578125" style="38" bestFit="1" customWidth="1"/>
    <col min="20" max="20" width="14.5703125" style="38" bestFit="1" customWidth="1"/>
    <col min="21" max="16384" width="9.140625" style="38"/>
  </cols>
  <sheetData>
    <row r="1" spans="1:20" ht="23.25" x14ac:dyDescent="0.35">
      <c r="A1" s="174" t="s">
        <v>137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37"/>
      <c r="R1" s="37"/>
      <c r="S1" s="37"/>
    </row>
    <row r="2" spans="1:20" ht="23.25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7"/>
      <c r="R2" s="37"/>
      <c r="S2" s="37"/>
    </row>
    <row r="3" spans="1:20" x14ac:dyDescent="0.2">
      <c r="A3" s="38" t="s">
        <v>37</v>
      </c>
      <c r="C3" s="40">
        <v>1.0999999999999999E-2</v>
      </c>
      <c r="D3" s="41" t="s">
        <v>138</v>
      </c>
      <c r="E3" s="37"/>
      <c r="F3" s="42">
        <v>1.0999999999999999E-2</v>
      </c>
      <c r="G3" s="41" t="s">
        <v>139</v>
      </c>
      <c r="H3" s="37"/>
      <c r="I3" s="40">
        <v>1.0999999999999999E-2</v>
      </c>
      <c r="J3" s="41" t="s">
        <v>140</v>
      </c>
      <c r="K3" s="37"/>
      <c r="L3" s="40">
        <v>1.0999999999999999E-2</v>
      </c>
      <c r="M3" s="41" t="s">
        <v>141</v>
      </c>
      <c r="N3" s="37"/>
      <c r="O3" s="37"/>
      <c r="P3" s="37"/>
      <c r="Q3" s="37"/>
      <c r="R3" s="37"/>
      <c r="S3" s="37"/>
    </row>
    <row r="4" spans="1:20" x14ac:dyDescent="0.2">
      <c r="A4" s="38" t="s">
        <v>42</v>
      </c>
      <c r="C4" s="43">
        <f>+C3/12</f>
        <v>9.1666666666666665E-4</v>
      </c>
      <c r="D4" s="37"/>
      <c r="E4" s="37"/>
      <c r="F4" s="43">
        <f>+F3/12</f>
        <v>9.1666666666666665E-4</v>
      </c>
      <c r="G4" s="37"/>
      <c r="H4" s="37"/>
      <c r="I4" s="43">
        <f>+I3/12</f>
        <v>9.1666666666666665E-4</v>
      </c>
      <c r="J4" s="37"/>
      <c r="K4" s="37"/>
      <c r="L4" s="43">
        <f>+L3/12</f>
        <v>9.1666666666666665E-4</v>
      </c>
      <c r="M4" s="37"/>
      <c r="N4" s="37"/>
      <c r="O4" s="37"/>
      <c r="P4" s="37"/>
      <c r="Q4" s="37"/>
      <c r="R4" s="37"/>
      <c r="S4" s="37"/>
    </row>
    <row r="5" spans="1:20" ht="13.5" thickBot="1" x14ac:dyDescent="0.25">
      <c r="R5" s="44"/>
    </row>
    <row r="6" spans="1:20" ht="18" x14ac:dyDescent="0.25">
      <c r="A6" s="159" t="s">
        <v>145</v>
      </c>
      <c r="B6" s="160"/>
      <c r="C6" s="161"/>
      <c r="D6" s="161"/>
      <c r="E6" s="161"/>
      <c r="F6" s="161"/>
      <c r="G6" s="161"/>
      <c r="H6" s="45"/>
      <c r="I6" s="45"/>
      <c r="J6" s="45"/>
      <c r="K6" s="45"/>
      <c r="L6" s="45"/>
      <c r="M6" s="45"/>
      <c r="N6" s="45"/>
      <c r="O6" s="46"/>
      <c r="P6" s="47"/>
      <c r="Q6" s="48"/>
    </row>
    <row r="7" spans="1:20" x14ac:dyDescent="0.2">
      <c r="A7" s="49"/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2"/>
      <c r="P7" s="53"/>
      <c r="Q7" s="48"/>
    </row>
    <row r="8" spans="1:20" x14ac:dyDescent="0.2">
      <c r="A8" s="49"/>
      <c r="B8" s="50"/>
      <c r="C8" s="54">
        <v>42370</v>
      </c>
      <c r="D8" s="54">
        <v>42401</v>
      </c>
      <c r="E8" s="54">
        <v>42430</v>
      </c>
      <c r="F8" s="54">
        <v>42461</v>
      </c>
      <c r="G8" s="54">
        <v>42491</v>
      </c>
      <c r="H8" s="54">
        <v>42522</v>
      </c>
      <c r="I8" s="54">
        <v>42552</v>
      </c>
      <c r="J8" s="54">
        <v>42583</v>
      </c>
      <c r="K8" s="54">
        <v>42614</v>
      </c>
      <c r="L8" s="54">
        <v>42644</v>
      </c>
      <c r="M8" s="54">
        <v>42675</v>
      </c>
      <c r="N8" s="54">
        <v>42705</v>
      </c>
      <c r="O8" s="55"/>
      <c r="P8" s="56" t="s">
        <v>43</v>
      </c>
    </row>
    <row r="9" spans="1:20" x14ac:dyDescent="0.2">
      <c r="A9" s="57" t="s">
        <v>44</v>
      </c>
      <c r="B9" s="58" t="s">
        <v>45</v>
      </c>
      <c r="C9" s="59">
        <v>-85188.33</v>
      </c>
      <c r="D9" s="60">
        <f>IF(D43=0,0,C41)</f>
        <v>-1935.3699999999371</v>
      </c>
      <c r="E9" s="60">
        <f t="shared" ref="E9:O9" si="0">IF(E43=0,0,D41)</f>
        <v>-18858.449999999953</v>
      </c>
      <c r="F9" s="60">
        <f t="shared" si="0"/>
        <v>3280.1300000000047</v>
      </c>
      <c r="G9" s="60">
        <f>IF(G43=0,0,F41)</f>
        <v>-101784.53999999995</v>
      </c>
      <c r="H9" s="60">
        <f t="shared" si="0"/>
        <v>-193628.12999999995</v>
      </c>
      <c r="I9" s="60">
        <f>IF(I43=0,0,H41)</f>
        <v>-169898.64999999991</v>
      </c>
      <c r="J9" s="60">
        <f t="shared" si="0"/>
        <v>-69969.739999999932</v>
      </c>
      <c r="K9" s="60">
        <f>IF(K43=0,0,J41)</f>
        <v>-90597.135999999882</v>
      </c>
      <c r="L9" s="60">
        <f>IF(L43=0,0,K41)</f>
        <v>36240.714000000095</v>
      </c>
      <c r="M9" s="60">
        <f>IF(M43=0,0,L41)</f>
        <v>34510.084000000148</v>
      </c>
      <c r="N9" s="60">
        <f>IF(N43=0,0,M41)</f>
        <v>49340.264000000141</v>
      </c>
      <c r="O9" s="61">
        <f t="shared" si="0"/>
        <v>0</v>
      </c>
      <c r="P9" s="61"/>
      <c r="Q9" s="62"/>
      <c r="R9" s="51"/>
      <c r="S9" s="63"/>
      <c r="T9" s="63"/>
    </row>
    <row r="10" spans="1:20" x14ac:dyDescent="0.2">
      <c r="A10" s="49" t="s">
        <v>46</v>
      </c>
      <c r="B10" s="64" t="s">
        <v>47</v>
      </c>
      <c r="C10" s="65">
        <v>481351.93</v>
      </c>
      <c r="D10" s="66">
        <v>418249.55</v>
      </c>
      <c r="E10" s="67">
        <v>372024.94</v>
      </c>
      <c r="F10" s="67">
        <v>335872.39</v>
      </c>
      <c r="G10" s="65">
        <v>364647.59</v>
      </c>
      <c r="H10" s="65">
        <v>409586.06</v>
      </c>
      <c r="I10" s="65">
        <v>445769.42</v>
      </c>
      <c r="J10" s="65">
        <v>546111.01</v>
      </c>
      <c r="K10" s="65">
        <v>402604.01</v>
      </c>
      <c r="L10" s="65">
        <v>408356.99</v>
      </c>
      <c r="M10" s="65">
        <v>453983.39</v>
      </c>
      <c r="N10" s="65">
        <v>538599.24</v>
      </c>
      <c r="O10" s="68"/>
      <c r="P10" s="69">
        <f t="shared" ref="P10:P15" si="1">SUM(C10:O10)</f>
        <v>5177156.5199999996</v>
      </c>
      <c r="Q10" s="70"/>
      <c r="R10" s="71"/>
      <c r="S10" s="63"/>
      <c r="T10" s="71"/>
    </row>
    <row r="11" spans="1:20" x14ac:dyDescent="0.2">
      <c r="A11" s="49" t="s">
        <v>48</v>
      </c>
      <c r="B11" s="64" t="s">
        <v>49</v>
      </c>
      <c r="C11" s="65">
        <v>0</v>
      </c>
      <c r="D11" s="66">
        <v>0</v>
      </c>
      <c r="E11" s="67">
        <v>0</v>
      </c>
      <c r="F11" s="67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5">
        <v>0</v>
      </c>
      <c r="M11" s="65">
        <v>0</v>
      </c>
      <c r="N11" s="65">
        <v>0</v>
      </c>
      <c r="O11" s="68"/>
      <c r="P11" s="69">
        <f t="shared" si="1"/>
        <v>0</v>
      </c>
      <c r="Q11" s="70"/>
      <c r="R11" s="72"/>
      <c r="S11" s="63"/>
      <c r="T11" s="71"/>
    </row>
    <row r="12" spans="1:20" x14ac:dyDescent="0.2">
      <c r="A12" s="49" t="s">
        <v>50</v>
      </c>
      <c r="B12" s="73" t="s">
        <v>51</v>
      </c>
      <c r="C12" s="65">
        <v>104836.42</v>
      </c>
      <c r="D12" s="66">
        <v>-57268.32</v>
      </c>
      <c r="E12" s="67">
        <v>54464.78</v>
      </c>
      <c r="F12" s="67">
        <v>-96999.74</v>
      </c>
      <c r="G12" s="65">
        <v>3690.15</v>
      </c>
      <c r="H12" s="65">
        <v>-61213.21</v>
      </c>
      <c r="I12" s="65">
        <v>93226.15</v>
      </c>
      <c r="J12" s="65">
        <v>-37774.67</v>
      </c>
      <c r="K12" s="65">
        <v>114697.73</v>
      </c>
      <c r="L12" s="65">
        <v>-53116.12</v>
      </c>
      <c r="M12" s="65">
        <v>-88497.37</v>
      </c>
      <c r="N12" s="65">
        <v>-14815.95</v>
      </c>
      <c r="O12" s="68"/>
      <c r="P12" s="69">
        <f t="shared" si="1"/>
        <v>-38770.150000000009</v>
      </c>
      <c r="Q12" s="70"/>
      <c r="R12" s="72"/>
      <c r="S12" s="63"/>
      <c r="T12" s="71"/>
    </row>
    <row r="13" spans="1:20" x14ac:dyDescent="0.2">
      <c r="A13" s="49" t="s">
        <v>52</v>
      </c>
      <c r="B13" s="73" t="s">
        <v>53</v>
      </c>
      <c r="C13" s="65">
        <v>0</v>
      </c>
      <c r="D13" s="66">
        <v>0</v>
      </c>
      <c r="E13" s="67">
        <v>0</v>
      </c>
      <c r="F13" s="67">
        <v>0</v>
      </c>
      <c r="G13" s="65">
        <v>-3393.6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  <c r="N13" s="65">
        <v>0</v>
      </c>
      <c r="O13" s="68"/>
      <c r="P13" s="69">
        <f t="shared" si="1"/>
        <v>-3393.6</v>
      </c>
      <c r="Q13" s="70"/>
      <c r="R13" s="63"/>
      <c r="S13" s="63"/>
      <c r="T13" s="63"/>
    </row>
    <row r="14" spans="1:20" x14ac:dyDescent="0.2">
      <c r="A14" s="49" t="s">
        <v>54</v>
      </c>
      <c r="B14" s="73" t="s">
        <v>55</v>
      </c>
      <c r="C14" s="65">
        <v>23.87</v>
      </c>
      <c r="D14" s="66">
        <v>5.17</v>
      </c>
      <c r="E14" s="67">
        <v>4.0599999999999996</v>
      </c>
      <c r="F14" s="67">
        <v>2.54</v>
      </c>
      <c r="G14" s="65">
        <v>0</v>
      </c>
      <c r="H14" s="65">
        <v>0</v>
      </c>
      <c r="I14" s="65">
        <v>0</v>
      </c>
      <c r="J14" s="65">
        <v>-36.43</v>
      </c>
      <c r="K14" s="65">
        <v>-0.86</v>
      </c>
      <c r="L14" s="65">
        <v>0</v>
      </c>
      <c r="M14" s="65">
        <v>-17.13</v>
      </c>
      <c r="N14" s="65">
        <v>0</v>
      </c>
      <c r="O14" s="68"/>
      <c r="P14" s="69">
        <f t="shared" si="1"/>
        <v>-18.779999999999998</v>
      </c>
      <c r="Q14" s="70"/>
      <c r="R14" s="72"/>
      <c r="S14" s="63"/>
      <c r="T14" s="71"/>
    </row>
    <row r="15" spans="1:20" x14ac:dyDescent="0.2">
      <c r="A15" s="49" t="s">
        <v>56</v>
      </c>
      <c r="B15" s="73" t="s">
        <v>57</v>
      </c>
      <c r="C15" s="65">
        <v>0</v>
      </c>
      <c r="D15" s="66">
        <v>0</v>
      </c>
      <c r="E15" s="67">
        <v>0</v>
      </c>
      <c r="F15" s="67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8"/>
      <c r="P15" s="69">
        <f t="shared" si="1"/>
        <v>0</v>
      </c>
      <c r="Q15" s="70"/>
      <c r="R15" s="72"/>
      <c r="S15" s="63"/>
      <c r="T15" s="71"/>
    </row>
    <row r="16" spans="1:20" x14ac:dyDescent="0.2">
      <c r="A16" s="49"/>
      <c r="B16" s="73"/>
      <c r="C16" s="65"/>
      <c r="D16" s="66"/>
      <c r="E16" s="67"/>
      <c r="F16" s="67"/>
      <c r="G16" s="65"/>
      <c r="H16" s="65"/>
      <c r="I16" s="65"/>
      <c r="J16" s="65"/>
      <c r="K16" s="65">
        <v>0</v>
      </c>
      <c r="L16" s="65"/>
      <c r="M16" s="65"/>
      <c r="N16" s="65"/>
      <c r="O16" s="68"/>
      <c r="P16" s="69"/>
      <c r="Q16" s="70"/>
      <c r="R16" s="72"/>
      <c r="S16" s="63"/>
      <c r="T16" s="71"/>
    </row>
    <row r="17" spans="1:20" x14ac:dyDescent="0.2">
      <c r="A17" s="49" t="s">
        <v>58</v>
      </c>
      <c r="B17" s="73" t="s">
        <v>59</v>
      </c>
      <c r="C17" s="65">
        <v>5952.41</v>
      </c>
      <c r="D17" s="66">
        <v>4587.24</v>
      </c>
      <c r="E17" s="67">
        <v>5038.57</v>
      </c>
      <c r="F17" s="67">
        <v>5006.8</v>
      </c>
      <c r="G17" s="65">
        <v>4533.79</v>
      </c>
      <c r="H17" s="65">
        <v>3427.27</v>
      </c>
      <c r="I17" s="65">
        <v>4436.91</v>
      </c>
      <c r="J17" s="65">
        <v>2738.6</v>
      </c>
      <c r="K17" s="65">
        <v>3189.28</v>
      </c>
      <c r="L17" s="65">
        <v>3039.28</v>
      </c>
      <c r="M17" s="65">
        <v>5598.24</v>
      </c>
      <c r="N17" s="65">
        <v>7143.15</v>
      </c>
      <c r="O17" s="68"/>
      <c r="P17" s="69">
        <f>SUM(C17:O17)</f>
        <v>54691.54</v>
      </c>
      <c r="Q17" s="70"/>
      <c r="R17" s="72"/>
      <c r="S17" s="63"/>
      <c r="T17" s="71"/>
    </row>
    <row r="18" spans="1:20" hidden="1" x14ac:dyDescent="0.2">
      <c r="A18" s="49"/>
      <c r="B18" s="6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>
        <f t="shared" ref="O18" si="2">SUM(O10:O17)</f>
        <v>0</v>
      </c>
      <c r="P18" s="75"/>
      <c r="Q18" s="62"/>
      <c r="R18" s="71"/>
      <c r="S18" s="63"/>
      <c r="T18" s="71"/>
    </row>
    <row r="19" spans="1:20" hidden="1" x14ac:dyDescent="0.2">
      <c r="O19" s="76"/>
    </row>
    <row r="20" spans="1:20" hidden="1" x14ac:dyDescent="0.2">
      <c r="A20" s="49" t="s">
        <v>60</v>
      </c>
      <c r="B20" s="73" t="s">
        <v>61</v>
      </c>
      <c r="C20" s="65">
        <v>0</v>
      </c>
      <c r="D20" s="66"/>
      <c r="E20" s="67">
        <v>0</v>
      </c>
      <c r="F20" s="67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8"/>
      <c r="P20" s="69">
        <f>SUM(C20:O20)</f>
        <v>0</v>
      </c>
      <c r="Q20" s="70"/>
      <c r="R20" s="63"/>
      <c r="S20" s="71"/>
      <c r="T20" s="63"/>
    </row>
    <row r="21" spans="1:20" hidden="1" x14ac:dyDescent="0.2">
      <c r="A21" s="49"/>
      <c r="B21" s="50"/>
      <c r="C21" s="77">
        <f>SUM(C20)</f>
        <v>0</v>
      </c>
      <c r="D21" s="77">
        <f t="shared" ref="D21:N21" si="3">SUM(D20)</f>
        <v>0</v>
      </c>
      <c r="E21" s="77">
        <f t="shared" si="3"/>
        <v>0</v>
      </c>
      <c r="F21" s="77">
        <f t="shared" si="3"/>
        <v>0</v>
      </c>
      <c r="G21" s="77">
        <f t="shared" si="3"/>
        <v>0</v>
      </c>
      <c r="H21" s="77">
        <f t="shared" si="3"/>
        <v>0</v>
      </c>
      <c r="I21" s="77">
        <f t="shared" si="3"/>
        <v>0</v>
      </c>
      <c r="J21" s="77">
        <f t="shared" si="3"/>
        <v>0</v>
      </c>
      <c r="K21" s="77">
        <f t="shared" si="3"/>
        <v>0</v>
      </c>
      <c r="L21" s="77">
        <f t="shared" si="3"/>
        <v>0</v>
      </c>
      <c r="M21" s="77">
        <f t="shared" si="3"/>
        <v>0</v>
      </c>
      <c r="N21" s="77">
        <f t="shared" si="3"/>
        <v>0</v>
      </c>
      <c r="O21" s="78">
        <f>SUM(O12:O20)</f>
        <v>0</v>
      </c>
      <c r="P21" s="69"/>
      <c r="Q21" s="62"/>
    </row>
    <row r="22" spans="1:20" x14ac:dyDescent="0.2">
      <c r="A22" s="79" t="s">
        <v>62</v>
      </c>
      <c r="B22" s="80"/>
      <c r="C22" s="81">
        <f t="shared" ref="C22:N22" si="4">SUM(C10:C17)</f>
        <v>592164.63</v>
      </c>
      <c r="D22" s="81">
        <f t="shared" si="4"/>
        <v>365573.63999999996</v>
      </c>
      <c r="E22" s="81">
        <f t="shared" si="4"/>
        <v>431532.35</v>
      </c>
      <c r="F22" s="81">
        <f t="shared" si="4"/>
        <v>243881.99000000002</v>
      </c>
      <c r="G22" s="81">
        <f t="shared" si="4"/>
        <v>369477.93000000005</v>
      </c>
      <c r="H22" s="81">
        <f t="shared" si="4"/>
        <v>351800.12</v>
      </c>
      <c r="I22" s="81">
        <f t="shared" si="4"/>
        <v>543432.48</v>
      </c>
      <c r="J22" s="81">
        <f t="shared" si="4"/>
        <v>511038.51</v>
      </c>
      <c r="K22" s="81">
        <f t="shared" si="4"/>
        <v>520490.16000000003</v>
      </c>
      <c r="L22" s="81">
        <f t="shared" si="4"/>
        <v>358280.15</v>
      </c>
      <c r="M22" s="81">
        <f t="shared" si="4"/>
        <v>371067.13</v>
      </c>
      <c r="N22" s="81">
        <f t="shared" si="4"/>
        <v>530926.43999999994</v>
      </c>
      <c r="O22" s="82">
        <f>+O18+O21</f>
        <v>0</v>
      </c>
      <c r="P22" s="82">
        <f>SUM(P10:P17)</f>
        <v>5189665.5299999993</v>
      </c>
      <c r="Q22" s="62"/>
    </row>
    <row r="23" spans="1:20" x14ac:dyDescent="0.2">
      <c r="A23" s="49" t="s">
        <v>63</v>
      </c>
      <c r="B23" s="50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83"/>
      <c r="P23" s="69"/>
      <c r="Q23" s="62"/>
    </row>
    <row r="24" spans="1:20" x14ac:dyDescent="0.2">
      <c r="A24" s="84" t="s">
        <v>64</v>
      </c>
      <c r="B24" s="85" t="s">
        <v>65</v>
      </c>
      <c r="C24" s="86">
        <v>-258184.95</v>
      </c>
      <c r="D24" s="65">
        <v>-280556.24</v>
      </c>
      <c r="E24" s="67">
        <v>-256368.53</v>
      </c>
      <c r="F24" s="65">
        <v>-241423.15</v>
      </c>
      <c r="G24" s="65">
        <v>-215478.42</v>
      </c>
      <c r="H24" s="65">
        <v>-192076.32</v>
      </c>
      <c r="I24" s="65">
        <v>-194360.46</v>
      </c>
      <c r="J24" s="65">
        <v>-230052.5</v>
      </c>
      <c r="K24" s="65">
        <v>-242730.31</v>
      </c>
      <c r="L24" s="65">
        <v>-193685.73</v>
      </c>
      <c r="M24" s="65">
        <v>-199078.25</v>
      </c>
      <c r="N24" s="65">
        <v>-226383.4</v>
      </c>
      <c r="O24" s="68"/>
      <c r="P24" s="69">
        <f t="shared" ref="P24:P30" si="5">SUM(C24:O24)</f>
        <v>-2730378.26</v>
      </c>
      <c r="Q24" s="70"/>
    </row>
    <row r="25" spans="1:20" x14ac:dyDescent="0.2">
      <c r="A25" s="84" t="s">
        <v>66</v>
      </c>
      <c r="B25" s="85" t="s">
        <v>67</v>
      </c>
      <c r="C25" s="86">
        <v>-669.36</v>
      </c>
      <c r="D25" s="65">
        <v>-1008.79</v>
      </c>
      <c r="E25" s="67">
        <v>-812.01</v>
      </c>
      <c r="F25" s="65">
        <v>-306.76</v>
      </c>
      <c r="G25" s="65">
        <v>-244.25</v>
      </c>
      <c r="H25" s="65">
        <v>-521.08000000000004</v>
      </c>
      <c r="I25" s="65">
        <v>-625.87</v>
      </c>
      <c r="J25" s="65">
        <v>-675.1</v>
      </c>
      <c r="K25" s="65">
        <v>-1166.31</v>
      </c>
      <c r="L25" s="65">
        <v>-620.57000000000005</v>
      </c>
      <c r="M25" s="65">
        <v>-621.42999999999995</v>
      </c>
      <c r="N25" s="65">
        <v>-1027.82</v>
      </c>
      <c r="O25" s="68"/>
      <c r="P25" s="69">
        <f t="shared" si="5"/>
        <v>-8299.35</v>
      </c>
      <c r="Q25" s="70"/>
    </row>
    <row r="26" spans="1:20" x14ac:dyDescent="0.2">
      <c r="A26" s="84" t="s">
        <v>68</v>
      </c>
      <c r="B26" s="85" t="s">
        <v>69</v>
      </c>
      <c r="C26" s="86">
        <v>-184.24</v>
      </c>
      <c r="D26" s="65">
        <v>-179.35</v>
      </c>
      <c r="E26" s="67">
        <v>-179.35</v>
      </c>
      <c r="F26" s="65">
        <v>-179.35</v>
      </c>
      <c r="G26" s="65">
        <v>-180.2</v>
      </c>
      <c r="H26" s="65">
        <v>-185.54</v>
      </c>
      <c r="I26" s="65">
        <v>-185.56</v>
      </c>
      <c r="J26" s="65">
        <v>-185.56</v>
      </c>
      <c r="K26" s="65">
        <v>-185.56</v>
      </c>
      <c r="L26" s="65">
        <v>-185.56</v>
      </c>
      <c r="M26" s="65">
        <v>-183.03</v>
      </c>
      <c r="N26" s="65">
        <v>-160.26</v>
      </c>
      <c r="O26" s="68"/>
      <c r="P26" s="69">
        <f t="shared" si="5"/>
        <v>-2173.5599999999995</v>
      </c>
      <c r="Q26" s="70"/>
    </row>
    <row r="27" spans="1:20" x14ac:dyDescent="0.2">
      <c r="A27" s="87" t="s">
        <v>70</v>
      </c>
      <c r="B27" s="85" t="s">
        <v>71</v>
      </c>
      <c r="C27" s="86">
        <v>-138618.26999999999</v>
      </c>
      <c r="D27" s="65">
        <v>-163302.37</v>
      </c>
      <c r="E27" s="67">
        <v>-148357.01</v>
      </c>
      <c r="F27" s="65">
        <v>-128466.11</v>
      </c>
      <c r="G27" s="65">
        <v>-118571.19</v>
      </c>
      <c r="H27" s="65">
        <v>-129544.92</v>
      </c>
      <c r="I27" s="65">
        <v>-154812.37</v>
      </c>
      <c r="J27" s="65">
        <v>-159784.06</v>
      </c>
      <c r="K27" s="65">
        <v>-217848.86</v>
      </c>
      <c r="L27" s="65">
        <v>-152567.35999999999</v>
      </c>
      <c r="M27" s="65">
        <v>-135741.85</v>
      </c>
      <c r="N27" s="65">
        <v>-154122.5</v>
      </c>
      <c r="O27" s="68"/>
      <c r="P27" s="69">
        <f t="shared" si="5"/>
        <v>-1801736.87</v>
      </c>
      <c r="Q27" s="70"/>
    </row>
    <row r="28" spans="1:20" x14ac:dyDescent="0.2">
      <c r="A28" s="87" t="s">
        <v>72</v>
      </c>
      <c r="B28" s="85" t="s">
        <v>73</v>
      </c>
      <c r="C28" s="86">
        <v>-24509.93</v>
      </c>
      <c r="D28" s="65">
        <v>-34542.870000000003</v>
      </c>
      <c r="E28" s="67">
        <v>-28414.28</v>
      </c>
      <c r="F28" s="65">
        <v>-13699.33</v>
      </c>
      <c r="G28" s="65">
        <v>-13835.14</v>
      </c>
      <c r="H28" s="65">
        <v>-25877.22</v>
      </c>
      <c r="I28" s="65">
        <v>-46827.040000000001</v>
      </c>
      <c r="J28" s="65">
        <v>-53274.53</v>
      </c>
      <c r="K28" s="65">
        <v>-79934.94</v>
      </c>
      <c r="L28" s="65">
        <v>-42154.61</v>
      </c>
      <c r="M28" s="65">
        <v>-29853.7</v>
      </c>
      <c r="N28" s="65">
        <v>-37591.339999999997</v>
      </c>
      <c r="O28" s="68"/>
      <c r="P28" s="69">
        <f t="shared" si="5"/>
        <v>-430514.93000000005</v>
      </c>
      <c r="Q28" s="70"/>
    </row>
    <row r="29" spans="1:20" x14ac:dyDescent="0.2">
      <c r="A29" s="164" t="s">
        <v>74</v>
      </c>
      <c r="B29" s="165"/>
      <c r="C29" s="110">
        <f>-'2016 RSVA 1589 GA'!D36</f>
        <v>-31387.66</v>
      </c>
      <c r="D29" s="110">
        <f>-'2016 RSVA 1589 GA'!E36</f>
        <v>154121.65</v>
      </c>
      <c r="E29" s="110">
        <f>-'2016 RSVA 1589 GA'!F36</f>
        <v>-89022.22</v>
      </c>
      <c r="F29" s="110">
        <f>-'2016 RSVA 1589 GA'!G36</f>
        <v>67982.33</v>
      </c>
      <c r="G29" s="110">
        <f>-'2016 RSVA 1589 GA'!H36</f>
        <v>-55705.49</v>
      </c>
      <c r="H29" s="110">
        <f>-'2016 RSVA 1589 GA'!I36</f>
        <v>140506.53</v>
      </c>
      <c r="I29" s="110">
        <f>-'2016 RSVA 1589 GA'!J36</f>
        <v>-215473.46</v>
      </c>
      <c r="J29" s="110">
        <f>-'2016 RSVA 1589 GA'!K36</f>
        <v>141917.74400000001</v>
      </c>
      <c r="K29" s="110">
        <f>-'2016 RSVA 1589 GA'!L36</f>
        <v>-112663.56</v>
      </c>
      <c r="L29" s="110">
        <f>-'2016 RSVA 1589 GA'!M36</f>
        <v>155162.26</v>
      </c>
      <c r="M29" s="110">
        <f>-'2016 RSVA 1589 GA'!N36</f>
        <v>87138.04</v>
      </c>
      <c r="N29" s="110">
        <f>-'2016 RSVA 1589 GA'!O36</f>
        <v>-9766.6</v>
      </c>
      <c r="O29" s="68"/>
      <c r="P29" s="69"/>
      <c r="Q29" s="70"/>
    </row>
    <row r="30" spans="1:20" s="93" customFormat="1" x14ac:dyDescent="0.2">
      <c r="A30" s="88" t="s">
        <v>75</v>
      </c>
      <c r="B30" s="90" t="s">
        <v>76</v>
      </c>
      <c r="C30" s="89">
        <v>-55357.26</v>
      </c>
      <c r="D30" s="89">
        <v>-57028.75</v>
      </c>
      <c r="E30" s="89">
        <v>113759.63</v>
      </c>
      <c r="F30" s="89">
        <v>-32854.29</v>
      </c>
      <c r="G30" s="89">
        <v>19269.43</v>
      </c>
      <c r="H30" s="89">
        <v>-120372.09</v>
      </c>
      <c r="I30" s="89">
        <v>168781.19</v>
      </c>
      <c r="J30" s="89">
        <v>-229611.9</v>
      </c>
      <c r="K30" s="89">
        <v>260877.23</v>
      </c>
      <c r="L30" s="89">
        <v>-125959.21</v>
      </c>
      <c r="M30" s="89">
        <v>-77896.73</v>
      </c>
      <c r="N30" s="89">
        <v>-7588.48</v>
      </c>
      <c r="O30" s="91"/>
      <c r="P30" s="92">
        <f t="shared" si="5"/>
        <v>-143981.23000000001</v>
      </c>
      <c r="Q30" s="70"/>
    </row>
    <row r="31" spans="1:20" s="98" customFormat="1" hidden="1" x14ac:dyDescent="0.2">
      <c r="A31" s="94" t="s">
        <v>77</v>
      </c>
      <c r="B31" s="95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96">
        <f t="shared" ref="O31:P31" si="6">SUM(O24:O30)</f>
        <v>0</v>
      </c>
      <c r="P31" s="96">
        <f t="shared" si="6"/>
        <v>-5117084.2</v>
      </c>
      <c r="Q31" s="97"/>
    </row>
    <row r="32" spans="1:20" s="98" customFormat="1" hidden="1" x14ac:dyDescent="0.2">
      <c r="A32" s="94"/>
      <c r="B32" s="9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8"/>
      <c r="P32" s="68"/>
      <c r="Q32" s="97"/>
    </row>
    <row r="33" spans="1:18" s="100" customFormat="1" hidden="1" x14ac:dyDescent="0.2">
      <c r="A33" s="99" t="s">
        <v>78</v>
      </c>
      <c r="B33" s="85" t="s">
        <v>55</v>
      </c>
      <c r="C33" s="65">
        <v>0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65">
        <v>0</v>
      </c>
      <c r="O33" s="68"/>
      <c r="P33" s="68">
        <f>SUM(C33:O33)</f>
        <v>0</v>
      </c>
      <c r="Q33" s="70"/>
    </row>
    <row r="34" spans="1:18" hidden="1" x14ac:dyDescent="0.2">
      <c r="A34" s="101" t="s">
        <v>79</v>
      </c>
      <c r="B34" s="102" t="s">
        <v>80</v>
      </c>
      <c r="C34" s="65">
        <v>0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8"/>
      <c r="P34" s="68">
        <f>SUM(C34:O34)</f>
        <v>0</v>
      </c>
      <c r="Q34" s="70"/>
    </row>
    <row r="35" spans="1:18" ht="15" hidden="1" x14ac:dyDescent="0.25">
      <c r="A35" s="101" t="s">
        <v>56</v>
      </c>
      <c r="B35" s="102" t="s">
        <v>57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5">
        <v>0</v>
      </c>
      <c r="N35" s="65">
        <v>0</v>
      </c>
      <c r="O35" s="68"/>
      <c r="P35" s="68">
        <f>SUM(C35:O35)</f>
        <v>0</v>
      </c>
      <c r="Q35" s="70"/>
      <c r="R35" s="103"/>
    </row>
    <row r="36" spans="1:18" ht="15" hidden="1" x14ac:dyDescent="0.25">
      <c r="A36" s="101" t="s">
        <v>58</v>
      </c>
      <c r="B36" s="85" t="s">
        <v>81</v>
      </c>
      <c r="C36" s="65">
        <v>0</v>
      </c>
      <c r="D36" s="65">
        <v>0</v>
      </c>
      <c r="E36" s="65">
        <v>0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65">
        <v>0</v>
      </c>
      <c r="N36" s="65">
        <v>0</v>
      </c>
      <c r="O36" s="68"/>
      <c r="P36" s="68">
        <f>SUM(C36:O36)</f>
        <v>0</v>
      </c>
      <c r="Q36" s="70"/>
      <c r="R36" s="103"/>
    </row>
    <row r="37" spans="1:18" ht="15" hidden="1" x14ac:dyDescent="0.25">
      <c r="A37" s="101" t="s">
        <v>82</v>
      </c>
      <c r="B37" s="85" t="s">
        <v>83</v>
      </c>
      <c r="C37" s="65">
        <v>0</v>
      </c>
      <c r="D37" s="65">
        <v>0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  <c r="M37" s="65">
        <v>0</v>
      </c>
      <c r="N37" s="65">
        <v>0</v>
      </c>
      <c r="O37" s="68"/>
      <c r="P37" s="68">
        <f>SUM(C37:O37)</f>
        <v>0</v>
      </c>
      <c r="Q37" s="70"/>
      <c r="R37" s="103"/>
    </row>
    <row r="38" spans="1:18" hidden="1" x14ac:dyDescent="0.2">
      <c r="A38" s="104"/>
      <c r="B38" s="65"/>
      <c r="C38" s="105">
        <f t="shared" ref="C38:N38" si="7">SUM(C33:C37)</f>
        <v>0</v>
      </c>
      <c r="D38" s="105">
        <f t="shared" si="7"/>
        <v>0</v>
      </c>
      <c r="E38" s="105">
        <f t="shared" si="7"/>
        <v>0</v>
      </c>
      <c r="F38" s="105">
        <f t="shared" si="7"/>
        <v>0</v>
      </c>
      <c r="G38" s="105">
        <f t="shared" si="7"/>
        <v>0</v>
      </c>
      <c r="H38" s="105">
        <f t="shared" si="7"/>
        <v>0</v>
      </c>
      <c r="I38" s="105">
        <f t="shared" si="7"/>
        <v>0</v>
      </c>
      <c r="J38" s="105">
        <f t="shared" si="7"/>
        <v>0</v>
      </c>
      <c r="K38" s="105">
        <f t="shared" si="7"/>
        <v>0</v>
      </c>
      <c r="L38" s="105">
        <f t="shared" si="7"/>
        <v>0</v>
      </c>
      <c r="M38" s="105">
        <f t="shared" si="7"/>
        <v>0</v>
      </c>
      <c r="N38" s="105">
        <f t="shared" si="7"/>
        <v>0</v>
      </c>
      <c r="O38" s="106"/>
      <c r="P38" s="75">
        <f>SUM(P33:P37)</f>
        <v>0</v>
      </c>
      <c r="Q38" s="62"/>
      <c r="R38" s="48"/>
    </row>
    <row r="39" spans="1:18" s="108" customFormat="1" x14ac:dyDescent="0.2">
      <c r="A39" s="79" t="s">
        <v>84</v>
      </c>
      <c r="B39" s="80"/>
      <c r="C39" s="81">
        <f>SUM(C24:C30)</f>
        <v>-508911.66999999993</v>
      </c>
      <c r="D39" s="81">
        <f t="shared" ref="D39:N39" si="8">SUM(D24:D30)</f>
        <v>-382496.72</v>
      </c>
      <c r="E39" s="81">
        <f t="shared" si="8"/>
        <v>-409393.77</v>
      </c>
      <c r="F39" s="81">
        <f t="shared" si="8"/>
        <v>-348946.66</v>
      </c>
      <c r="G39" s="81">
        <f t="shared" si="8"/>
        <v>-384745.26000000007</v>
      </c>
      <c r="H39" s="81">
        <f t="shared" si="8"/>
        <v>-328070.63999999996</v>
      </c>
      <c r="I39" s="81">
        <f t="shared" si="8"/>
        <v>-443503.57</v>
      </c>
      <c r="J39" s="81">
        <f t="shared" si="8"/>
        <v>-531665.90599999996</v>
      </c>
      <c r="K39" s="81">
        <f t="shared" si="8"/>
        <v>-393652.31000000006</v>
      </c>
      <c r="L39" s="81">
        <f t="shared" si="8"/>
        <v>-360010.77999999997</v>
      </c>
      <c r="M39" s="81">
        <f t="shared" si="8"/>
        <v>-356236.95</v>
      </c>
      <c r="N39" s="81">
        <f t="shared" si="8"/>
        <v>-436640.39999999991</v>
      </c>
      <c r="O39" s="82">
        <f>SUM(O24:O38)-O31</f>
        <v>0</v>
      </c>
      <c r="P39" s="82">
        <f>SUM(C39:O39)</f>
        <v>-4884274.6359999999</v>
      </c>
      <c r="Q39" s="107"/>
    </row>
    <row r="40" spans="1:18" x14ac:dyDescent="0.2">
      <c r="A40" s="109"/>
      <c r="B40" s="110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83"/>
      <c r="P40" s="83">
        <f>SUM(P24:P37)-P31</f>
        <v>-5117084.2</v>
      </c>
      <c r="Q40" s="62"/>
    </row>
    <row r="41" spans="1:18" x14ac:dyDescent="0.2">
      <c r="A41" s="57" t="s">
        <v>85</v>
      </c>
      <c r="B41" s="111"/>
      <c r="C41" s="60">
        <f>+C9+C22+C39</f>
        <v>-1935.3699999999371</v>
      </c>
      <c r="D41" s="60">
        <f>+D9+D22+D39</f>
        <v>-18858.449999999953</v>
      </c>
      <c r="E41" s="60">
        <f>+E9+E22+E39</f>
        <v>3280.1300000000047</v>
      </c>
      <c r="F41" s="60">
        <f>+F9+F22+F39</f>
        <v>-101784.53999999995</v>
      </c>
      <c r="G41" s="60">
        <f>+G9+G22+G39+G44</f>
        <v>-193628.12999999995</v>
      </c>
      <c r="H41" s="60">
        <f t="shared" ref="H41:O41" si="9">+H9+H22+H39</f>
        <v>-169898.64999999991</v>
      </c>
      <c r="I41" s="60">
        <f t="shared" si="9"/>
        <v>-69969.739999999932</v>
      </c>
      <c r="J41" s="60">
        <f t="shared" si="9"/>
        <v>-90597.135999999882</v>
      </c>
      <c r="K41" s="60">
        <f t="shared" si="9"/>
        <v>36240.714000000095</v>
      </c>
      <c r="L41" s="60">
        <f t="shared" si="9"/>
        <v>34510.084000000148</v>
      </c>
      <c r="M41" s="60">
        <f t="shared" si="9"/>
        <v>49340.264000000141</v>
      </c>
      <c r="N41" s="60">
        <f t="shared" si="9"/>
        <v>143626.30400000024</v>
      </c>
      <c r="O41" s="61">
        <f t="shared" si="9"/>
        <v>0</v>
      </c>
      <c r="P41" s="61"/>
      <c r="Q41" s="62"/>
    </row>
    <row r="42" spans="1:18" x14ac:dyDescent="0.2">
      <c r="A42" s="101"/>
      <c r="B42" s="51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69"/>
      <c r="P42" s="69"/>
      <c r="Q42" s="62"/>
    </row>
    <row r="43" spans="1:18" s="150" customFormat="1" x14ac:dyDescent="0.2">
      <c r="A43" s="147" t="s">
        <v>86</v>
      </c>
      <c r="B43" s="157" t="s">
        <v>45</v>
      </c>
      <c r="C43" s="86">
        <f t="shared" ref="C43:N43" si="10">C22+C39</f>
        <v>83252.960000000079</v>
      </c>
      <c r="D43" s="86">
        <f t="shared" si="10"/>
        <v>-16923.080000000016</v>
      </c>
      <c r="E43" s="86">
        <f t="shared" si="10"/>
        <v>22138.579999999958</v>
      </c>
      <c r="F43" s="86">
        <f t="shared" si="10"/>
        <v>-105064.66999999995</v>
      </c>
      <c r="G43" s="86">
        <f t="shared" si="10"/>
        <v>-15267.330000000016</v>
      </c>
      <c r="H43" s="86">
        <f t="shared" si="10"/>
        <v>23729.48000000004</v>
      </c>
      <c r="I43" s="86">
        <f t="shared" si="10"/>
        <v>99928.909999999974</v>
      </c>
      <c r="J43" s="86">
        <f t="shared" si="10"/>
        <v>-20627.39599999995</v>
      </c>
      <c r="K43" s="86">
        <f t="shared" si="10"/>
        <v>126837.84999999998</v>
      </c>
      <c r="L43" s="86">
        <f t="shared" si="10"/>
        <v>-1730.6299999999464</v>
      </c>
      <c r="M43" s="86">
        <f t="shared" si="10"/>
        <v>14830.179999999993</v>
      </c>
      <c r="N43" s="86">
        <f t="shared" si="10"/>
        <v>94286.040000000037</v>
      </c>
      <c r="O43" s="158">
        <f>+O10+O11+O12+O13+O24+O25+O26+O27+O28</f>
        <v>0</v>
      </c>
      <c r="P43" s="83">
        <f>SUM(C43:O43)</f>
        <v>305390.8940000002</v>
      </c>
      <c r="Q43" s="70"/>
    </row>
    <row r="44" spans="1:18" s="150" customFormat="1" x14ac:dyDescent="0.2">
      <c r="A44" s="113" t="s">
        <v>142</v>
      </c>
      <c r="B44" s="157"/>
      <c r="C44" s="86"/>
      <c r="D44" s="86"/>
      <c r="E44" s="86"/>
      <c r="F44" s="86"/>
      <c r="G44" s="86">
        <v>-76576.259999999995</v>
      </c>
      <c r="H44" s="86"/>
      <c r="I44" s="86"/>
      <c r="J44" s="86"/>
      <c r="K44" s="86"/>
      <c r="L44" s="86"/>
      <c r="M44" s="86"/>
      <c r="N44" s="86"/>
      <c r="O44" s="158"/>
      <c r="P44" s="83"/>
      <c r="Q44" s="70"/>
    </row>
    <row r="45" spans="1:18" s="114" customFormat="1" x14ac:dyDescent="0.2"/>
    <row r="46" spans="1:18" s="114" customFormat="1" x14ac:dyDescent="0.2"/>
    <row r="47" spans="1:18" s="114" customFormat="1" x14ac:dyDescent="0.2"/>
    <row r="48" spans="1:18" s="114" customFormat="1" x14ac:dyDescent="0.2"/>
    <row r="49" s="114" customFormat="1" x14ac:dyDescent="0.2"/>
    <row r="50" s="114" customFormat="1" x14ac:dyDescent="0.2"/>
    <row r="51" s="114" customFormat="1" x14ac:dyDescent="0.2"/>
    <row r="52" s="114" customFormat="1" x14ac:dyDescent="0.2"/>
    <row r="53" s="114" customFormat="1" x14ac:dyDescent="0.2"/>
    <row r="54" s="114" customFormat="1" x14ac:dyDescent="0.2"/>
    <row r="55" s="114" customFormat="1" x14ac:dyDescent="0.2"/>
    <row r="56" s="114" customFormat="1" x14ac:dyDescent="0.2"/>
    <row r="57" s="114" customFormat="1" x14ac:dyDescent="0.2"/>
    <row r="58" s="114" customFormat="1" x14ac:dyDescent="0.2"/>
    <row r="59" s="114" customFormat="1" x14ac:dyDescent="0.2"/>
    <row r="60" s="114" customFormat="1" x14ac:dyDescent="0.2"/>
    <row r="61" s="114" customFormat="1" x14ac:dyDescent="0.2"/>
    <row r="62" s="114" customFormat="1" x14ac:dyDescent="0.2"/>
    <row r="63" s="114" customFormat="1" x14ac:dyDescent="0.2"/>
    <row r="64" s="114" customFormat="1" x14ac:dyDescent="0.2"/>
    <row r="65" s="114" customFormat="1" x14ac:dyDescent="0.2"/>
  </sheetData>
  <mergeCells count="1">
    <mergeCell ref="A1:P1"/>
  </mergeCells>
  <printOptions horizontalCentered="1"/>
  <pageMargins left="0.7" right="0.7" top="0.75" bottom="0.75" header="0.3" footer="0.3"/>
  <pageSetup scale="41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Normal="100" workbookViewId="0">
      <pane xSplit="3" ySplit="8" topLeftCell="D12" activePane="bottomRight" state="frozen"/>
      <selection activeCell="F42" sqref="F42"/>
      <selection pane="topRight" activeCell="F42" sqref="F42"/>
      <selection pane="bottomLeft" activeCell="F42" sqref="F42"/>
      <selection pane="bottomRight" activeCell="E37" sqref="E37"/>
    </sheetView>
  </sheetViews>
  <sheetFormatPr defaultRowHeight="12.75" x14ac:dyDescent="0.2"/>
  <cols>
    <col min="1" max="1" width="9.5703125" style="38" customWidth="1"/>
    <col min="2" max="2" width="42.85546875" style="38" customWidth="1"/>
    <col min="3" max="3" width="27.28515625" style="38" customWidth="1"/>
    <col min="4" max="4" width="15.42578125" style="38" customWidth="1"/>
    <col min="5" max="5" width="16.140625" style="38" customWidth="1"/>
    <col min="6" max="6" width="14.28515625" style="38" customWidth="1"/>
    <col min="7" max="12" width="14.42578125" style="38" customWidth="1"/>
    <col min="13" max="14" width="14.28515625" style="38" customWidth="1"/>
    <col min="15" max="15" width="15" style="38" customWidth="1"/>
    <col min="16" max="16" width="15.85546875" style="38" customWidth="1"/>
    <col min="17" max="16384" width="9.140625" style="38"/>
  </cols>
  <sheetData>
    <row r="1" spans="1:16" ht="23.25" x14ac:dyDescent="0.35">
      <c r="A1" s="115"/>
      <c r="B1" s="174" t="s">
        <v>143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</row>
    <row r="2" spans="1:16" ht="23.25" x14ac:dyDescent="0.35">
      <c r="A2" s="11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x14ac:dyDescent="0.2">
      <c r="B3" s="38" t="s">
        <v>37</v>
      </c>
      <c r="D3" s="40">
        <v>1.0999999999999999E-2</v>
      </c>
      <c r="E3" s="41" t="s">
        <v>138</v>
      </c>
      <c r="F3" s="37"/>
      <c r="G3" s="42">
        <v>1.0999999999999999E-2</v>
      </c>
      <c r="H3" s="41" t="s">
        <v>139</v>
      </c>
      <c r="I3" s="37"/>
      <c r="J3" s="40">
        <v>1.0999999999999999E-2</v>
      </c>
      <c r="K3" s="41" t="s">
        <v>140</v>
      </c>
      <c r="L3" s="37"/>
      <c r="M3" s="40">
        <v>1.0999999999999999E-2</v>
      </c>
      <c r="N3" s="41" t="s">
        <v>141</v>
      </c>
    </row>
    <row r="4" spans="1:16" x14ac:dyDescent="0.2">
      <c r="B4" s="38" t="s">
        <v>42</v>
      </c>
      <c r="D4" s="43">
        <f>+D3/12</f>
        <v>9.1666666666666665E-4</v>
      </c>
      <c r="E4" s="37"/>
      <c r="F4" s="37"/>
      <c r="G4" s="43">
        <f>+G3/12</f>
        <v>9.1666666666666665E-4</v>
      </c>
      <c r="H4" s="37"/>
      <c r="I4" s="37"/>
      <c r="J4" s="43">
        <f>+J3/12</f>
        <v>9.1666666666666665E-4</v>
      </c>
      <c r="K4" s="37"/>
      <c r="M4" s="43">
        <f>+M3/12</f>
        <v>9.1666666666666665E-4</v>
      </c>
      <c r="N4" s="37"/>
    </row>
    <row r="5" spans="1:16" ht="13.5" thickBot="1" x14ac:dyDescent="0.25"/>
    <row r="6" spans="1:16" ht="18" x14ac:dyDescent="0.25">
      <c r="A6" s="48"/>
      <c r="B6" s="153" t="s">
        <v>144</v>
      </c>
      <c r="C6" s="154"/>
      <c r="D6" s="155"/>
      <c r="E6" s="155"/>
      <c r="F6" s="155"/>
      <c r="G6" s="156"/>
      <c r="H6" s="156"/>
      <c r="I6" s="156"/>
      <c r="J6" s="117"/>
      <c r="K6" s="117"/>
      <c r="L6" s="117"/>
      <c r="M6" s="117"/>
      <c r="N6" s="117"/>
      <c r="O6" s="117"/>
      <c r="P6" s="118"/>
    </row>
    <row r="7" spans="1:16" x14ac:dyDescent="0.2">
      <c r="A7" s="48"/>
      <c r="B7" s="119"/>
      <c r="C7" s="120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121"/>
    </row>
    <row r="8" spans="1:16" x14ac:dyDescent="0.2">
      <c r="A8" s="48"/>
      <c r="B8" s="119"/>
      <c r="C8" s="120"/>
      <c r="D8" s="54">
        <v>42370</v>
      </c>
      <c r="E8" s="54">
        <v>42401</v>
      </c>
      <c r="F8" s="54">
        <v>42430</v>
      </c>
      <c r="G8" s="54">
        <v>42461</v>
      </c>
      <c r="H8" s="54">
        <v>42491</v>
      </c>
      <c r="I8" s="54">
        <v>42522</v>
      </c>
      <c r="J8" s="54">
        <v>42552</v>
      </c>
      <c r="K8" s="54">
        <v>42583</v>
      </c>
      <c r="L8" s="54">
        <v>42614</v>
      </c>
      <c r="M8" s="54">
        <v>42644</v>
      </c>
      <c r="N8" s="54">
        <v>42675</v>
      </c>
      <c r="O8" s="54">
        <v>42705</v>
      </c>
      <c r="P8" s="122" t="s">
        <v>43</v>
      </c>
    </row>
    <row r="9" spans="1:16" ht="15" x14ac:dyDescent="0.25">
      <c r="A9" s="48"/>
      <c r="B9" s="123" t="s">
        <v>44</v>
      </c>
      <c r="C9" s="64" t="s">
        <v>91</v>
      </c>
      <c r="D9" s="124">
        <v>389570.82</v>
      </c>
      <c r="E9" s="124">
        <f>IF(E41=0,0,D39)</f>
        <v>332747.05000000005</v>
      </c>
      <c r="F9" s="124">
        <f t="shared" ref="F9:N9" si="0">IF(F41=0,0,E39)</f>
        <v>253338.77999999991</v>
      </c>
      <c r="G9" s="124">
        <f t="shared" si="0"/>
        <v>372365.34999999986</v>
      </c>
      <c r="H9" s="124">
        <f>IF(H41=0,0,G39)</f>
        <v>419792.32999999996</v>
      </c>
      <c r="I9" s="124">
        <f t="shared" si="0"/>
        <v>243634.72000000015</v>
      </c>
      <c r="J9" s="124">
        <f>IF(J41=0,0,I39)</f>
        <v>84308.630000000121</v>
      </c>
      <c r="K9" s="124">
        <f t="shared" si="0"/>
        <v>21490.619999999995</v>
      </c>
      <c r="L9" s="124">
        <f t="shared" si="0"/>
        <v>-126300.21399999998</v>
      </c>
      <c r="M9" s="124">
        <f>IF(M41=0,0,L39)</f>
        <v>2404.0959999999031</v>
      </c>
      <c r="N9" s="124">
        <f t="shared" si="0"/>
        <v>92937.235999999917</v>
      </c>
      <c r="O9" s="124">
        <f>IF(O41=0,0,N39)</f>
        <v>73377.205999999889</v>
      </c>
      <c r="P9" s="125"/>
    </row>
    <row r="10" spans="1:16" ht="15" x14ac:dyDescent="0.25">
      <c r="A10" s="48"/>
      <c r="B10" s="119" t="s">
        <v>92</v>
      </c>
      <c r="C10" s="120"/>
      <c r="D10" s="126"/>
      <c r="E10" s="126"/>
      <c r="F10" s="126"/>
      <c r="G10" s="126"/>
      <c r="H10" s="126"/>
      <c r="I10" s="126"/>
      <c r="J10" s="126"/>
      <c r="K10" s="126"/>
      <c r="L10" s="126"/>
      <c r="M10" s="127"/>
      <c r="N10" s="127"/>
      <c r="O10" s="127"/>
      <c r="P10" s="128"/>
    </row>
    <row r="11" spans="1:16" ht="15" x14ac:dyDescent="0.25">
      <c r="A11" s="48"/>
      <c r="B11" s="99" t="s">
        <v>93</v>
      </c>
      <c r="C11" s="64" t="s">
        <v>94</v>
      </c>
      <c r="D11" s="66">
        <v>567242.26</v>
      </c>
      <c r="E11" s="66">
        <v>613573.75</v>
      </c>
      <c r="F11" s="65">
        <v>666509.46</v>
      </c>
      <c r="G11" s="127">
        <v>689582.84</v>
      </c>
      <c r="H11" s="127">
        <v>650396.16000000003</v>
      </c>
      <c r="I11" s="127">
        <v>584009.5</v>
      </c>
      <c r="J11" s="127">
        <v>445500.15999999997</v>
      </c>
      <c r="K11" s="127">
        <v>458997.32</v>
      </c>
      <c r="L11" s="127">
        <v>606165.57999999996</v>
      </c>
      <c r="M11" s="127">
        <v>718020.92</v>
      </c>
      <c r="N11" s="127">
        <v>708318.36</v>
      </c>
      <c r="O11" s="127">
        <v>490758.85</v>
      </c>
      <c r="P11" s="128">
        <f>SUM(D11:O11)</f>
        <v>7199075.1600000001</v>
      </c>
    </row>
    <row r="12" spans="1:16" ht="15.75" thickBot="1" x14ac:dyDescent="0.3">
      <c r="A12" s="48"/>
      <c r="B12" s="129"/>
      <c r="C12" s="130"/>
      <c r="D12" s="131"/>
      <c r="E12" s="131"/>
      <c r="F12" s="132"/>
      <c r="G12" s="133"/>
      <c r="H12" s="133"/>
      <c r="I12" s="133"/>
      <c r="J12" s="133"/>
      <c r="K12" s="133"/>
      <c r="L12" s="133"/>
      <c r="M12" s="133"/>
      <c r="N12" s="133"/>
      <c r="O12" s="133"/>
      <c r="P12" s="128">
        <f>SUM(D12:O12)</f>
        <v>0</v>
      </c>
    </row>
    <row r="13" spans="1:16" ht="15" x14ac:dyDescent="0.25">
      <c r="A13" s="48"/>
      <c r="B13" s="134" t="s">
        <v>95</v>
      </c>
      <c r="C13" s="135"/>
      <c r="D13" s="124">
        <f>SUM(D11:D12)</f>
        <v>567242.26</v>
      </c>
      <c r="E13" s="124">
        <f t="shared" ref="E13:O13" si="1">SUM(E11:E12)</f>
        <v>613573.75</v>
      </c>
      <c r="F13" s="124">
        <f t="shared" si="1"/>
        <v>666509.46</v>
      </c>
      <c r="G13" s="124">
        <f t="shared" si="1"/>
        <v>689582.84</v>
      </c>
      <c r="H13" s="124">
        <f t="shared" si="1"/>
        <v>650396.16000000003</v>
      </c>
      <c r="I13" s="124">
        <f t="shared" si="1"/>
        <v>584009.5</v>
      </c>
      <c r="J13" s="124">
        <f t="shared" si="1"/>
        <v>445500.15999999997</v>
      </c>
      <c r="K13" s="124">
        <f t="shared" si="1"/>
        <v>458997.32</v>
      </c>
      <c r="L13" s="124">
        <f t="shared" si="1"/>
        <v>606165.57999999996</v>
      </c>
      <c r="M13" s="124">
        <f t="shared" si="1"/>
        <v>718020.92</v>
      </c>
      <c r="N13" s="124">
        <f t="shared" si="1"/>
        <v>708318.36</v>
      </c>
      <c r="O13" s="124">
        <f t="shared" si="1"/>
        <v>490758.85</v>
      </c>
      <c r="P13" s="136">
        <f>SUM(P11:P12)</f>
        <v>7199075.1600000001</v>
      </c>
    </row>
    <row r="14" spans="1:16" ht="15" x14ac:dyDescent="0.25">
      <c r="A14" s="48"/>
      <c r="B14" s="137" t="s">
        <v>63</v>
      </c>
      <c r="C14" s="138"/>
      <c r="D14" s="126"/>
      <c r="E14" s="126"/>
      <c r="F14" s="126"/>
      <c r="G14" s="126"/>
      <c r="H14" s="127"/>
      <c r="I14" s="127"/>
      <c r="J14" s="127"/>
      <c r="K14" s="127"/>
      <c r="L14" s="127"/>
      <c r="M14" s="127"/>
      <c r="N14" s="127"/>
      <c r="O14" s="127"/>
      <c r="P14" s="128"/>
    </row>
    <row r="15" spans="1:16" ht="15" x14ac:dyDescent="0.25">
      <c r="B15" s="99"/>
      <c r="C15" s="64"/>
      <c r="D15" s="126"/>
      <c r="E15" s="126"/>
      <c r="F15" s="126"/>
      <c r="G15" s="126"/>
      <c r="H15" s="127"/>
      <c r="I15" s="127"/>
      <c r="J15" s="127"/>
      <c r="K15" s="127"/>
      <c r="L15" s="127"/>
      <c r="M15" s="127"/>
      <c r="N15" s="127"/>
      <c r="O15" s="127"/>
      <c r="P15" s="128"/>
    </row>
    <row r="16" spans="1:16" ht="15" x14ac:dyDescent="0.25">
      <c r="B16" s="139" t="s">
        <v>96</v>
      </c>
      <c r="C16" s="85" t="s">
        <v>97</v>
      </c>
      <c r="D16" s="65">
        <v>-369957.63</v>
      </c>
      <c r="E16" s="65">
        <v>-302490.89</v>
      </c>
      <c r="F16" s="65">
        <v>-356973.67</v>
      </c>
      <c r="G16" s="65">
        <v>-323361.21999999997</v>
      </c>
      <c r="H16" s="65">
        <v>-416878.28</v>
      </c>
      <c r="I16" s="127">
        <v>-291371.94</v>
      </c>
      <c r="J16" s="127">
        <v>-334149.08</v>
      </c>
      <c r="K16" s="127">
        <v>-191348.84</v>
      </c>
      <c r="L16" s="127">
        <v>-274275.12</v>
      </c>
      <c r="M16" s="127">
        <v>-223168.98</v>
      </c>
      <c r="N16" s="127">
        <v>-302781.89</v>
      </c>
      <c r="O16" s="127">
        <v>-377392.02</v>
      </c>
      <c r="P16" s="140">
        <f t="shared" ref="P16:P35" si="2">SUM(D16:O16)</f>
        <v>-3764149.56</v>
      </c>
    </row>
    <row r="17" spans="2:16" ht="15" x14ac:dyDescent="0.25">
      <c r="B17" s="139" t="s">
        <v>98</v>
      </c>
      <c r="C17" s="85" t="s">
        <v>99</v>
      </c>
      <c r="D17" s="65">
        <v>-26488.98</v>
      </c>
      <c r="E17" s="65">
        <v>-21658.33</v>
      </c>
      <c r="F17" s="65">
        <v>-25559.33</v>
      </c>
      <c r="G17" s="65">
        <v>-23152.67</v>
      </c>
      <c r="H17" s="65">
        <v>-29848.48</v>
      </c>
      <c r="I17" s="127">
        <v>-19128.21</v>
      </c>
      <c r="J17" s="127">
        <v>-21920.17</v>
      </c>
      <c r="K17" s="127">
        <v>-12552.46</v>
      </c>
      <c r="L17" s="127">
        <v>-17992.45</v>
      </c>
      <c r="M17" s="127">
        <v>-14639.87</v>
      </c>
      <c r="N17" s="127">
        <v>-19862.48</v>
      </c>
      <c r="O17" s="127">
        <v>-24756.91</v>
      </c>
      <c r="P17" s="140">
        <f t="shared" si="2"/>
        <v>-257560.34</v>
      </c>
    </row>
    <row r="18" spans="2:16" ht="15" x14ac:dyDescent="0.25">
      <c r="B18" s="139" t="s">
        <v>100</v>
      </c>
      <c r="C18" s="85" t="s">
        <v>101</v>
      </c>
      <c r="D18" s="65">
        <v>-7297.91</v>
      </c>
      <c r="E18" s="65">
        <v>-6606.19</v>
      </c>
      <c r="F18" s="65">
        <v>-7659.59</v>
      </c>
      <c r="G18" s="65">
        <v>-5995.99</v>
      </c>
      <c r="H18" s="65">
        <v>-8186.87</v>
      </c>
      <c r="I18" s="127">
        <v>-6785.01</v>
      </c>
      <c r="J18" s="127">
        <v>-8204.57</v>
      </c>
      <c r="K18" s="127">
        <v>-3485.84</v>
      </c>
      <c r="L18" s="127">
        <v>-3419.33</v>
      </c>
      <c r="M18" s="127">
        <v>-5001.8100000000004</v>
      </c>
      <c r="N18" s="127">
        <v>-6316.87</v>
      </c>
      <c r="O18" s="127">
        <v>-9525.17</v>
      </c>
      <c r="P18" s="140">
        <f t="shared" si="2"/>
        <v>-78485.149999999994</v>
      </c>
    </row>
    <row r="19" spans="2:16" ht="15" x14ac:dyDescent="0.25">
      <c r="B19" s="139" t="s">
        <v>102</v>
      </c>
      <c r="C19" s="85" t="s">
        <v>103</v>
      </c>
      <c r="D19" s="65">
        <v>-13153.42</v>
      </c>
      <c r="E19" s="65">
        <v>-10982.06</v>
      </c>
      <c r="F19" s="65">
        <v>-12089.47</v>
      </c>
      <c r="G19" s="65">
        <v>-10142.82</v>
      </c>
      <c r="H19" s="65">
        <v>-11525.76</v>
      </c>
      <c r="I19" s="127">
        <v>-9259.35</v>
      </c>
      <c r="J19" s="127">
        <v>-10337.07</v>
      </c>
      <c r="K19" s="127">
        <v>-7405.37</v>
      </c>
      <c r="L19" s="127">
        <v>-8351</v>
      </c>
      <c r="M19" s="127">
        <v>-5624.16</v>
      </c>
      <c r="N19" s="127">
        <v>-7950.83</v>
      </c>
      <c r="O19" s="127">
        <v>-10608.73</v>
      </c>
      <c r="P19" s="140">
        <f>SUM(D19:O19)</f>
        <v>-117430.04000000001</v>
      </c>
    </row>
    <row r="20" spans="2:16" ht="15" x14ac:dyDescent="0.25">
      <c r="B20" s="139" t="s">
        <v>104</v>
      </c>
      <c r="C20" s="85" t="s">
        <v>105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127">
        <v>0</v>
      </c>
      <c r="J20" s="127">
        <v>0</v>
      </c>
      <c r="K20" s="127">
        <v>0</v>
      </c>
      <c r="L20" s="127">
        <v>0</v>
      </c>
      <c r="M20" s="127">
        <v>0</v>
      </c>
      <c r="N20" s="127">
        <v>0</v>
      </c>
      <c r="O20" s="127">
        <v>0</v>
      </c>
      <c r="P20" s="140">
        <f>SUM(D20:O20)</f>
        <v>0</v>
      </c>
    </row>
    <row r="21" spans="2:16" ht="15" x14ac:dyDescent="0.25">
      <c r="B21" s="139" t="s">
        <v>106</v>
      </c>
      <c r="C21" s="85" t="s">
        <v>107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127">
        <v>0</v>
      </c>
      <c r="J21" s="127">
        <v>0</v>
      </c>
      <c r="K21" s="127">
        <v>0</v>
      </c>
      <c r="L21" s="127">
        <v>0</v>
      </c>
      <c r="M21" s="127">
        <v>0</v>
      </c>
      <c r="N21" s="127">
        <v>0</v>
      </c>
      <c r="O21" s="127">
        <v>0</v>
      </c>
      <c r="P21" s="140">
        <f t="shared" si="2"/>
        <v>0</v>
      </c>
    </row>
    <row r="22" spans="2:16" ht="15" x14ac:dyDescent="0.25">
      <c r="B22" s="139" t="s">
        <v>108</v>
      </c>
      <c r="C22" s="85" t="s">
        <v>109</v>
      </c>
      <c r="D22" s="65">
        <v>-2709.53</v>
      </c>
      <c r="E22" s="65">
        <v>-1841.47</v>
      </c>
      <c r="F22" s="65">
        <v>-2192.7600000000002</v>
      </c>
      <c r="G22" s="65">
        <v>-2129.77</v>
      </c>
      <c r="H22" s="65">
        <v>-2298.1799999999998</v>
      </c>
      <c r="I22" s="127">
        <v>-2402.27</v>
      </c>
      <c r="J22" s="127">
        <v>-2853.11</v>
      </c>
      <c r="K22" s="127">
        <v>-2015.4</v>
      </c>
      <c r="L22" s="127">
        <v>0</v>
      </c>
      <c r="M22" s="127">
        <v>0</v>
      </c>
      <c r="N22" s="127">
        <v>0</v>
      </c>
      <c r="O22" s="127">
        <v>0</v>
      </c>
      <c r="P22" s="140">
        <f t="shared" si="2"/>
        <v>-18442.490000000002</v>
      </c>
    </row>
    <row r="23" spans="2:16" s="93" customFormat="1" ht="15" x14ac:dyDescent="0.25">
      <c r="B23" s="139" t="s">
        <v>110</v>
      </c>
      <c r="C23" s="85" t="s">
        <v>111</v>
      </c>
      <c r="D23" s="65">
        <v>-9451.83</v>
      </c>
      <c r="E23" s="65">
        <v>-8553.1299999999992</v>
      </c>
      <c r="F23" s="65">
        <v>-8885.4</v>
      </c>
      <c r="G23" s="65">
        <v>-7580.37</v>
      </c>
      <c r="H23" s="65">
        <v>-8610.4699999999993</v>
      </c>
      <c r="I23" s="127">
        <v>-6010.33</v>
      </c>
      <c r="J23" s="127">
        <v>-6218.51</v>
      </c>
      <c r="K23" s="127">
        <v>-4249.72</v>
      </c>
      <c r="L23" s="127">
        <v>-4740.9799999999996</v>
      </c>
      <c r="M23" s="127">
        <v>-3616.15</v>
      </c>
      <c r="N23" s="127">
        <v>-6116.96</v>
      </c>
      <c r="O23" s="127">
        <v>-8417.7000000000007</v>
      </c>
      <c r="P23" s="141">
        <f t="shared" si="2"/>
        <v>-82451.55</v>
      </c>
    </row>
    <row r="24" spans="2:16" ht="15" x14ac:dyDescent="0.25">
      <c r="B24" s="139" t="s">
        <v>112</v>
      </c>
      <c r="C24" s="85" t="s">
        <v>113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127">
        <v>0</v>
      </c>
      <c r="J24" s="127">
        <v>0</v>
      </c>
      <c r="K24" s="127">
        <v>0</v>
      </c>
      <c r="L24" s="127">
        <v>0</v>
      </c>
      <c r="M24" s="127">
        <v>0</v>
      </c>
      <c r="N24" s="127">
        <v>0</v>
      </c>
      <c r="O24" s="127">
        <v>0</v>
      </c>
      <c r="P24" s="140">
        <f t="shared" si="2"/>
        <v>0</v>
      </c>
    </row>
    <row r="25" spans="2:16" ht="15" x14ac:dyDescent="0.25">
      <c r="B25" s="139" t="s">
        <v>114</v>
      </c>
      <c r="C25" s="85" t="s">
        <v>115</v>
      </c>
      <c r="D25" s="65">
        <v>-55592.480000000003</v>
      </c>
      <c r="E25" s="65">
        <v>-43812.5</v>
      </c>
      <c r="F25" s="65">
        <v>-50097.17</v>
      </c>
      <c r="G25" s="65">
        <v>-47941.35</v>
      </c>
      <c r="H25" s="65">
        <v>-61012.29</v>
      </c>
      <c r="I25" s="127">
        <v>-24151.1</v>
      </c>
      <c r="J25" s="127">
        <v>-66150.570000000007</v>
      </c>
      <c r="K25" s="127">
        <v>-77250.679999999993</v>
      </c>
      <c r="L25" s="127">
        <v>-55641.67</v>
      </c>
      <c r="M25" s="127">
        <v>-42059.63</v>
      </c>
      <c r="N25" s="127">
        <v>-55731.51</v>
      </c>
      <c r="O25" s="127">
        <v>-69730.91</v>
      </c>
      <c r="P25" s="140">
        <f t="shared" si="2"/>
        <v>-649171.86</v>
      </c>
    </row>
    <row r="26" spans="2:16" ht="15" x14ac:dyDescent="0.25">
      <c r="B26" s="139" t="s">
        <v>116</v>
      </c>
      <c r="C26" s="85" t="s">
        <v>117</v>
      </c>
      <c r="D26" s="65">
        <v>-12625.95</v>
      </c>
      <c r="E26" s="65">
        <v>-11929.96</v>
      </c>
      <c r="F26" s="65">
        <v>-14393.41</v>
      </c>
      <c r="G26" s="65">
        <v>-11181.47</v>
      </c>
      <c r="H26" s="65">
        <v>-12446.9</v>
      </c>
      <c r="I26" s="127">
        <v>-7449.79</v>
      </c>
      <c r="J26" s="127">
        <v>-5481.19</v>
      </c>
      <c r="K26" s="127">
        <v>1702.9</v>
      </c>
      <c r="L26" s="127">
        <v>-4440.57</v>
      </c>
      <c r="M26" s="127">
        <v>-10751.86</v>
      </c>
      <c r="N26" s="127">
        <v>-23312.82</v>
      </c>
      <c r="O26" s="127">
        <v>-13725.48</v>
      </c>
      <c r="P26" s="140">
        <f t="shared" si="2"/>
        <v>-126036.49999999999</v>
      </c>
    </row>
    <row r="27" spans="2:16" ht="15" x14ac:dyDescent="0.25">
      <c r="B27" s="139" t="s">
        <v>118</v>
      </c>
      <c r="C27" s="85" t="s">
        <v>119</v>
      </c>
      <c r="D27" s="65">
        <v>-8230.4500000000007</v>
      </c>
      <c r="E27" s="65">
        <v>-6259.11</v>
      </c>
      <c r="F27" s="65">
        <v>-6949.44</v>
      </c>
      <c r="G27" s="65">
        <v>-7088.56</v>
      </c>
      <c r="H27" s="65">
        <v>-8818.65</v>
      </c>
      <c r="I27" s="127">
        <v>-7542.23</v>
      </c>
      <c r="J27" s="127">
        <v>-8711.31</v>
      </c>
      <c r="K27" s="127">
        <v>-6443.84</v>
      </c>
      <c r="L27" s="127">
        <v>-7215.09</v>
      </c>
      <c r="M27" s="127">
        <v>-5405.56</v>
      </c>
      <c r="N27" s="127">
        <v>-7145.03</v>
      </c>
      <c r="O27" s="127">
        <v>-8249.93</v>
      </c>
      <c r="P27" s="140">
        <f>SUM(D27:O27)</f>
        <v>-88059.199999999983</v>
      </c>
    </row>
    <row r="28" spans="2:16" ht="15" x14ac:dyDescent="0.25">
      <c r="B28" s="139" t="s">
        <v>120</v>
      </c>
      <c r="C28" s="85" t="s">
        <v>121</v>
      </c>
      <c r="D28" s="65">
        <v>-118.53</v>
      </c>
      <c r="E28" s="65">
        <v>-93.96</v>
      </c>
      <c r="F28" s="65">
        <v>-94.25</v>
      </c>
      <c r="G28" s="65">
        <v>-87.11</v>
      </c>
      <c r="H28" s="65">
        <v>-113.2</v>
      </c>
      <c r="I28" s="127">
        <v>-86.71</v>
      </c>
      <c r="J28" s="127">
        <v>-79.95</v>
      </c>
      <c r="K28" s="127">
        <v>-66.66</v>
      </c>
      <c r="L28" s="127">
        <v>-86.2</v>
      </c>
      <c r="M28" s="127">
        <v>-49.96</v>
      </c>
      <c r="N28" s="127">
        <v>-79.55</v>
      </c>
      <c r="O28" s="127">
        <v>-118.47</v>
      </c>
      <c r="P28" s="140">
        <f>SUM(D28:O28)</f>
        <v>-1074.55</v>
      </c>
    </row>
    <row r="29" spans="2:16" ht="15" x14ac:dyDescent="0.25">
      <c r="B29" s="139" t="s">
        <v>122</v>
      </c>
      <c r="C29" s="85" t="s">
        <v>123</v>
      </c>
      <c r="D29" s="65">
        <v>-134686.19</v>
      </c>
      <c r="E29" s="65">
        <v>-113421.98</v>
      </c>
      <c r="F29" s="65">
        <v>-140281.5</v>
      </c>
      <c r="G29" s="65">
        <v>-125574.13</v>
      </c>
      <c r="H29" s="65">
        <v>-163725.32999999999</v>
      </c>
      <c r="I29" s="127">
        <v>-142920.63</v>
      </c>
      <c r="J29" s="127">
        <v>-160216.35999999999</v>
      </c>
      <c r="K29" s="127">
        <v>-89318.02</v>
      </c>
      <c r="L29" s="127">
        <v>-124981.82</v>
      </c>
      <c r="M29" s="127">
        <v>-98798.9</v>
      </c>
      <c r="N29" s="127">
        <v>-131612.32999999999</v>
      </c>
      <c r="O29" s="127">
        <v>-165044.24</v>
      </c>
      <c r="P29" s="140">
        <f t="shared" si="2"/>
        <v>-1590581.43</v>
      </c>
    </row>
    <row r="30" spans="2:16" ht="15" x14ac:dyDescent="0.25">
      <c r="B30" s="139" t="s">
        <v>124</v>
      </c>
      <c r="C30" s="85" t="s">
        <v>125</v>
      </c>
      <c r="D30" s="65">
        <v>-5553.42</v>
      </c>
      <c r="E30" s="65">
        <v>-4067.96</v>
      </c>
      <c r="F30" s="65">
        <v>-3836.52</v>
      </c>
      <c r="G30" s="65">
        <v>0</v>
      </c>
      <c r="H30" s="65">
        <v>-4357.2</v>
      </c>
      <c r="I30" s="127">
        <v>-76358.47</v>
      </c>
      <c r="J30" s="127">
        <v>-4791.5200000000004</v>
      </c>
      <c r="K30" s="127">
        <v>-2398.9899999999998</v>
      </c>
      <c r="L30" s="127">
        <v>-82106.570000000007</v>
      </c>
      <c r="M30" s="127">
        <v>-57102.33</v>
      </c>
      <c r="N30" s="127">
        <v>-3102.08</v>
      </c>
      <c r="O30" s="127">
        <v>-79117.03</v>
      </c>
      <c r="P30" s="140">
        <f t="shared" si="2"/>
        <v>-322792.09000000003</v>
      </c>
    </row>
    <row r="31" spans="2:16" ht="15" x14ac:dyDescent="0.25">
      <c r="B31" s="139" t="s">
        <v>126</v>
      </c>
      <c r="C31" s="85" t="s">
        <v>127</v>
      </c>
      <c r="D31" s="65">
        <v>-145.79</v>
      </c>
      <c r="E31" s="65">
        <v>-101.18</v>
      </c>
      <c r="F31" s="65">
        <v>0</v>
      </c>
      <c r="G31" s="65">
        <v>-3699.03</v>
      </c>
      <c r="H31" s="65">
        <v>0</v>
      </c>
      <c r="I31" s="127">
        <v>-3859.16</v>
      </c>
      <c r="J31" s="127">
        <v>-89609.11</v>
      </c>
      <c r="K31" s="127">
        <v>-66486.41</v>
      </c>
      <c r="L31" s="127">
        <v>-2451.65</v>
      </c>
      <c r="M31" s="127">
        <v>-2128.15</v>
      </c>
      <c r="N31" s="127">
        <v>-70296.740000000005</v>
      </c>
      <c r="O31" s="127">
        <v>-4304.7299999999996</v>
      </c>
      <c r="P31" s="140">
        <f t="shared" si="2"/>
        <v>-243081.94999999998</v>
      </c>
    </row>
    <row r="32" spans="2:16" ht="15" x14ac:dyDescent="0.25">
      <c r="B32" s="139" t="s">
        <v>128</v>
      </c>
      <c r="C32" s="85" t="s">
        <v>129</v>
      </c>
      <c r="D32" s="65"/>
      <c r="E32" s="65"/>
      <c r="J32" s="127"/>
      <c r="K32" s="127"/>
      <c r="L32" s="127"/>
      <c r="M32" s="127"/>
      <c r="N32" s="127"/>
      <c r="O32" s="127"/>
      <c r="P32" s="140">
        <f t="shared" si="2"/>
        <v>0</v>
      </c>
    </row>
    <row r="33" spans="1:16" ht="15" x14ac:dyDescent="0.25">
      <c r="B33" s="139" t="s">
        <v>130</v>
      </c>
      <c r="C33" s="85" t="s">
        <v>131</v>
      </c>
      <c r="D33" s="65"/>
      <c r="E33" s="65"/>
      <c r="F33" s="65"/>
      <c r="G33" s="65"/>
      <c r="H33" s="65"/>
      <c r="I33" s="127"/>
      <c r="J33" s="127"/>
      <c r="K33" s="127"/>
      <c r="L33" s="127"/>
      <c r="M33" s="127"/>
      <c r="N33" s="127"/>
      <c r="O33" s="127"/>
      <c r="P33" s="140">
        <f t="shared" si="2"/>
        <v>0</v>
      </c>
    </row>
    <row r="34" spans="1:16" ht="15" x14ac:dyDescent="0.25">
      <c r="B34" s="139" t="s">
        <v>132</v>
      </c>
      <c r="C34" s="85" t="s">
        <v>133</v>
      </c>
      <c r="D34" s="65"/>
      <c r="E34" s="65"/>
      <c r="F34" s="65"/>
      <c r="G34" s="65"/>
      <c r="H34" s="65"/>
      <c r="I34" s="127"/>
      <c r="J34" s="127"/>
      <c r="K34" s="127"/>
      <c r="L34" s="127"/>
      <c r="M34" s="127"/>
      <c r="N34" s="127"/>
      <c r="O34" s="127"/>
      <c r="P34" s="140">
        <f t="shared" si="2"/>
        <v>0</v>
      </c>
    </row>
    <row r="35" spans="1:16" ht="15" x14ac:dyDescent="0.25">
      <c r="B35" s="139" t="s">
        <v>134</v>
      </c>
      <c r="C35" s="85" t="s">
        <v>80</v>
      </c>
      <c r="D35" s="65">
        <v>-9441.58</v>
      </c>
      <c r="E35" s="65">
        <v>-7041.65</v>
      </c>
      <c r="F35" s="65">
        <v>-7492.6</v>
      </c>
      <c r="G35" s="65">
        <v>-6239.04</v>
      </c>
      <c r="H35" s="65">
        <v>-7016.22</v>
      </c>
      <c r="I35" s="127">
        <v>-5503.86</v>
      </c>
      <c r="J35" s="127">
        <v>-5069.1099999999997</v>
      </c>
      <c r="K35" s="127">
        <v>-3551.08</v>
      </c>
      <c r="L35" s="127">
        <v>-4422.38</v>
      </c>
      <c r="M35" s="127">
        <v>-3978.16</v>
      </c>
      <c r="N35" s="127">
        <v>-6431.26</v>
      </c>
      <c r="O35" s="127">
        <v>-8800.26</v>
      </c>
      <c r="P35" s="140">
        <f t="shared" si="2"/>
        <v>-74987.199999999997</v>
      </c>
    </row>
    <row r="36" spans="1:16" s="93" customFormat="1" ht="13.5" thickBot="1" x14ac:dyDescent="0.25">
      <c r="B36" s="163" t="s">
        <v>74</v>
      </c>
      <c r="C36" s="152"/>
      <c r="D36" s="152">
        <v>31387.66</v>
      </c>
      <c r="E36" s="152">
        <v>-154121.65</v>
      </c>
      <c r="F36" s="152">
        <v>89022.22</v>
      </c>
      <c r="G36" s="152">
        <v>-67982.33</v>
      </c>
      <c r="H36" s="152">
        <v>55705.49</v>
      </c>
      <c r="I36" s="152">
        <v>-140506.53</v>
      </c>
      <c r="J36" s="152">
        <v>215473.46</v>
      </c>
      <c r="K36" s="152">
        <v>-141917.74400000001</v>
      </c>
      <c r="L36" s="152">
        <v>112663.56</v>
      </c>
      <c r="M36" s="152">
        <v>-155162.26</v>
      </c>
      <c r="N36" s="152">
        <v>-87138.04</v>
      </c>
      <c r="O36" s="152">
        <v>9766.6</v>
      </c>
      <c r="P36" s="141"/>
    </row>
    <row r="37" spans="1:16" ht="15" x14ac:dyDescent="0.25">
      <c r="A37" s="48"/>
      <c r="B37" s="143" t="s">
        <v>84</v>
      </c>
      <c r="C37" s="144"/>
      <c r="D37" s="145">
        <f>SUM(D15:D36)</f>
        <v>-624066.03</v>
      </c>
      <c r="E37" s="145">
        <f>SUM(E15:E36)</f>
        <v>-692982.02000000014</v>
      </c>
      <c r="F37" s="145">
        <f t="shared" ref="F37:P37" si="3">SUM(F15:F36)</f>
        <v>-547482.89</v>
      </c>
      <c r="G37" s="145">
        <f t="shared" si="3"/>
        <v>-642155.86</v>
      </c>
      <c r="H37" s="145">
        <f>SUM(H15:H36)</f>
        <v>-679132.33999999985</v>
      </c>
      <c r="I37" s="145">
        <f t="shared" si="3"/>
        <v>-743335.59000000008</v>
      </c>
      <c r="J37" s="145">
        <f t="shared" si="3"/>
        <v>-508318.17000000004</v>
      </c>
      <c r="K37" s="145">
        <f t="shared" si="3"/>
        <v>-606788.15399999998</v>
      </c>
      <c r="L37" s="145">
        <f t="shared" si="3"/>
        <v>-477461.27000000008</v>
      </c>
      <c r="M37" s="145">
        <f t="shared" si="3"/>
        <v>-627487.78</v>
      </c>
      <c r="N37" s="145">
        <f t="shared" si="3"/>
        <v>-727878.39</v>
      </c>
      <c r="O37" s="145">
        <f t="shared" si="3"/>
        <v>-770024.97999999986</v>
      </c>
      <c r="P37" s="146">
        <f t="shared" si="3"/>
        <v>-7414303.9100000001</v>
      </c>
    </row>
    <row r="38" spans="1:16" ht="15" x14ac:dyDescent="0.25">
      <c r="A38" s="48"/>
      <c r="B38" s="147"/>
      <c r="C38" s="148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40"/>
    </row>
    <row r="39" spans="1:16" ht="15" x14ac:dyDescent="0.25">
      <c r="A39" s="48"/>
      <c r="B39" s="123" t="s">
        <v>85</v>
      </c>
      <c r="C39" s="149"/>
      <c r="D39" s="124">
        <f t="shared" ref="D39:O39" si="4">+D9+D13+D37</f>
        <v>332747.05000000005</v>
      </c>
      <c r="E39" s="124">
        <f>+E9+E13+E37</f>
        <v>253338.77999999991</v>
      </c>
      <c r="F39" s="124">
        <f t="shared" si="4"/>
        <v>372365.34999999986</v>
      </c>
      <c r="G39" s="124">
        <f>+G9+G13+G37</f>
        <v>419792.32999999996</v>
      </c>
      <c r="H39" s="124">
        <f>+H9+H13+H37+H42</f>
        <v>243634.72000000015</v>
      </c>
      <c r="I39" s="124">
        <f t="shared" si="4"/>
        <v>84308.630000000121</v>
      </c>
      <c r="J39" s="124">
        <f t="shared" si="4"/>
        <v>21490.619999999995</v>
      </c>
      <c r="K39" s="124">
        <f t="shared" si="4"/>
        <v>-126300.21399999998</v>
      </c>
      <c r="L39" s="124">
        <f t="shared" si="4"/>
        <v>2404.0959999999031</v>
      </c>
      <c r="M39" s="124">
        <f t="shared" si="4"/>
        <v>92937.235999999917</v>
      </c>
      <c r="N39" s="124">
        <f t="shared" si="4"/>
        <v>73377.205999999889</v>
      </c>
      <c r="O39" s="124">
        <f t="shared" si="4"/>
        <v>-205888.924</v>
      </c>
      <c r="P39" s="125"/>
    </row>
    <row r="40" spans="1:16" ht="15" x14ac:dyDescent="0.25">
      <c r="A40" s="48"/>
      <c r="B40" s="137"/>
      <c r="C40" s="138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8"/>
    </row>
    <row r="41" spans="1:16" ht="15" x14ac:dyDescent="0.25">
      <c r="B41" s="147" t="s">
        <v>136</v>
      </c>
      <c r="C41" s="151" t="s">
        <v>91</v>
      </c>
      <c r="D41" s="152">
        <f>D13+D37</f>
        <v>-56823.770000000019</v>
      </c>
      <c r="E41" s="152">
        <f t="shared" ref="E41:O41" si="5">E13+E37</f>
        <v>-79408.270000000135</v>
      </c>
      <c r="F41" s="152">
        <f t="shared" si="5"/>
        <v>119026.56999999995</v>
      </c>
      <c r="G41" s="152">
        <f t="shared" si="5"/>
        <v>47426.979999999981</v>
      </c>
      <c r="H41" s="152">
        <f t="shared" si="5"/>
        <v>-28736.179999999818</v>
      </c>
      <c r="I41" s="152">
        <f t="shared" si="5"/>
        <v>-159326.09000000008</v>
      </c>
      <c r="J41" s="152">
        <f t="shared" si="5"/>
        <v>-62818.010000000068</v>
      </c>
      <c r="K41" s="152">
        <f t="shared" si="5"/>
        <v>-147790.83399999997</v>
      </c>
      <c r="L41" s="152">
        <f t="shared" si="5"/>
        <v>128704.30999999988</v>
      </c>
      <c r="M41" s="152">
        <f t="shared" si="5"/>
        <v>90533.140000000014</v>
      </c>
      <c r="N41" s="152">
        <f t="shared" si="5"/>
        <v>-19560.030000000028</v>
      </c>
      <c r="O41" s="152">
        <f t="shared" si="5"/>
        <v>-279266.12999999989</v>
      </c>
      <c r="P41" s="140">
        <f>SUM(D41:O41)</f>
        <v>-448038.31400000019</v>
      </c>
    </row>
    <row r="42" spans="1:16" ht="15" x14ac:dyDescent="0.25">
      <c r="B42" s="113" t="s">
        <v>142</v>
      </c>
      <c r="C42" s="151"/>
      <c r="D42" s="152"/>
      <c r="E42" s="152"/>
      <c r="F42" s="152"/>
      <c r="G42" s="152"/>
      <c r="H42" s="152">
        <v>-147421.43</v>
      </c>
      <c r="I42" s="152"/>
      <c r="J42" s="152"/>
      <c r="K42" s="152"/>
      <c r="L42" s="152"/>
      <c r="M42" s="152"/>
      <c r="N42" s="152"/>
      <c r="O42" s="152"/>
      <c r="P42" s="140"/>
    </row>
  </sheetData>
  <mergeCells count="1">
    <mergeCell ref="B1:P1"/>
  </mergeCells>
  <printOptions horizontalCentered="1"/>
  <pageMargins left="0.7" right="0.7" top="0.75" bottom="0.75" header="0.3" footer="0.3"/>
  <pageSetup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zoomScaleNormal="100" zoomScaleSheetLayoutView="80" workbookViewId="0">
      <pane xSplit="2" ySplit="8" topLeftCell="C9" activePane="bottomRight" state="frozen"/>
      <selection activeCell="G70" sqref="G70"/>
      <selection pane="topRight" activeCell="G70" sqref="G70"/>
      <selection pane="bottomLeft" activeCell="G70" sqref="G70"/>
      <selection pane="bottomRight" activeCell="C29" sqref="C29:H29"/>
    </sheetView>
  </sheetViews>
  <sheetFormatPr defaultRowHeight="12.75" x14ac:dyDescent="0.2"/>
  <cols>
    <col min="1" max="1" width="42" style="38" customWidth="1"/>
    <col min="2" max="2" width="29.7109375" style="38" customWidth="1"/>
    <col min="3" max="3" width="18.7109375" style="38" customWidth="1"/>
    <col min="4" max="5" width="14.7109375" style="38" customWidth="1"/>
    <col min="6" max="6" width="15.42578125" style="38" customWidth="1"/>
    <col min="7" max="7" width="16.7109375" style="38" customWidth="1"/>
    <col min="8" max="8" width="16.140625" style="38" customWidth="1"/>
    <col min="9" max="9" width="15.7109375" style="38" customWidth="1"/>
    <col min="10" max="10" width="16.7109375" style="38" customWidth="1"/>
    <col min="11" max="11" width="15.7109375" style="38" customWidth="1"/>
    <col min="12" max="12" width="17" style="38" customWidth="1"/>
    <col min="13" max="13" width="16.140625" style="38" customWidth="1"/>
    <col min="14" max="14" width="16.28515625" style="38" customWidth="1"/>
    <col min="15" max="15" width="15" style="38" customWidth="1"/>
    <col min="16" max="16" width="15.42578125" style="38" customWidth="1"/>
    <col min="17" max="16384" width="9.140625" style="38"/>
  </cols>
  <sheetData>
    <row r="1" spans="1:16" ht="23.25" x14ac:dyDescent="0.35">
      <c r="A1" s="174" t="s">
        <v>146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</row>
    <row r="2" spans="1:16" ht="23.25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x14ac:dyDescent="0.2">
      <c r="A3" s="38" t="s">
        <v>37</v>
      </c>
      <c r="C3" s="40">
        <v>1.0999999999999999E-2</v>
      </c>
      <c r="D3" s="41" t="s">
        <v>147</v>
      </c>
      <c r="E3" s="37"/>
      <c r="F3" s="42">
        <v>1.0999999999999999E-2</v>
      </c>
      <c r="G3" s="41" t="s">
        <v>148</v>
      </c>
      <c r="H3" s="37"/>
      <c r="I3" s="40">
        <v>1.0999999999999999E-2</v>
      </c>
      <c r="J3" s="41" t="s">
        <v>149</v>
      </c>
      <c r="K3" s="37"/>
      <c r="L3" s="40">
        <v>1.4999999999999999E-2</v>
      </c>
      <c r="M3" s="41" t="s">
        <v>150</v>
      </c>
      <c r="N3" s="37"/>
      <c r="O3" s="37"/>
      <c r="P3" s="37"/>
    </row>
    <row r="4" spans="1:16" x14ac:dyDescent="0.2">
      <c r="A4" s="38" t="s">
        <v>42</v>
      </c>
      <c r="C4" s="43">
        <f>+C3/12</f>
        <v>9.1666666666666665E-4</v>
      </c>
      <c r="D4" s="37"/>
      <c r="E4" s="37"/>
      <c r="F4" s="43">
        <f>+F3/12</f>
        <v>9.1666666666666665E-4</v>
      </c>
      <c r="G4" s="37"/>
      <c r="H4" s="37"/>
      <c r="I4" s="43">
        <f>+I3/12</f>
        <v>9.1666666666666665E-4</v>
      </c>
      <c r="J4" s="37"/>
      <c r="K4" s="37"/>
      <c r="L4" s="43">
        <f>+L3/12</f>
        <v>1.25E-3</v>
      </c>
      <c r="M4" s="37"/>
      <c r="N4" s="37"/>
      <c r="O4" s="37"/>
      <c r="P4" s="37"/>
    </row>
    <row r="5" spans="1:16" ht="13.5" thickBot="1" x14ac:dyDescent="0.25"/>
    <row r="6" spans="1:16" ht="18" x14ac:dyDescent="0.25">
      <c r="A6" s="159" t="s">
        <v>145</v>
      </c>
      <c r="B6" s="160"/>
      <c r="C6" s="161"/>
      <c r="D6" s="161"/>
      <c r="E6" s="161"/>
      <c r="F6" s="161"/>
      <c r="G6" s="161"/>
      <c r="H6" s="45"/>
      <c r="I6" s="45"/>
      <c r="J6" s="45"/>
      <c r="K6" s="45"/>
      <c r="L6" s="45"/>
      <c r="M6" s="45"/>
      <c r="N6" s="45"/>
      <c r="O6" s="46"/>
      <c r="P6" s="47"/>
    </row>
    <row r="7" spans="1:16" x14ac:dyDescent="0.2">
      <c r="A7" s="49"/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2"/>
      <c r="P7" s="53"/>
    </row>
    <row r="8" spans="1:16" x14ac:dyDescent="0.2">
      <c r="A8" s="49"/>
      <c r="B8" s="50"/>
      <c r="C8" s="54">
        <v>42736</v>
      </c>
      <c r="D8" s="54">
        <v>42767</v>
      </c>
      <c r="E8" s="54">
        <v>42795</v>
      </c>
      <c r="F8" s="54">
        <v>42826</v>
      </c>
      <c r="G8" s="54">
        <v>42856</v>
      </c>
      <c r="H8" s="54">
        <v>42887</v>
      </c>
      <c r="I8" s="54">
        <v>42917</v>
      </c>
      <c r="J8" s="54">
        <v>42948</v>
      </c>
      <c r="K8" s="54">
        <v>42979</v>
      </c>
      <c r="L8" s="54">
        <v>43009</v>
      </c>
      <c r="M8" s="54">
        <v>43040</v>
      </c>
      <c r="N8" s="54">
        <v>43070</v>
      </c>
      <c r="O8" s="55"/>
      <c r="P8" s="56" t="s">
        <v>43</v>
      </c>
    </row>
    <row r="9" spans="1:16" x14ac:dyDescent="0.2">
      <c r="A9" s="57" t="s">
        <v>44</v>
      </c>
      <c r="B9" s="58" t="s">
        <v>45</v>
      </c>
      <c r="C9" s="73">
        <v>143626.29999999999</v>
      </c>
      <c r="D9" s="60">
        <f>IF(D43=0,0,C41)</f>
        <v>276628.68999999983</v>
      </c>
      <c r="E9" s="60">
        <f t="shared" ref="E9:O9" si="0">IF(E43=0,0,D41)</f>
        <v>168083.2899999998</v>
      </c>
      <c r="F9" s="60">
        <f t="shared" si="0"/>
        <v>185942.49999999988</v>
      </c>
      <c r="G9" s="60">
        <f>IF(G43=0,0,F41)</f>
        <v>298048.93999999983</v>
      </c>
      <c r="H9" s="60">
        <f t="shared" si="0"/>
        <v>190227.32999999984</v>
      </c>
      <c r="I9" s="60">
        <f>IF(I43=0,0,H41)</f>
        <v>178056.91999999972</v>
      </c>
      <c r="J9" s="60">
        <f t="shared" si="0"/>
        <v>234575.14999999973</v>
      </c>
      <c r="K9" s="60">
        <f>IF(K43=0,0,J41)</f>
        <v>176793.25999999972</v>
      </c>
      <c r="L9" s="60">
        <f>IF(L43=0,0,K41)</f>
        <v>225924.88999999972</v>
      </c>
      <c r="M9" s="60">
        <f>IF(M43=0,0,L41)</f>
        <v>318815.12999999966</v>
      </c>
      <c r="N9" s="60">
        <f>IF(N43=0,0,M41)</f>
        <v>227722.70999999967</v>
      </c>
      <c r="O9" s="61">
        <f t="shared" si="0"/>
        <v>0</v>
      </c>
      <c r="P9" s="61"/>
    </row>
    <row r="10" spans="1:16" x14ac:dyDescent="0.2">
      <c r="A10" s="49" t="s">
        <v>46</v>
      </c>
      <c r="B10" s="64" t="s">
        <v>47</v>
      </c>
      <c r="C10" s="65">
        <v>500615.01</v>
      </c>
      <c r="D10" s="66">
        <v>426712.75</v>
      </c>
      <c r="E10" s="67">
        <v>478560.24</v>
      </c>
      <c r="F10" s="67">
        <v>330342.21000000002</v>
      </c>
      <c r="G10" s="65">
        <v>338035.42</v>
      </c>
      <c r="H10" s="65">
        <v>340003.42</v>
      </c>
      <c r="I10" s="65">
        <v>432588.4</v>
      </c>
      <c r="J10" s="65">
        <v>428469.42</v>
      </c>
      <c r="K10" s="65">
        <v>431322.22</v>
      </c>
      <c r="L10" s="65">
        <v>398481.23</v>
      </c>
      <c r="M10" s="65">
        <v>446477.32</v>
      </c>
      <c r="N10" s="65">
        <v>527169.93000000005</v>
      </c>
      <c r="O10" s="68"/>
      <c r="P10" s="69">
        <f t="shared" ref="P10:P15" si="1">SUM(C10:O10)</f>
        <v>5078777.5699999994</v>
      </c>
    </row>
    <row r="11" spans="1:16" x14ac:dyDescent="0.2">
      <c r="A11" s="49" t="s">
        <v>48</v>
      </c>
      <c r="B11" s="64" t="s">
        <v>49</v>
      </c>
      <c r="C11" s="65">
        <v>0</v>
      </c>
      <c r="D11" s="66">
        <v>0</v>
      </c>
      <c r="E11" s="67">
        <v>0</v>
      </c>
      <c r="F11" s="67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5">
        <v>0</v>
      </c>
      <c r="M11" s="65">
        <v>0</v>
      </c>
      <c r="N11" s="65">
        <v>0</v>
      </c>
      <c r="O11" s="68"/>
      <c r="P11" s="69">
        <f t="shared" si="1"/>
        <v>0</v>
      </c>
    </row>
    <row r="12" spans="1:16" x14ac:dyDescent="0.2">
      <c r="A12" s="49" t="s">
        <v>50</v>
      </c>
      <c r="B12" s="73" t="s">
        <v>51</v>
      </c>
      <c r="C12" s="65">
        <v>150868.5</v>
      </c>
      <c r="D12" s="66">
        <v>-91552.48</v>
      </c>
      <c r="E12" s="67">
        <v>61506.11</v>
      </c>
      <c r="F12" s="67">
        <v>119839.9</v>
      </c>
      <c r="G12" s="65">
        <v>-117194.52</v>
      </c>
      <c r="H12" s="65">
        <v>-104618.71</v>
      </c>
      <c r="I12" s="65">
        <v>-92494.64</v>
      </c>
      <c r="J12" s="65">
        <v>-165194.12</v>
      </c>
      <c r="K12" s="65">
        <v>-137475.94</v>
      </c>
      <c r="L12" s="65">
        <v>29779.98</v>
      </c>
      <c r="M12" s="65">
        <v>-193735.54</v>
      </c>
      <c r="N12" s="65">
        <v>-23918.93</v>
      </c>
      <c r="O12" s="68"/>
      <c r="P12" s="69">
        <f t="shared" si="1"/>
        <v>-564190.39000000013</v>
      </c>
    </row>
    <row r="13" spans="1:16" x14ac:dyDescent="0.2">
      <c r="A13" s="49" t="s">
        <v>52</v>
      </c>
      <c r="B13" s="73" t="s">
        <v>53</v>
      </c>
      <c r="C13" s="65">
        <v>0</v>
      </c>
      <c r="D13" s="66">
        <v>0</v>
      </c>
      <c r="E13" s="67">
        <v>0</v>
      </c>
      <c r="F13" s="67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  <c r="N13" s="65">
        <v>0</v>
      </c>
      <c r="O13" s="68"/>
      <c r="P13" s="69">
        <f t="shared" si="1"/>
        <v>0</v>
      </c>
    </row>
    <row r="14" spans="1:16" x14ac:dyDescent="0.2">
      <c r="A14" s="49" t="s">
        <v>54</v>
      </c>
      <c r="B14" s="73" t="s">
        <v>55</v>
      </c>
      <c r="C14" s="65">
        <v>0</v>
      </c>
      <c r="D14" s="66">
        <v>0</v>
      </c>
      <c r="E14" s="67">
        <v>0</v>
      </c>
      <c r="F14" s="67">
        <v>0</v>
      </c>
      <c r="G14" s="65">
        <v>-0.71</v>
      </c>
      <c r="H14" s="65">
        <v>0</v>
      </c>
      <c r="I14" s="65">
        <v>0</v>
      </c>
      <c r="J14" s="65">
        <v>0</v>
      </c>
      <c r="K14" s="65">
        <v>0</v>
      </c>
      <c r="L14" s="65">
        <v>5209.95</v>
      </c>
      <c r="M14" s="65">
        <v>0</v>
      </c>
      <c r="N14" s="65">
        <v>0</v>
      </c>
      <c r="O14" s="68"/>
      <c r="P14" s="69">
        <f t="shared" si="1"/>
        <v>5209.24</v>
      </c>
    </row>
    <row r="15" spans="1:16" x14ac:dyDescent="0.2">
      <c r="A15" s="49" t="s">
        <v>56</v>
      </c>
      <c r="B15" s="73" t="s">
        <v>57</v>
      </c>
      <c r="C15" s="65">
        <v>0</v>
      </c>
      <c r="D15" s="66">
        <v>0</v>
      </c>
      <c r="E15" s="67">
        <v>0</v>
      </c>
      <c r="F15" s="67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8"/>
      <c r="P15" s="69">
        <f t="shared" si="1"/>
        <v>0</v>
      </c>
    </row>
    <row r="16" spans="1:16" x14ac:dyDescent="0.2">
      <c r="A16" s="49"/>
      <c r="B16" s="73">
        <f>389861.57</f>
        <v>389861.57</v>
      </c>
      <c r="C16" s="65"/>
      <c r="D16" s="66"/>
      <c r="E16" s="67"/>
      <c r="F16" s="67"/>
      <c r="G16" s="65"/>
      <c r="H16" s="65"/>
      <c r="I16" s="65"/>
      <c r="J16" s="65"/>
      <c r="K16" s="65">
        <v>0</v>
      </c>
      <c r="L16" s="65"/>
      <c r="M16" s="65"/>
      <c r="N16" s="65"/>
      <c r="O16" s="68"/>
      <c r="P16" s="69"/>
    </row>
    <row r="17" spans="1:16" x14ac:dyDescent="0.2">
      <c r="A17" s="49" t="s">
        <v>58</v>
      </c>
      <c r="B17" s="73" t="s">
        <v>59</v>
      </c>
      <c r="C17" s="65">
        <v>6332.36</v>
      </c>
      <c r="D17" s="66">
        <v>3697.26</v>
      </c>
      <c r="E17" s="67">
        <v>5543.14</v>
      </c>
      <c r="F17" s="67">
        <v>4718.71</v>
      </c>
      <c r="G17" s="65">
        <v>2541.19</v>
      </c>
      <c r="H17" s="65">
        <v>3734.43</v>
      </c>
      <c r="I17" s="65">
        <v>3611.64</v>
      </c>
      <c r="J17" s="65">
        <v>3410.11</v>
      </c>
      <c r="K17" s="65">
        <v>3705.12</v>
      </c>
      <c r="L17" s="65">
        <v>0</v>
      </c>
      <c r="M17" s="65">
        <v>5601.75</v>
      </c>
      <c r="N17" s="65">
        <v>0</v>
      </c>
      <c r="O17" s="68"/>
      <c r="P17" s="69">
        <f>SUM(C17:O17)</f>
        <v>42895.71</v>
      </c>
    </row>
    <row r="18" spans="1:16" hidden="1" x14ac:dyDescent="0.2">
      <c r="A18" s="49"/>
      <c r="B18" s="6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>
        <f>SUM(O10:O17)</f>
        <v>0</v>
      </c>
      <c r="P18" s="75"/>
    </row>
    <row r="19" spans="1:16" hidden="1" x14ac:dyDescent="0.2">
      <c r="O19" s="76"/>
    </row>
    <row r="20" spans="1:16" hidden="1" x14ac:dyDescent="0.2">
      <c r="A20" s="49" t="s">
        <v>60</v>
      </c>
      <c r="B20" s="73" t="s">
        <v>61</v>
      </c>
      <c r="C20" s="65">
        <v>0</v>
      </c>
      <c r="D20" s="66"/>
      <c r="E20" s="67">
        <v>0</v>
      </c>
      <c r="F20" s="67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8"/>
      <c r="P20" s="69">
        <f>SUM(C20:O20)</f>
        <v>0</v>
      </c>
    </row>
    <row r="21" spans="1:16" hidden="1" x14ac:dyDescent="0.2">
      <c r="A21" s="49"/>
      <c r="B21" s="50"/>
      <c r="C21" s="77">
        <f>SUM(C20)</f>
        <v>0</v>
      </c>
      <c r="D21" s="77">
        <f t="shared" ref="D21:N21" si="2">SUM(D20)</f>
        <v>0</v>
      </c>
      <c r="E21" s="77">
        <f t="shared" si="2"/>
        <v>0</v>
      </c>
      <c r="F21" s="77">
        <f t="shared" si="2"/>
        <v>0</v>
      </c>
      <c r="G21" s="77">
        <f t="shared" si="2"/>
        <v>0</v>
      </c>
      <c r="H21" s="77">
        <f t="shared" si="2"/>
        <v>0</v>
      </c>
      <c r="I21" s="77">
        <f t="shared" si="2"/>
        <v>0</v>
      </c>
      <c r="J21" s="77">
        <f t="shared" si="2"/>
        <v>0</v>
      </c>
      <c r="K21" s="77">
        <f t="shared" si="2"/>
        <v>0</v>
      </c>
      <c r="L21" s="77">
        <f t="shared" si="2"/>
        <v>0</v>
      </c>
      <c r="M21" s="77">
        <f t="shared" si="2"/>
        <v>0</v>
      </c>
      <c r="N21" s="77">
        <f t="shared" si="2"/>
        <v>0</v>
      </c>
      <c r="O21" s="78">
        <f>SUM(O12:O20)</f>
        <v>0</v>
      </c>
      <c r="P21" s="69"/>
    </row>
    <row r="22" spans="1:16" x14ac:dyDescent="0.2">
      <c r="A22" s="79" t="s">
        <v>62</v>
      </c>
      <c r="B22" s="80"/>
      <c r="C22" s="81">
        <f t="shared" ref="C22:N22" si="3">SUM(C10:C17)</f>
        <v>657815.87</v>
      </c>
      <c r="D22" s="81">
        <f t="shared" si="3"/>
        <v>338857.53</v>
      </c>
      <c r="E22" s="81">
        <f t="shared" si="3"/>
        <v>545609.49</v>
      </c>
      <c r="F22" s="81">
        <f t="shared" si="3"/>
        <v>454900.82</v>
      </c>
      <c r="G22" s="81">
        <f t="shared" si="3"/>
        <v>223381.37999999998</v>
      </c>
      <c r="H22" s="81">
        <f t="shared" si="3"/>
        <v>239119.13999999996</v>
      </c>
      <c r="I22" s="81">
        <f t="shared" si="3"/>
        <v>343705.4</v>
      </c>
      <c r="J22" s="81">
        <f t="shared" si="3"/>
        <v>266685.40999999997</v>
      </c>
      <c r="K22" s="81">
        <f t="shared" si="3"/>
        <v>297551.39999999997</v>
      </c>
      <c r="L22" s="81">
        <f t="shared" si="3"/>
        <v>433471.16</v>
      </c>
      <c r="M22" s="81">
        <f t="shared" si="3"/>
        <v>258343.53</v>
      </c>
      <c r="N22" s="81">
        <f t="shared" si="3"/>
        <v>503251.00000000006</v>
      </c>
      <c r="O22" s="82">
        <f>+O18+O21</f>
        <v>0</v>
      </c>
      <c r="P22" s="82">
        <f>SUM(P10:P17)</f>
        <v>4562692.13</v>
      </c>
    </row>
    <row r="23" spans="1:16" x14ac:dyDescent="0.2">
      <c r="A23" s="49" t="s">
        <v>63</v>
      </c>
      <c r="B23" s="50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83"/>
      <c r="P23" s="69"/>
    </row>
    <row r="24" spans="1:16" x14ac:dyDescent="0.2">
      <c r="A24" s="84" t="s">
        <v>64</v>
      </c>
      <c r="B24" s="85" t="s">
        <v>65</v>
      </c>
      <c r="C24" s="86">
        <v>-286307.20000000001</v>
      </c>
      <c r="D24" s="65">
        <v>-276851.03000000003</v>
      </c>
      <c r="E24" s="67">
        <v>-236027.51</v>
      </c>
      <c r="F24" s="65">
        <v>-261353.11</v>
      </c>
      <c r="G24" s="65">
        <v>-201470.91</v>
      </c>
      <c r="H24" s="65">
        <v>-170143.62</v>
      </c>
      <c r="I24" s="65">
        <v>-172331.18</v>
      </c>
      <c r="J24" s="65">
        <v>-158308.96</v>
      </c>
      <c r="K24" s="65">
        <v>-154492.24</v>
      </c>
      <c r="L24" s="65">
        <v>-145014.47</v>
      </c>
      <c r="M24" s="65">
        <v>-148221.81</v>
      </c>
      <c r="N24" s="65">
        <v>-181656.02</v>
      </c>
      <c r="O24" s="68"/>
      <c r="P24" s="69">
        <f t="shared" ref="P24:P30" si="4">SUM(C24:O24)</f>
        <v>-2392178.0599999996</v>
      </c>
    </row>
    <row r="25" spans="1:16" x14ac:dyDescent="0.2">
      <c r="A25" s="84" t="s">
        <v>66</v>
      </c>
      <c r="B25" s="85" t="s">
        <v>67</v>
      </c>
      <c r="C25" s="86">
        <v>-1474.46</v>
      </c>
      <c r="D25" s="65">
        <v>-1469.57</v>
      </c>
      <c r="E25" s="67">
        <v>-1241.98</v>
      </c>
      <c r="F25" s="65">
        <v>-1700.79</v>
      </c>
      <c r="G25" s="65">
        <v>-297.42</v>
      </c>
      <c r="H25" s="65">
        <v>-28.94</v>
      </c>
      <c r="I25" s="65">
        <v>-53.74</v>
      </c>
      <c r="J25" s="65">
        <v>-257.43</v>
      </c>
      <c r="K25" s="65">
        <v>-523.17999999999995</v>
      </c>
      <c r="L25" s="65">
        <v>-767.95</v>
      </c>
      <c r="M25" s="65">
        <v>-313.41000000000003</v>
      </c>
      <c r="N25" s="65">
        <v>-720.21</v>
      </c>
      <c r="O25" s="68"/>
      <c r="P25" s="69">
        <f t="shared" si="4"/>
        <v>-8849.08</v>
      </c>
    </row>
    <row r="26" spans="1:16" x14ac:dyDescent="0.2">
      <c r="A26" s="84" t="s">
        <v>68</v>
      </c>
      <c r="B26" s="85" t="s">
        <v>69</v>
      </c>
      <c r="C26" s="86">
        <v>-159.34</v>
      </c>
      <c r="D26" s="65">
        <v>-159.34</v>
      </c>
      <c r="E26" s="67">
        <v>-159.34</v>
      </c>
      <c r="F26" s="65">
        <v>-159.34</v>
      </c>
      <c r="G26" s="65">
        <v>-159.34</v>
      </c>
      <c r="H26" s="65">
        <v>-140.85</v>
      </c>
      <c r="I26" s="65">
        <v>-140.77000000000001</v>
      </c>
      <c r="J26" s="65">
        <v>-119.18</v>
      </c>
      <c r="K26" s="65">
        <v>-119.11</v>
      </c>
      <c r="L26" s="65">
        <v>-119.11</v>
      </c>
      <c r="M26" s="65">
        <v>-119.11</v>
      </c>
      <c r="N26" s="65">
        <v>-140.62</v>
      </c>
      <c r="O26" s="68"/>
      <c r="P26" s="69">
        <f t="shared" si="4"/>
        <v>-1695.4499999999998</v>
      </c>
    </row>
    <row r="27" spans="1:16" x14ac:dyDescent="0.2">
      <c r="A27" s="87" t="s">
        <v>70</v>
      </c>
      <c r="B27" s="85" t="s">
        <v>71</v>
      </c>
      <c r="C27" s="86">
        <v>-181742.94</v>
      </c>
      <c r="D27" s="65">
        <v>-186641.66</v>
      </c>
      <c r="E27" s="67">
        <v>-166112.26999999999</v>
      </c>
      <c r="F27" s="65">
        <v>-195117.26</v>
      </c>
      <c r="G27" s="65">
        <v>-124194.64</v>
      </c>
      <c r="H27" s="65">
        <v>-90928.07</v>
      </c>
      <c r="I27" s="65">
        <v>-96555.32</v>
      </c>
      <c r="J27" s="65">
        <v>-105846.16</v>
      </c>
      <c r="K27" s="65">
        <v>-128345.46</v>
      </c>
      <c r="L27" s="65">
        <v>-136063.91</v>
      </c>
      <c r="M27" s="65">
        <v>-96322.09</v>
      </c>
      <c r="N27" s="65">
        <v>-118377.60000000001</v>
      </c>
      <c r="O27" s="68"/>
      <c r="P27" s="69">
        <f t="shared" si="4"/>
        <v>-1626247.3800000001</v>
      </c>
    </row>
    <row r="28" spans="1:16" x14ac:dyDescent="0.2">
      <c r="A28" s="87" t="s">
        <v>72</v>
      </c>
      <c r="B28" s="85" t="s">
        <v>73</v>
      </c>
      <c r="C28" s="86">
        <v>-47762.12</v>
      </c>
      <c r="D28" s="65">
        <v>-54354.77</v>
      </c>
      <c r="E28" s="67">
        <v>-47812.04</v>
      </c>
      <c r="F28" s="65">
        <v>-62192.98</v>
      </c>
      <c r="G28" s="65">
        <v>-26147.24</v>
      </c>
      <c r="H28" s="65">
        <v>-7474.34</v>
      </c>
      <c r="I28" s="65">
        <v>-12773.68</v>
      </c>
      <c r="J28" s="65">
        <v>-30915.86</v>
      </c>
      <c r="K28" s="65">
        <v>-41261.800000000003</v>
      </c>
      <c r="L28" s="65">
        <v>-50147.27</v>
      </c>
      <c r="M28" s="65">
        <v>-18743.02</v>
      </c>
      <c r="N28" s="65">
        <v>-32057.07</v>
      </c>
      <c r="O28" s="68"/>
      <c r="P28" s="69">
        <f t="shared" si="4"/>
        <v>-431642.19</v>
      </c>
    </row>
    <row r="29" spans="1:16" x14ac:dyDescent="0.2">
      <c r="A29" s="164" t="s">
        <v>74</v>
      </c>
      <c r="B29" s="142"/>
      <c r="C29" s="152">
        <f>-'2017 RSVA 1589 GA'!D39</f>
        <v>-133905.38</v>
      </c>
      <c r="D29" s="152">
        <f>-'2017 RSVA 1589 GA'!E39</f>
        <v>183673.80000000005</v>
      </c>
      <c r="E29" s="152">
        <f>-'2017 RSVA 1589 GA'!F39</f>
        <v>-70243.12</v>
      </c>
      <c r="F29" s="152">
        <f>-'2017 RSVA 1589 GA'!G39</f>
        <v>-121706.78000000003</v>
      </c>
      <c r="G29" s="152">
        <f>-'2017 RSVA 1589 GA'!H39</f>
        <v>184594.76</v>
      </c>
      <c r="H29" s="152">
        <f>-'2017 RSVA 1589 GA'!I39</f>
        <v>115835.54999999993</v>
      </c>
      <c r="I29" s="89"/>
      <c r="J29" s="65"/>
      <c r="K29" s="65"/>
      <c r="L29" s="65"/>
      <c r="M29" s="65"/>
      <c r="N29" s="65"/>
      <c r="O29" s="68"/>
      <c r="P29" s="69"/>
    </row>
    <row r="30" spans="1:16" s="93" customFormat="1" x14ac:dyDescent="0.2">
      <c r="A30" s="88" t="s">
        <v>75</v>
      </c>
      <c r="B30" s="90" t="s">
        <v>76</v>
      </c>
      <c r="C30" s="89">
        <v>126537.96</v>
      </c>
      <c r="D30" s="89">
        <v>-111600.36</v>
      </c>
      <c r="E30" s="89">
        <v>-6154.02</v>
      </c>
      <c r="F30" s="89">
        <v>299435.88</v>
      </c>
      <c r="G30" s="89">
        <v>-163528.20000000001</v>
      </c>
      <c r="H30" s="89">
        <v>-98409.279999999999</v>
      </c>
      <c r="I30" s="89">
        <v>-5332.4799999999814</v>
      </c>
      <c r="J30" s="89">
        <v>-29019.71</v>
      </c>
      <c r="K30" s="89">
        <v>76322.02</v>
      </c>
      <c r="L30" s="89">
        <v>-8468.2099999999991</v>
      </c>
      <c r="M30" s="89">
        <v>-85716.51</v>
      </c>
      <c r="N30" s="89">
        <v>-80953.320000000007</v>
      </c>
      <c r="O30" s="91"/>
      <c r="P30" s="92">
        <f t="shared" si="4"/>
        <v>-86886.229999999967</v>
      </c>
    </row>
    <row r="31" spans="1:16" s="98" customFormat="1" hidden="1" x14ac:dyDescent="0.2">
      <c r="A31" s="94" t="s">
        <v>77</v>
      </c>
      <c r="B31" s="95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96">
        <f>SUM(O24:O30)</f>
        <v>0</v>
      </c>
      <c r="P31" s="96">
        <f>SUM(P24:P30)</f>
        <v>-4547498.3899999997</v>
      </c>
    </row>
    <row r="32" spans="1:16" s="98" customFormat="1" hidden="1" x14ac:dyDescent="0.2">
      <c r="A32" s="94"/>
      <c r="B32" s="9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8"/>
      <c r="P32" s="68"/>
    </row>
    <row r="33" spans="1:16" s="100" customFormat="1" hidden="1" x14ac:dyDescent="0.2">
      <c r="A33" s="99" t="s">
        <v>78</v>
      </c>
      <c r="B33" s="85" t="s">
        <v>55</v>
      </c>
      <c r="C33" s="65">
        <v>0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65">
        <v>0</v>
      </c>
      <c r="O33" s="68"/>
      <c r="P33" s="68">
        <f>SUM(C33:O33)</f>
        <v>0</v>
      </c>
    </row>
    <row r="34" spans="1:16" hidden="1" x14ac:dyDescent="0.2">
      <c r="A34" s="101" t="s">
        <v>79</v>
      </c>
      <c r="B34" s="102" t="s">
        <v>80</v>
      </c>
      <c r="C34" s="65">
        <v>0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8"/>
      <c r="P34" s="68">
        <f>SUM(C34:O34)</f>
        <v>0</v>
      </c>
    </row>
    <row r="35" spans="1:16" hidden="1" x14ac:dyDescent="0.2">
      <c r="A35" s="101" t="s">
        <v>56</v>
      </c>
      <c r="B35" s="102" t="s">
        <v>57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5">
        <v>0</v>
      </c>
      <c r="N35" s="65">
        <v>0</v>
      </c>
      <c r="O35" s="68"/>
      <c r="P35" s="68">
        <f>SUM(C35:O35)</f>
        <v>0</v>
      </c>
    </row>
    <row r="36" spans="1:16" hidden="1" x14ac:dyDescent="0.2">
      <c r="A36" s="101" t="s">
        <v>58</v>
      </c>
      <c r="B36" s="85" t="s">
        <v>81</v>
      </c>
      <c r="C36" s="65">
        <v>0</v>
      </c>
      <c r="D36" s="65">
        <v>0</v>
      </c>
      <c r="E36" s="65">
        <v>0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65">
        <v>0</v>
      </c>
      <c r="N36" s="65">
        <v>0</v>
      </c>
      <c r="O36" s="68"/>
      <c r="P36" s="68">
        <f>SUM(C36:O36)</f>
        <v>0</v>
      </c>
    </row>
    <row r="37" spans="1:16" hidden="1" x14ac:dyDescent="0.2">
      <c r="A37" s="101" t="s">
        <v>82</v>
      </c>
      <c r="B37" s="85" t="s">
        <v>83</v>
      </c>
      <c r="C37" s="65">
        <v>0</v>
      </c>
      <c r="D37" s="65">
        <v>0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  <c r="M37" s="65">
        <v>0</v>
      </c>
      <c r="N37" s="65">
        <v>0</v>
      </c>
      <c r="O37" s="68"/>
      <c r="P37" s="68">
        <f>SUM(C37:O37)</f>
        <v>0</v>
      </c>
    </row>
    <row r="38" spans="1:16" hidden="1" x14ac:dyDescent="0.2">
      <c r="A38" s="104"/>
      <c r="B38" s="65"/>
      <c r="C38" s="105">
        <f t="shared" ref="C38:N38" si="5">SUM(C33:C37)</f>
        <v>0</v>
      </c>
      <c r="D38" s="105">
        <f t="shared" si="5"/>
        <v>0</v>
      </c>
      <c r="E38" s="105">
        <f t="shared" si="5"/>
        <v>0</v>
      </c>
      <c r="F38" s="105">
        <f t="shared" si="5"/>
        <v>0</v>
      </c>
      <c r="G38" s="105">
        <f t="shared" si="5"/>
        <v>0</v>
      </c>
      <c r="H38" s="105">
        <f t="shared" si="5"/>
        <v>0</v>
      </c>
      <c r="I38" s="105">
        <f t="shared" si="5"/>
        <v>0</v>
      </c>
      <c r="J38" s="105">
        <f t="shared" si="5"/>
        <v>0</v>
      </c>
      <c r="K38" s="105">
        <f t="shared" si="5"/>
        <v>0</v>
      </c>
      <c r="L38" s="105">
        <f t="shared" si="5"/>
        <v>0</v>
      </c>
      <c r="M38" s="105">
        <f t="shared" si="5"/>
        <v>0</v>
      </c>
      <c r="N38" s="105">
        <f t="shared" si="5"/>
        <v>0</v>
      </c>
      <c r="O38" s="106"/>
      <c r="P38" s="75">
        <f>SUM(P33:P37)</f>
        <v>0</v>
      </c>
    </row>
    <row r="39" spans="1:16" s="108" customFormat="1" x14ac:dyDescent="0.2">
      <c r="A39" s="79" t="s">
        <v>84</v>
      </c>
      <c r="B39" s="80"/>
      <c r="C39" s="81">
        <f>SUM(C24:C30)</f>
        <v>-524813.4800000001</v>
      </c>
      <c r="D39" s="81">
        <f t="shared" ref="D39:N39" si="6">SUM(D24:D30)</f>
        <v>-447402.93000000005</v>
      </c>
      <c r="E39" s="81">
        <f t="shared" si="6"/>
        <v>-527750.27999999991</v>
      </c>
      <c r="F39" s="81">
        <f t="shared" si="6"/>
        <v>-342794.38</v>
      </c>
      <c r="G39" s="81">
        <f t="shared" si="6"/>
        <v>-331202.99</v>
      </c>
      <c r="H39" s="81">
        <f t="shared" si="6"/>
        <v>-251289.55000000008</v>
      </c>
      <c r="I39" s="81">
        <f t="shared" si="6"/>
        <v>-287187.17</v>
      </c>
      <c r="J39" s="81">
        <f t="shared" si="6"/>
        <v>-324467.3</v>
      </c>
      <c r="K39" s="81">
        <f t="shared" si="6"/>
        <v>-248419.76999999996</v>
      </c>
      <c r="L39" s="81">
        <f t="shared" si="6"/>
        <v>-340580.92000000004</v>
      </c>
      <c r="M39" s="81">
        <f t="shared" si="6"/>
        <v>-349435.95</v>
      </c>
      <c r="N39" s="81">
        <f t="shared" si="6"/>
        <v>-413904.83999999997</v>
      </c>
      <c r="O39" s="82">
        <f>SUM(O24:O38)-O31</f>
        <v>0</v>
      </c>
      <c r="P39" s="82">
        <f>SUM(C39:O39)</f>
        <v>-4389249.5599999996</v>
      </c>
    </row>
    <row r="40" spans="1:16" x14ac:dyDescent="0.2">
      <c r="A40" s="109"/>
      <c r="B40" s="110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83"/>
      <c r="P40" s="83">
        <f>SUM(P24:P37)-P31</f>
        <v>-4547498.3899999997</v>
      </c>
    </row>
    <row r="41" spans="1:16" x14ac:dyDescent="0.2">
      <c r="A41" s="57" t="s">
        <v>85</v>
      </c>
      <c r="B41" s="111"/>
      <c r="C41" s="60">
        <f>+C9+C22+C39</f>
        <v>276628.68999999983</v>
      </c>
      <c r="D41" s="60">
        <f>+D9+D22+D39</f>
        <v>168083.2899999998</v>
      </c>
      <c r="E41" s="60">
        <f>+E9+E22+E39</f>
        <v>185942.49999999988</v>
      </c>
      <c r="F41" s="60">
        <f>+F9+F22+F39</f>
        <v>298048.93999999983</v>
      </c>
      <c r="G41" s="60">
        <f>+G9+G22+G39+G44</f>
        <v>190227.32999999984</v>
      </c>
      <c r="H41" s="60">
        <f t="shared" ref="H41:O41" si="7">+H9+H22+H39</f>
        <v>178056.91999999972</v>
      </c>
      <c r="I41" s="60">
        <f t="shared" si="7"/>
        <v>234575.14999999973</v>
      </c>
      <c r="J41" s="60">
        <f t="shared" si="7"/>
        <v>176793.25999999972</v>
      </c>
      <c r="K41" s="60">
        <f t="shared" si="7"/>
        <v>225924.88999999972</v>
      </c>
      <c r="L41" s="60">
        <f t="shared" si="7"/>
        <v>318815.12999999966</v>
      </c>
      <c r="M41" s="60">
        <f t="shared" si="7"/>
        <v>227722.70999999967</v>
      </c>
      <c r="N41" s="60">
        <f t="shared" si="7"/>
        <v>317068.86999999976</v>
      </c>
      <c r="O41" s="61">
        <f t="shared" si="7"/>
        <v>0</v>
      </c>
      <c r="P41" s="61"/>
    </row>
    <row r="42" spans="1:16" x14ac:dyDescent="0.2">
      <c r="A42" s="101"/>
      <c r="B42" s="51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69"/>
      <c r="P42" s="69"/>
    </row>
    <row r="43" spans="1:16" s="150" customFormat="1" x14ac:dyDescent="0.2">
      <c r="A43" s="147" t="s">
        <v>86</v>
      </c>
      <c r="B43" s="157" t="s">
        <v>45</v>
      </c>
      <c r="C43" s="86">
        <f t="shared" ref="C43:N43" si="8">C22+C39</f>
        <v>133002.3899999999</v>
      </c>
      <c r="D43" s="86">
        <f t="shared" si="8"/>
        <v>-108545.40000000002</v>
      </c>
      <c r="E43" s="86">
        <f t="shared" si="8"/>
        <v>17859.210000000079</v>
      </c>
      <c r="F43" s="86">
        <f t="shared" si="8"/>
        <v>112106.44</v>
      </c>
      <c r="G43" s="86">
        <f t="shared" si="8"/>
        <v>-107821.61000000002</v>
      </c>
      <c r="H43" s="86">
        <f t="shared" si="8"/>
        <v>-12170.41000000012</v>
      </c>
      <c r="I43" s="86">
        <f t="shared" si="8"/>
        <v>56518.23000000004</v>
      </c>
      <c r="J43" s="86">
        <f t="shared" si="8"/>
        <v>-57781.890000000014</v>
      </c>
      <c r="K43" s="86">
        <f t="shared" si="8"/>
        <v>49131.630000000005</v>
      </c>
      <c r="L43" s="86">
        <f t="shared" si="8"/>
        <v>92890.239999999932</v>
      </c>
      <c r="M43" s="86">
        <f t="shared" si="8"/>
        <v>-91092.420000000013</v>
      </c>
      <c r="N43" s="86">
        <f t="shared" si="8"/>
        <v>89346.160000000091</v>
      </c>
      <c r="O43" s="158">
        <f>+O10+O11+O12+O13+O24+O25+O26+O27+O28</f>
        <v>0</v>
      </c>
      <c r="P43" s="83">
        <f>SUM(C43:O43)</f>
        <v>173442.56999999986</v>
      </c>
    </row>
    <row r="44" spans="1:16" s="150" customFormat="1" x14ac:dyDescent="0.2">
      <c r="A44" s="113" t="s">
        <v>142</v>
      </c>
      <c r="B44" s="157"/>
      <c r="C44" s="86"/>
      <c r="D44" s="86"/>
      <c r="E44" s="86"/>
      <c r="F44" s="86"/>
      <c r="G44" s="86">
        <v>0</v>
      </c>
      <c r="H44" s="86"/>
      <c r="I44" s="86"/>
      <c r="J44" s="86"/>
      <c r="K44" s="86"/>
      <c r="L44" s="86"/>
      <c r="M44" s="86"/>
      <c r="N44" s="86"/>
      <c r="O44" s="158"/>
      <c r="P44" s="83"/>
    </row>
    <row r="45" spans="1:16" s="114" customFormat="1" x14ac:dyDescent="0.2"/>
    <row r="46" spans="1:16" s="114" customFormat="1" x14ac:dyDescent="0.2"/>
    <row r="47" spans="1:16" s="114" customFormat="1" x14ac:dyDescent="0.2"/>
    <row r="48" spans="1:16" s="114" customFormat="1" x14ac:dyDescent="0.2"/>
    <row r="49" s="114" customFormat="1" x14ac:dyDescent="0.2"/>
    <row r="50" s="114" customFormat="1" x14ac:dyDescent="0.2"/>
    <row r="51" s="114" customFormat="1" x14ac:dyDescent="0.2"/>
    <row r="52" s="114" customFormat="1" x14ac:dyDescent="0.2"/>
  </sheetData>
  <mergeCells count="1">
    <mergeCell ref="A1:P1"/>
  </mergeCells>
  <printOptions horizontalCentered="1"/>
  <pageMargins left="0.70866141732283472" right="0.70866141732283472" top="0.74803149606299213" bottom="0.74803149606299213" header="0.31496062992125984" footer="0.31496062992125984"/>
  <pageSetup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zoomScaleNormal="100" workbookViewId="0">
      <pane xSplit="3" ySplit="8" topLeftCell="D21" activePane="bottomRight" state="frozen"/>
      <selection activeCell="A7" sqref="A7"/>
      <selection pane="topRight" activeCell="A7" sqref="A7"/>
      <selection pane="bottomLeft" activeCell="A7" sqref="A7"/>
      <selection pane="bottomRight" activeCell="J44" sqref="J44:O44"/>
    </sheetView>
  </sheetViews>
  <sheetFormatPr defaultRowHeight="12.75" x14ac:dyDescent="0.2"/>
  <cols>
    <col min="1" max="1" width="9.5703125" style="38" customWidth="1"/>
    <col min="2" max="2" width="42.85546875" style="38" customWidth="1"/>
    <col min="3" max="3" width="27.28515625" style="38" customWidth="1"/>
    <col min="4" max="4" width="15.42578125" style="38" customWidth="1"/>
    <col min="5" max="5" width="16.140625" style="38" customWidth="1"/>
    <col min="6" max="6" width="14.28515625" style="38" customWidth="1"/>
    <col min="7" max="12" width="14.42578125" style="38" customWidth="1"/>
    <col min="13" max="14" width="14.28515625" style="38" customWidth="1"/>
    <col min="15" max="15" width="15" style="38" customWidth="1"/>
    <col min="16" max="16" width="15.85546875" style="38" customWidth="1"/>
    <col min="17" max="16384" width="9.140625" style="38"/>
  </cols>
  <sheetData>
    <row r="1" spans="1:16" ht="23.25" x14ac:dyDescent="0.35">
      <c r="A1" s="115"/>
      <c r="B1" s="174" t="s">
        <v>151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</row>
    <row r="2" spans="1:16" ht="23.25" x14ac:dyDescent="0.35">
      <c r="A2" s="11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x14ac:dyDescent="0.2">
      <c r="B3" s="38" t="s">
        <v>37</v>
      </c>
      <c r="D3" s="40">
        <v>1.0999999999999999E-2</v>
      </c>
      <c r="E3" s="41" t="s">
        <v>147</v>
      </c>
      <c r="F3" s="162"/>
      <c r="G3" s="42">
        <v>1.0999999999999999E-2</v>
      </c>
      <c r="H3" s="41" t="s">
        <v>148</v>
      </c>
      <c r="I3" s="37"/>
      <c r="J3" s="40">
        <v>1.0999999999999999E-2</v>
      </c>
      <c r="K3" s="41" t="s">
        <v>149</v>
      </c>
      <c r="L3" s="37"/>
      <c r="M3" s="40">
        <v>1.4999999999999999E-2</v>
      </c>
      <c r="N3" s="41" t="s">
        <v>150</v>
      </c>
    </row>
    <row r="4" spans="1:16" x14ac:dyDescent="0.2">
      <c r="B4" s="38" t="s">
        <v>42</v>
      </c>
      <c r="D4" s="43">
        <f>+D3/12</f>
        <v>9.1666666666666665E-4</v>
      </c>
      <c r="E4" s="37"/>
      <c r="F4" s="37"/>
      <c r="G4" s="43">
        <f>+G3/12</f>
        <v>9.1666666666666665E-4</v>
      </c>
      <c r="H4" s="37"/>
      <c r="I4" s="37"/>
      <c r="J4" s="43">
        <f>+J3/12</f>
        <v>9.1666666666666665E-4</v>
      </c>
      <c r="K4" s="37"/>
      <c r="M4" s="43">
        <f>+M3/12</f>
        <v>1.25E-3</v>
      </c>
      <c r="N4" s="37"/>
    </row>
    <row r="5" spans="1:16" ht="13.5" thickBot="1" x14ac:dyDescent="0.25"/>
    <row r="6" spans="1:16" ht="18" x14ac:dyDescent="0.25">
      <c r="A6" s="48"/>
      <c r="B6" s="153" t="s">
        <v>144</v>
      </c>
      <c r="C6" s="154"/>
      <c r="D6" s="155"/>
      <c r="E6" s="155"/>
      <c r="F6" s="155"/>
      <c r="G6" s="156"/>
      <c r="H6" s="156"/>
      <c r="I6" s="156"/>
      <c r="J6" s="117"/>
      <c r="K6" s="117"/>
      <c r="L6" s="117"/>
      <c r="M6" s="117"/>
      <c r="N6" s="117"/>
      <c r="O6" s="117"/>
      <c r="P6" s="118"/>
    </row>
    <row r="7" spans="1:16" x14ac:dyDescent="0.2">
      <c r="A7" s="48"/>
      <c r="B7" s="119"/>
      <c r="C7" s="120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121"/>
    </row>
    <row r="8" spans="1:16" x14ac:dyDescent="0.2">
      <c r="A8" s="48"/>
      <c r="B8" s="119"/>
      <c r="C8" s="120"/>
      <c r="D8" s="54">
        <v>42736</v>
      </c>
      <c r="E8" s="54">
        <v>42767</v>
      </c>
      <c r="F8" s="54">
        <v>42795</v>
      </c>
      <c r="G8" s="54">
        <v>42826</v>
      </c>
      <c r="H8" s="54">
        <v>42856</v>
      </c>
      <c r="I8" s="54">
        <v>42887</v>
      </c>
      <c r="J8" s="54">
        <v>42917</v>
      </c>
      <c r="K8" s="54">
        <v>42948</v>
      </c>
      <c r="L8" s="54">
        <v>42979</v>
      </c>
      <c r="M8" s="54">
        <v>43009</v>
      </c>
      <c r="N8" s="54">
        <v>43040</v>
      </c>
      <c r="O8" s="54">
        <v>43070</v>
      </c>
      <c r="P8" s="122" t="s">
        <v>43</v>
      </c>
    </row>
    <row r="9" spans="1:16" ht="15" x14ac:dyDescent="0.25">
      <c r="A9" s="48"/>
      <c r="B9" s="123" t="s">
        <v>44</v>
      </c>
      <c r="C9" s="64" t="s">
        <v>91</v>
      </c>
      <c r="D9" s="124">
        <v>-205888.92</v>
      </c>
      <c r="E9" s="124">
        <f>IF(E44=0,0,D42)</f>
        <v>-176866.99000000011</v>
      </c>
      <c r="F9" s="124">
        <f t="shared" ref="F9:N9" si="0">IF(F44=0,0,E42)</f>
        <v>-293313.94000000024</v>
      </c>
      <c r="G9" s="124">
        <f t="shared" si="0"/>
        <v>-402228.62000000005</v>
      </c>
      <c r="H9" s="124">
        <f>IF(H44=0,0,G42)</f>
        <v>-187162.60999999993</v>
      </c>
      <c r="I9" s="124">
        <f t="shared" si="0"/>
        <v>-38721.009999999776</v>
      </c>
      <c r="J9" s="124">
        <f>IF(J44=0,0,I42)</f>
        <v>-89760.829999999725</v>
      </c>
      <c r="K9" s="124">
        <f t="shared" si="0"/>
        <v>-53402.299999999814</v>
      </c>
      <c r="L9" s="124">
        <f t="shared" si="0"/>
        <v>-130367.22999999986</v>
      </c>
      <c r="M9" s="124">
        <f>IF(M44=0,0,L42)</f>
        <v>-319299.11</v>
      </c>
      <c r="N9" s="124">
        <f t="shared" si="0"/>
        <v>-209543.82999999996</v>
      </c>
      <c r="O9" s="124">
        <f>IF(O44=0,0,N42)</f>
        <v>-298701.95999999996</v>
      </c>
      <c r="P9" s="125"/>
    </row>
    <row r="10" spans="1:16" ht="15" x14ac:dyDescent="0.25">
      <c r="A10" s="48"/>
      <c r="B10" s="119" t="s">
        <v>92</v>
      </c>
      <c r="C10" s="120"/>
      <c r="D10" s="126"/>
      <c r="E10" s="126"/>
      <c r="F10" s="126"/>
      <c r="G10" s="126"/>
      <c r="H10" s="126"/>
      <c r="I10" s="126"/>
      <c r="J10" s="126"/>
      <c r="K10" s="126"/>
      <c r="L10" s="126"/>
      <c r="M10" s="127"/>
      <c r="N10" s="127"/>
      <c r="O10" s="127"/>
      <c r="P10" s="128"/>
    </row>
    <row r="11" spans="1:16" ht="15" x14ac:dyDescent="0.25">
      <c r="A11" s="48"/>
      <c r="B11" s="99" t="s">
        <v>93</v>
      </c>
      <c r="C11" s="64" t="s">
        <v>94</v>
      </c>
      <c r="D11" s="66">
        <v>528482.98</v>
      </c>
      <c r="E11" s="66">
        <v>516480.45</v>
      </c>
      <c r="F11" s="65">
        <v>450181.12</v>
      </c>
      <c r="G11" s="127">
        <v>656106.82999999996</v>
      </c>
      <c r="H11" s="127">
        <v>739684.27</v>
      </c>
      <c r="I11" s="127">
        <v>712965.98</v>
      </c>
      <c r="J11" s="127">
        <v>430892.79</v>
      </c>
      <c r="K11" s="127">
        <v>433198.32</v>
      </c>
      <c r="L11" s="127">
        <v>357456.19</v>
      </c>
      <c r="M11" s="127">
        <v>561527.62</v>
      </c>
      <c r="N11" s="127">
        <v>410985.28</v>
      </c>
      <c r="O11" s="127">
        <v>346963.06</v>
      </c>
      <c r="P11" s="128">
        <f>SUM(D11:O11)</f>
        <v>6144924.8900000006</v>
      </c>
    </row>
    <row r="12" spans="1:16" ht="15" x14ac:dyDescent="0.25">
      <c r="A12" s="48"/>
      <c r="B12" s="99" t="s">
        <v>152</v>
      </c>
      <c r="C12" s="64" t="s">
        <v>153</v>
      </c>
      <c r="D12" s="66">
        <v>0</v>
      </c>
      <c r="E12" s="66">
        <v>0</v>
      </c>
      <c r="F12" s="65">
        <v>0</v>
      </c>
      <c r="G12" s="127">
        <v>0</v>
      </c>
      <c r="H12" s="127">
        <v>0</v>
      </c>
      <c r="I12" s="127">
        <v>0</v>
      </c>
      <c r="J12" s="127">
        <v>146103.29999999999</v>
      </c>
      <c r="K12" s="127">
        <v>137214.18</v>
      </c>
      <c r="L12" s="127">
        <v>109449.79</v>
      </c>
      <c r="M12" s="127">
        <v>146516.81</v>
      </c>
      <c r="N12" s="127">
        <v>121941.53</v>
      </c>
      <c r="O12" s="127">
        <v>136396.49</v>
      </c>
      <c r="P12" s="128">
        <f>SUM(D12:O12)</f>
        <v>797622.1</v>
      </c>
    </row>
    <row r="13" spans="1:16" ht="15.75" thickBot="1" x14ac:dyDescent="0.3">
      <c r="A13" s="48"/>
      <c r="B13" s="129"/>
      <c r="C13" s="130"/>
      <c r="D13" s="131"/>
      <c r="E13" s="131"/>
      <c r="F13" s="132"/>
      <c r="G13" s="133"/>
      <c r="H13" s="133"/>
      <c r="I13" s="133"/>
      <c r="J13" s="133"/>
      <c r="K13" s="133"/>
      <c r="L13" s="133"/>
      <c r="M13" s="133"/>
      <c r="N13" s="133"/>
      <c r="O13" s="133"/>
      <c r="P13" s="128">
        <f>SUM(D13:O13)</f>
        <v>0</v>
      </c>
    </row>
    <row r="14" spans="1:16" ht="15" x14ac:dyDescent="0.25">
      <c r="A14" s="48"/>
      <c r="B14" s="134" t="s">
        <v>95</v>
      </c>
      <c r="C14" s="135"/>
      <c r="D14" s="124">
        <f>SUM(D11:D13)</f>
        <v>528482.98</v>
      </c>
      <c r="E14" s="124">
        <f t="shared" ref="E14:O14" si="1">SUM(E11:E13)</f>
        <v>516480.45</v>
      </c>
      <c r="F14" s="124">
        <f t="shared" si="1"/>
        <v>450181.12</v>
      </c>
      <c r="G14" s="124">
        <f t="shared" si="1"/>
        <v>656106.82999999996</v>
      </c>
      <c r="H14" s="124">
        <f t="shared" si="1"/>
        <v>739684.27</v>
      </c>
      <c r="I14" s="124">
        <f t="shared" si="1"/>
        <v>712965.98</v>
      </c>
      <c r="J14" s="124">
        <f t="shared" si="1"/>
        <v>576996.09</v>
      </c>
      <c r="K14" s="124">
        <f t="shared" si="1"/>
        <v>570412.5</v>
      </c>
      <c r="L14" s="124">
        <f t="shared" si="1"/>
        <v>466905.98</v>
      </c>
      <c r="M14" s="124">
        <f t="shared" si="1"/>
        <v>708044.42999999993</v>
      </c>
      <c r="N14" s="124">
        <f t="shared" si="1"/>
        <v>532926.81000000006</v>
      </c>
      <c r="O14" s="124">
        <f t="shared" si="1"/>
        <v>483359.55</v>
      </c>
      <c r="P14" s="136">
        <f>SUM(P11:P13)</f>
        <v>6942546.9900000002</v>
      </c>
    </row>
    <row r="15" spans="1:16" ht="15" x14ac:dyDescent="0.25">
      <c r="A15" s="48"/>
      <c r="B15" s="137" t="s">
        <v>63</v>
      </c>
      <c r="C15" s="138"/>
      <c r="D15" s="126"/>
      <c r="E15" s="126"/>
      <c r="F15" s="126"/>
      <c r="G15" s="126"/>
      <c r="H15" s="127"/>
      <c r="I15" s="127"/>
      <c r="J15" s="127"/>
      <c r="K15" s="127"/>
      <c r="L15" s="127"/>
      <c r="M15" s="127"/>
      <c r="N15" s="127"/>
      <c r="O15" s="127"/>
      <c r="P15" s="128"/>
    </row>
    <row r="16" spans="1:16" ht="15" x14ac:dyDescent="0.25">
      <c r="B16" s="99"/>
      <c r="C16" s="64"/>
      <c r="D16" s="126"/>
      <c r="E16" s="126"/>
      <c r="F16" s="126"/>
      <c r="G16" s="126"/>
      <c r="H16" s="127"/>
      <c r="I16" s="127"/>
      <c r="J16" s="127"/>
      <c r="K16" s="127"/>
      <c r="L16" s="127"/>
      <c r="M16" s="127"/>
      <c r="N16" s="127"/>
      <c r="O16" s="127"/>
      <c r="P16" s="128"/>
    </row>
    <row r="17" spans="2:16" ht="15" x14ac:dyDescent="0.25">
      <c r="B17" s="139" t="s">
        <v>96</v>
      </c>
      <c r="C17" s="85" t="s">
        <v>97</v>
      </c>
      <c r="D17" s="65">
        <v>-300915.12</v>
      </c>
      <c r="E17" s="65">
        <v>-208350.07</v>
      </c>
      <c r="F17" s="65">
        <v>-301687.06</v>
      </c>
      <c r="G17" s="65">
        <v>-266512.71999999997</v>
      </c>
      <c r="H17" s="65">
        <v>-190413.3</v>
      </c>
      <c r="I17" s="127">
        <v>-307913.95</v>
      </c>
      <c r="J17" s="127">
        <v>-345908.65</v>
      </c>
      <c r="K17" s="127">
        <v>-269552.09999999998</v>
      </c>
      <c r="L17" s="127">
        <v>-365308.19</v>
      </c>
      <c r="M17" s="127">
        <v>-382198.87</v>
      </c>
      <c r="N17" s="127">
        <v>-324656.59999999998</v>
      </c>
      <c r="O17" s="127">
        <v>-347786.57</v>
      </c>
      <c r="P17" s="140">
        <f t="shared" ref="P17:P38" si="2">SUM(D17:O17)</f>
        <v>-3611203.2</v>
      </c>
    </row>
    <row r="18" spans="2:16" ht="15" x14ac:dyDescent="0.25">
      <c r="B18" s="139" t="s">
        <v>98</v>
      </c>
      <c r="C18" s="85" t="s">
        <v>99</v>
      </c>
      <c r="D18" s="65">
        <v>-19740.03</v>
      </c>
      <c r="E18" s="65">
        <v>-13667.75</v>
      </c>
      <c r="F18" s="65">
        <v>-19790.669999999998</v>
      </c>
      <c r="G18" s="65">
        <v>-17483.23</v>
      </c>
      <c r="H18" s="65">
        <v>-12491.11</v>
      </c>
      <c r="I18" s="127">
        <v>-20199.16</v>
      </c>
      <c r="J18" s="127">
        <v>-22691.61</v>
      </c>
      <c r="K18" s="127">
        <v>-17682.59</v>
      </c>
      <c r="L18" s="127">
        <v>-23964.19</v>
      </c>
      <c r="M18" s="127">
        <v>-25072.25</v>
      </c>
      <c r="N18" s="127">
        <v>-21297.439999999999</v>
      </c>
      <c r="O18" s="127">
        <v>-22814.81</v>
      </c>
      <c r="P18" s="140">
        <f t="shared" si="2"/>
        <v>-236894.84</v>
      </c>
    </row>
    <row r="19" spans="2:16" ht="15" x14ac:dyDescent="0.25">
      <c r="B19" s="139" t="s">
        <v>98</v>
      </c>
      <c r="C19" s="85" t="s">
        <v>99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127">
        <v>0</v>
      </c>
      <c r="J19" s="127">
        <v>0</v>
      </c>
      <c r="K19" s="127">
        <v>-146103.29999999999</v>
      </c>
      <c r="L19" s="127">
        <v>-137214.18</v>
      </c>
      <c r="M19" s="127">
        <v>-109449.79</v>
      </c>
      <c r="N19" s="127">
        <v>-146516.81</v>
      </c>
      <c r="O19" s="127">
        <v>-121941.53</v>
      </c>
      <c r="P19" s="140">
        <f>SUM(D19:O19)</f>
        <v>-661225.61</v>
      </c>
    </row>
    <row r="20" spans="2:16" ht="15" x14ac:dyDescent="0.25">
      <c r="B20" s="139" t="s">
        <v>100</v>
      </c>
      <c r="C20" s="85" t="s">
        <v>101</v>
      </c>
      <c r="D20" s="65">
        <v>-9920.49</v>
      </c>
      <c r="E20" s="65">
        <v>-6578.72</v>
      </c>
      <c r="F20" s="65">
        <v>-9004.5499999999993</v>
      </c>
      <c r="G20" s="65">
        <v>-7975.81</v>
      </c>
      <c r="H20" s="65">
        <v>-5242.25</v>
      </c>
      <c r="I20" s="127">
        <v>-8766.18</v>
      </c>
      <c r="J20" s="127">
        <v>-8436.99</v>
      </c>
      <c r="K20" s="127">
        <v>-4775.49</v>
      </c>
      <c r="L20" s="127">
        <v>-4872.3599999999997</v>
      </c>
      <c r="M20" s="127">
        <v>-8514.93</v>
      </c>
      <c r="N20" s="127">
        <v>-6825.43</v>
      </c>
      <c r="O20" s="127">
        <v>-8933.56</v>
      </c>
      <c r="P20" s="140">
        <f t="shared" si="2"/>
        <v>-89846.75999999998</v>
      </c>
    </row>
    <row r="21" spans="2:16" ht="15" x14ac:dyDescent="0.25">
      <c r="B21" s="139" t="s">
        <v>102</v>
      </c>
      <c r="C21" s="85" t="s">
        <v>103</v>
      </c>
      <c r="D21" s="65">
        <v>-11041.46</v>
      </c>
      <c r="E21" s="65">
        <v>-6555.17</v>
      </c>
      <c r="F21" s="65">
        <v>-8940.4699999999993</v>
      </c>
      <c r="G21" s="65">
        <v>-7873.76</v>
      </c>
      <c r="H21" s="65">
        <v>-5137.17</v>
      </c>
      <c r="I21" s="127">
        <v>-7690.18</v>
      </c>
      <c r="J21" s="127">
        <v>-8595.52</v>
      </c>
      <c r="K21" s="127">
        <v>-8385.7800000000007</v>
      </c>
      <c r="L21" s="127">
        <v>-8387.4599999999991</v>
      </c>
      <c r="M21" s="127">
        <v>-8519.0400000000009</v>
      </c>
      <c r="N21" s="127">
        <v>-6585.55</v>
      </c>
      <c r="O21" s="127">
        <v>-9209.2000000000007</v>
      </c>
      <c r="P21" s="140">
        <f>SUM(D21:O21)</f>
        <v>-96920.760000000009</v>
      </c>
    </row>
    <row r="22" spans="2:16" ht="15" x14ac:dyDescent="0.25">
      <c r="B22" s="139" t="s">
        <v>104</v>
      </c>
      <c r="C22" s="85" t="s">
        <v>105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127">
        <v>0</v>
      </c>
      <c r="J22" s="127">
        <v>0</v>
      </c>
      <c r="K22" s="127">
        <v>0</v>
      </c>
      <c r="L22" s="127">
        <v>0</v>
      </c>
      <c r="M22" s="127">
        <v>0</v>
      </c>
      <c r="N22" s="127">
        <v>0</v>
      </c>
      <c r="O22" s="127">
        <v>0</v>
      </c>
      <c r="P22" s="140">
        <f>SUM(D22:O22)</f>
        <v>0</v>
      </c>
    </row>
    <row r="23" spans="2:16" ht="15" x14ac:dyDescent="0.25">
      <c r="B23" s="139" t="s">
        <v>106</v>
      </c>
      <c r="C23" s="85" t="s">
        <v>107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127">
        <v>0</v>
      </c>
      <c r="J23" s="127">
        <v>0</v>
      </c>
      <c r="K23" s="127">
        <v>0</v>
      </c>
      <c r="L23" s="127">
        <v>0</v>
      </c>
      <c r="M23" s="127">
        <v>0</v>
      </c>
      <c r="N23" s="127">
        <v>0</v>
      </c>
      <c r="O23" s="127">
        <v>0</v>
      </c>
      <c r="P23" s="140">
        <f t="shared" si="2"/>
        <v>0</v>
      </c>
    </row>
    <row r="24" spans="2:16" ht="15" x14ac:dyDescent="0.25">
      <c r="B24" s="139" t="s">
        <v>108</v>
      </c>
      <c r="C24" s="85" t="s">
        <v>109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127">
        <v>0</v>
      </c>
      <c r="J24" s="127">
        <v>0</v>
      </c>
      <c r="K24" s="127">
        <v>0</v>
      </c>
      <c r="L24" s="127">
        <v>0</v>
      </c>
      <c r="M24" s="127">
        <v>0</v>
      </c>
      <c r="N24" s="127">
        <v>0</v>
      </c>
      <c r="O24" s="127">
        <v>0</v>
      </c>
      <c r="P24" s="140">
        <f t="shared" si="2"/>
        <v>0</v>
      </c>
    </row>
    <row r="25" spans="2:16" s="93" customFormat="1" ht="15" x14ac:dyDescent="0.25">
      <c r="B25" s="139" t="s">
        <v>110</v>
      </c>
      <c r="C25" s="85" t="s">
        <v>111</v>
      </c>
      <c r="D25" s="65">
        <v>-9966.4599999999991</v>
      </c>
      <c r="E25" s="65">
        <v>-6470.05</v>
      </c>
      <c r="F25" s="65">
        <v>-8406.99</v>
      </c>
      <c r="G25" s="65">
        <v>-12577.41</v>
      </c>
      <c r="H25" s="65">
        <v>-8636.85</v>
      </c>
      <c r="I25" s="127">
        <v>-13673.1</v>
      </c>
      <c r="J25" s="127">
        <v>-10509.62</v>
      </c>
      <c r="K25" s="127">
        <v>-10019.56</v>
      </c>
      <c r="L25" s="127">
        <v>-10619.42</v>
      </c>
      <c r="M25" s="127">
        <v>-11046.75</v>
      </c>
      <c r="N25" s="127">
        <v>-8778.67</v>
      </c>
      <c r="O25" s="127">
        <v>-8615.19</v>
      </c>
      <c r="P25" s="140">
        <f t="shared" si="2"/>
        <v>-119320.06999999999</v>
      </c>
    </row>
    <row r="26" spans="2:16" ht="15" x14ac:dyDescent="0.25">
      <c r="B26" s="139" t="s">
        <v>112</v>
      </c>
      <c r="C26" s="85" t="s">
        <v>113</v>
      </c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127">
        <v>0</v>
      </c>
      <c r="J26" s="127">
        <v>0</v>
      </c>
      <c r="K26" s="127">
        <v>0</v>
      </c>
      <c r="L26" s="127">
        <v>0</v>
      </c>
      <c r="M26" s="127">
        <v>0</v>
      </c>
      <c r="N26" s="127">
        <v>0</v>
      </c>
      <c r="O26" s="127">
        <v>0</v>
      </c>
      <c r="P26" s="140">
        <f t="shared" si="2"/>
        <v>0</v>
      </c>
    </row>
    <row r="27" spans="2:16" ht="15" x14ac:dyDescent="0.25">
      <c r="B27" s="139" t="s">
        <v>114</v>
      </c>
      <c r="C27" s="85" t="s">
        <v>115</v>
      </c>
      <c r="D27" s="65">
        <v>-49339.39</v>
      </c>
      <c r="E27" s="65">
        <v>-36621.53</v>
      </c>
      <c r="F27" s="65">
        <v>-51866.29</v>
      </c>
      <c r="G27" s="65">
        <v>-45776.25</v>
      </c>
      <c r="H27" s="65">
        <v>-34934.089999999997</v>
      </c>
      <c r="I27" s="127">
        <v>-56692.160000000003</v>
      </c>
      <c r="J27" s="127">
        <v>-73857.64</v>
      </c>
      <c r="K27" s="127">
        <v>-63951.87</v>
      </c>
      <c r="L27" s="127">
        <v>-69925.56</v>
      </c>
      <c r="M27" s="127">
        <v>-73836.41</v>
      </c>
      <c r="N27" s="127">
        <v>-61059.15</v>
      </c>
      <c r="O27" s="127">
        <v>-64060.19</v>
      </c>
      <c r="P27" s="140">
        <f t="shared" si="2"/>
        <v>-681920.53</v>
      </c>
    </row>
    <row r="28" spans="2:16" ht="15" x14ac:dyDescent="0.25">
      <c r="B28" s="139" t="s">
        <v>116</v>
      </c>
      <c r="C28" s="85" t="s">
        <v>117</v>
      </c>
      <c r="D28" s="65">
        <v>-17090.810000000001</v>
      </c>
      <c r="E28" s="65">
        <v>-10842.18</v>
      </c>
      <c r="F28" s="65">
        <v>-14527.48</v>
      </c>
      <c r="G28" s="65">
        <v>-12654.04</v>
      </c>
      <c r="H28" s="65">
        <v>-6940.57</v>
      </c>
      <c r="I28" s="127">
        <v>-9382.35</v>
      </c>
      <c r="J28" s="127">
        <v>-7947.63</v>
      </c>
      <c r="K28" s="127">
        <v>-7064.24</v>
      </c>
      <c r="L28" s="127">
        <v>-7125.26</v>
      </c>
      <c r="M28" s="127">
        <v>-7742</v>
      </c>
      <c r="N28" s="127">
        <v>-6610.43</v>
      </c>
      <c r="O28" s="127">
        <v>-14161.83</v>
      </c>
      <c r="P28" s="140">
        <f t="shared" si="2"/>
        <v>-122088.82000000002</v>
      </c>
    </row>
    <row r="29" spans="2:16" ht="15" x14ac:dyDescent="0.25">
      <c r="B29" s="139" t="s">
        <v>118</v>
      </c>
      <c r="C29" s="85" t="s">
        <v>119</v>
      </c>
      <c r="D29" s="65">
        <v>-6875.75</v>
      </c>
      <c r="E29" s="65">
        <v>-4455.96</v>
      </c>
      <c r="F29" s="65">
        <v>-6330.75</v>
      </c>
      <c r="G29" s="65">
        <v>-417.05</v>
      </c>
      <c r="H29" s="65">
        <v>-264.27999999999997</v>
      </c>
      <c r="I29" s="127">
        <v>-374.57</v>
      </c>
      <c r="J29" s="127">
        <v>-450.58</v>
      </c>
      <c r="K29" s="127">
        <v>-427.93</v>
      </c>
      <c r="L29" s="127">
        <v>-465.32</v>
      </c>
      <c r="M29" s="127">
        <v>-502.94</v>
      </c>
      <c r="N29" s="127">
        <v>-391.43</v>
      </c>
      <c r="O29" s="127">
        <v>-397.2</v>
      </c>
      <c r="P29" s="140">
        <f>SUM(D29:O29)</f>
        <v>-21353.759999999998</v>
      </c>
    </row>
    <row r="30" spans="2:16" ht="15" x14ac:dyDescent="0.25">
      <c r="B30" s="139" t="s">
        <v>120</v>
      </c>
      <c r="C30" s="85" t="s">
        <v>121</v>
      </c>
      <c r="D30" s="65">
        <v>-122.82</v>
      </c>
      <c r="E30" s="65">
        <v>-78.81</v>
      </c>
      <c r="F30" s="65">
        <v>-101.49</v>
      </c>
      <c r="G30" s="65">
        <v>-80.91</v>
      </c>
      <c r="H30" s="65">
        <v>-62.85</v>
      </c>
      <c r="I30" s="127">
        <v>-57.39</v>
      </c>
      <c r="J30" s="127">
        <v>-65.98</v>
      </c>
      <c r="K30" s="127">
        <v>0</v>
      </c>
      <c r="L30" s="127">
        <v>0</v>
      </c>
      <c r="M30" s="127">
        <v>0</v>
      </c>
      <c r="N30" s="127">
        <v>0</v>
      </c>
      <c r="O30" s="127">
        <v>0</v>
      </c>
      <c r="P30" s="140">
        <f>SUM(D30:O30)</f>
        <v>-570.25</v>
      </c>
    </row>
    <row r="31" spans="2:16" ht="15" x14ac:dyDescent="0.25">
      <c r="B31" s="139" t="s">
        <v>122</v>
      </c>
      <c r="C31" s="85" t="s">
        <v>123</v>
      </c>
      <c r="D31" s="65">
        <v>-130711.84</v>
      </c>
      <c r="E31" s="65">
        <v>-96986.2</v>
      </c>
      <c r="F31" s="65">
        <v>-138818.1</v>
      </c>
      <c r="G31" s="65">
        <v>-127902.66</v>
      </c>
      <c r="H31" s="65">
        <v>-95468.47</v>
      </c>
      <c r="I31" s="127">
        <v>-154690.97</v>
      </c>
      <c r="J31" s="127">
        <v>-171990.07</v>
      </c>
      <c r="K31" s="127">
        <v>-2916.76</v>
      </c>
      <c r="L31" s="127">
        <v>-3121.37</v>
      </c>
      <c r="M31" s="127">
        <v>-3254.94</v>
      </c>
      <c r="N31" s="127">
        <v>-2628.46</v>
      </c>
      <c r="O31" s="127">
        <v>-3326.53</v>
      </c>
      <c r="P31" s="140">
        <f t="shared" si="2"/>
        <v>-931816.37</v>
      </c>
    </row>
    <row r="32" spans="2:16" ht="15" x14ac:dyDescent="0.25">
      <c r="B32" s="139" t="s">
        <v>124</v>
      </c>
      <c r="C32" s="85" t="s">
        <v>125</v>
      </c>
      <c r="D32" s="65">
        <v>-3585.34</v>
      </c>
      <c r="E32" s="65">
        <v>-2350.48</v>
      </c>
      <c r="F32" s="65">
        <v>-992.62</v>
      </c>
      <c r="G32" s="65">
        <v>-853.38</v>
      </c>
      <c r="H32" s="65">
        <v>-669.73</v>
      </c>
      <c r="I32" s="127">
        <v>-1149.6400000000001</v>
      </c>
      <c r="J32" s="127">
        <v>-1515.35</v>
      </c>
      <c r="K32" s="127">
        <v>-1507.25</v>
      </c>
      <c r="L32" s="127">
        <v>-1478.56</v>
      </c>
      <c r="M32" s="127">
        <v>-1568.91</v>
      </c>
      <c r="N32" s="127">
        <v>-1078.4000000000001</v>
      </c>
      <c r="O32" s="127">
        <v>-1125.08</v>
      </c>
      <c r="P32" s="140">
        <f t="shared" si="2"/>
        <v>-17874.739999999998</v>
      </c>
    </row>
    <row r="33" spans="1:16" ht="15" x14ac:dyDescent="0.25">
      <c r="B33" s="139" t="s">
        <v>154</v>
      </c>
      <c r="C33" s="85" t="s">
        <v>125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127">
        <v>0</v>
      </c>
      <c r="J33" s="127">
        <v>0</v>
      </c>
      <c r="K33" s="127">
        <v>0</v>
      </c>
      <c r="L33" s="127">
        <v>0</v>
      </c>
      <c r="M33" s="127">
        <v>-505.9</v>
      </c>
      <c r="N33" s="127">
        <v>-370.55</v>
      </c>
      <c r="O33" s="127">
        <v>-363.26</v>
      </c>
      <c r="P33" s="140">
        <f t="shared" si="2"/>
        <v>-1239.71</v>
      </c>
    </row>
    <row r="34" spans="1:16" ht="15" x14ac:dyDescent="0.25">
      <c r="B34" s="139" t="s">
        <v>155</v>
      </c>
      <c r="C34" s="85" t="s">
        <v>127</v>
      </c>
      <c r="D34" s="65">
        <v>-65645.289999999994</v>
      </c>
      <c r="E34" s="65">
        <v>-51055.05</v>
      </c>
      <c r="F34" s="65">
        <v>-61764.2</v>
      </c>
      <c r="G34" s="65">
        <v>-57021.440000000002</v>
      </c>
      <c r="H34" s="65">
        <v>-42232</v>
      </c>
      <c r="I34" s="127">
        <v>-61543.86</v>
      </c>
      <c r="J34" s="127">
        <v>-72090.100000000006</v>
      </c>
      <c r="K34" s="127">
        <v>-7873.2</v>
      </c>
      <c r="L34" s="127">
        <v>-10439.44</v>
      </c>
      <c r="M34" s="127">
        <v>-12885.77</v>
      </c>
      <c r="N34" s="127">
        <v>-4714.4399999999996</v>
      </c>
      <c r="O34" s="127">
        <v>-7820.39</v>
      </c>
      <c r="P34" s="140">
        <f t="shared" si="2"/>
        <v>-455085.18</v>
      </c>
    </row>
    <row r="35" spans="1:16" ht="15" x14ac:dyDescent="0.25">
      <c r="B35" s="139" t="s">
        <v>156</v>
      </c>
      <c r="C35" s="85" t="s">
        <v>129</v>
      </c>
      <c r="D35" s="65">
        <v>0</v>
      </c>
      <c r="E35" s="65">
        <v>0</v>
      </c>
      <c r="F35" s="65">
        <v>0</v>
      </c>
      <c r="G35" s="65">
        <v>0</v>
      </c>
      <c r="H35" s="65">
        <v>-308.55</v>
      </c>
      <c r="I35" s="127">
        <v>-576.38</v>
      </c>
      <c r="J35" s="127">
        <v>-747.43</v>
      </c>
      <c r="K35" s="127">
        <v>-769.91</v>
      </c>
      <c r="L35" s="127">
        <v>-796.89</v>
      </c>
      <c r="M35" s="127">
        <v>-745.44</v>
      </c>
      <c r="N35" s="127">
        <v>-518.30999999999995</v>
      </c>
      <c r="O35" s="127">
        <v>-420.15</v>
      </c>
      <c r="P35" s="140">
        <f t="shared" si="2"/>
        <v>-4883.0599999999995</v>
      </c>
    </row>
    <row r="36" spans="1:16" ht="15" x14ac:dyDescent="0.25">
      <c r="B36" s="139" t="s">
        <v>130</v>
      </c>
      <c r="C36" s="85" t="s">
        <v>131</v>
      </c>
      <c r="D36" s="65"/>
      <c r="E36" s="65"/>
      <c r="F36" s="65"/>
      <c r="G36" s="65"/>
      <c r="H36" s="65"/>
      <c r="I36" s="127"/>
      <c r="J36" s="127"/>
      <c r="K36" s="127"/>
      <c r="L36" s="127"/>
      <c r="M36" s="127"/>
      <c r="N36" s="127"/>
      <c r="O36" s="127"/>
      <c r="P36" s="140">
        <f t="shared" si="2"/>
        <v>0</v>
      </c>
    </row>
    <row r="37" spans="1:16" ht="15" x14ac:dyDescent="0.25">
      <c r="B37" s="139" t="s">
        <v>132</v>
      </c>
      <c r="C37" s="85" t="s">
        <v>133</v>
      </c>
      <c r="D37" s="65"/>
      <c r="E37" s="65"/>
      <c r="F37" s="65"/>
      <c r="G37" s="65"/>
      <c r="H37" s="65"/>
      <c r="I37" s="127"/>
      <c r="J37" s="127"/>
      <c r="K37" s="127"/>
      <c r="L37" s="127"/>
      <c r="M37" s="127"/>
      <c r="N37" s="127"/>
      <c r="O37" s="127"/>
      <c r="P37" s="140">
        <f t="shared" si="2"/>
        <v>0</v>
      </c>
    </row>
    <row r="38" spans="1:16" ht="15" x14ac:dyDescent="0.25">
      <c r="B38" s="150" t="s">
        <v>134</v>
      </c>
      <c r="C38" s="85" t="s">
        <v>80</v>
      </c>
      <c r="D38" s="65">
        <v>-8411.6299999999992</v>
      </c>
      <c r="E38" s="65">
        <v>-5241.63</v>
      </c>
      <c r="F38" s="65">
        <v>-7108.25</v>
      </c>
      <c r="G38" s="65">
        <v>-5618.94</v>
      </c>
      <c r="H38" s="65">
        <v>-3846.69</v>
      </c>
      <c r="I38" s="127">
        <v>-5460.36</v>
      </c>
      <c r="J38" s="127">
        <v>-5054.37</v>
      </c>
      <c r="K38" s="127">
        <v>-4790.7</v>
      </c>
      <c r="L38" s="127">
        <v>-5763.24</v>
      </c>
      <c r="M38" s="127">
        <v>-6970.37</v>
      </c>
      <c r="N38" s="127">
        <v>-6561.24</v>
      </c>
      <c r="O38" s="127">
        <v>-7774.52</v>
      </c>
      <c r="P38" s="140">
        <f t="shared" si="2"/>
        <v>-72601.939999999988</v>
      </c>
    </row>
    <row r="39" spans="1:16" s="93" customFormat="1" ht="13.5" thickBot="1" x14ac:dyDescent="0.25">
      <c r="B39" s="137" t="s">
        <v>157</v>
      </c>
      <c r="C39" s="142"/>
      <c r="D39" s="152">
        <v>133905.38</v>
      </c>
      <c r="E39" s="152">
        <v>-183673.80000000005</v>
      </c>
      <c r="F39" s="152">
        <v>70243.12</v>
      </c>
      <c r="G39" s="152">
        <v>121706.78000000003</v>
      </c>
      <c r="H39" s="152">
        <v>-184594.76</v>
      </c>
      <c r="I39" s="152">
        <v>-115835.54999999993</v>
      </c>
      <c r="J39" s="152">
        <v>189223.98</v>
      </c>
      <c r="K39" s="152">
        <v>-101556.75</v>
      </c>
      <c r="L39" s="152">
        <v>-6356.42</v>
      </c>
      <c r="M39" s="152">
        <v>54525.16</v>
      </c>
      <c r="N39" s="152">
        <v>-23492.03</v>
      </c>
      <c r="O39" s="152">
        <v>145403.12</v>
      </c>
      <c r="P39" s="141"/>
    </row>
    <row r="40" spans="1:16" ht="15" x14ac:dyDescent="0.25">
      <c r="A40" s="48"/>
      <c r="B40" s="143" t="s">
        <v>84</v>
      </c>
      <c r="C40" s="144"/>
      <c r="D40" s="145">
        <f>SUM(D16:D39)</f>
        <v>-499461.05000000005</v>
      </c>
      <c r="E40" s="145">
        <f>SUM(E16:E39)</f>
        <v>-632927.40000000014</v>
      </c>
      <c r="F40" s="145">
        <f t="shared" ref="F40:P40" si="3">SUM(F16:F39)</f>
        <v>-559095.79999999981</v>
      </c>
      <c r="G40" s="145">
        <f t="shared" si="3"/>
        <v>-441040.81999999983</v>
      </c>
      <c r="H40" s="145">
        <f>SUM(H16:H39)</f>
        <v>-591242.66999999993</v>
      </c>
      <c r="I40" s="145">
        <f t="shared" si="3"/>
        <v>-764005.79999999993</v>
      </c>
      <c r="J40" s="145">
        <f t="shared" si="3"/>
        <v>-540637.56000000006</v>
      </c>
      <c r="K40" s="145">
        <f t="shared" si="3"/>
        <v>-647377.43000000005</v>
      </c>
      <c r="L40" s="145">
        <f t="shared" si="3"/>
        <v>-655837.8600000001</v>
      </c>
      <c r="M40" s="145">
        <f t="shared" si="3"/>
        <v>-598289.14999999991</v>
      </c>
      <c r="N40" s="145">
        <f t="shared" si="3"/>
        <v>-622084.94000000006</v>
      </c>
      <c r="O40" s="145">
        <f t="shared" si="3"/>
        <v>-473346.89</v>
      </c>
      <c r="P40" s="146">
        <f t="shared" si="3"/>
        <v>-7124845.6000000006</v>
      </c>
    </row>
    <row r="41" spans="1:16" ht="15" x14ac:dyDescent="0.25">
      <c r="A41" s="48"/>
      <c r="B41" s="147"/>
      <c r="C41" s="148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40"/>
    </row>
    <row r="42" spans="1:16" ht="15" x14ac:dyDescent="0.25">
      <c r="A42" s="48"/>
      <c r="B42" s="123" t="s">
        <v>85</v>
      </c>
      <c r="C42" s="149"/>
      <c r="D42" s="124">
        <f t="shared" ref="D42:O42" si="4">+D9+D14+D40</f>
        <v>-176866.99000000011</v>
      </c>
      <c r="E42" s="124">
        <f>+E9+E14+E40</f>
        <v>-293313.94000000024</v>
      </c>
      <c r="F42" s="124">
        <f t="shared" si="4"/>
        <v>-402228.62000000005</v>
      </c>
      <c r="G42" s="124">
        <f>+G9+G14+G40</f>
        <v>-187162.60999999993</v>
      </c>
      <c r="H42" s="124">
        <f>+H9+H14+H40+H45</f>
        <v>-38721.009999999776</v>
      </c>
      <c r="I42" s="124">
        <f t="shared" si="4"/>
        <v>-89760.829999999725</v>
      </c>
      <c r="J42" s="124">
        <f t="shared" si="4"/>
        <v>-53402.299999999814</v>
      </c>
      <c r="K42" s="124">
        <f t="shared" si="4"/>
        <v>-130367.22999999986</v>
      </c>
      <c r="L42" s="124">
        <f t="shared" si="4"/>
        <v>-319299.11</v>
      </c>
      <c r="M42" s="124">
        <f t="shared" si="4"/>
        <v>-209543.82999999996</v>
      </c>
      <c r="N42" s="124">
        <f t="shared" si="4"/>
        <v>-298701.95999999996</v>
      </c>
      <c r="O42" s="124">
        <f t="shared" si="4"/>
        <v>-288689.3</v>
      </c>
      <c r="P42" s="125"/>
    </row>
    <row r="43" spans="1:16" ht="15" x14ac:dyDescent="0.25">
      <c r="A43" s="48"/>
      <c r="B43" s="137"/>
      <c r="C43" s="138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8"/>
    </row>
    <row r="44" spans="1:16" s="150" customFormat="1" ht="15" x14ac:dyDescent="0.25">
      <c r="B44" s="147" t="s">
        <v>136</v>
      </c>
      <c r="C44" s="151" t="s">
        <v>91</v>
      </c>
      <c r="D44" s="152">
        <f>D14+D40</f>
        <v>29021.929999999935</v>
      </c>
      <c r="E44" s="152">
        <f t="shared" ref="E44:O44" si="5">E14+E40</f>
        <v>-116446.95000000013</v>
      </c>
      <c r="F44" s="152">
        <f t="shared" si="5"/>
        <v>-108914.67999999982</v>
      </c>
      <c r="G44" s="152">
        <f t="shared" si="5"/>
        <v>215066.01000000013</v>
      </c>
      <c r="H44" s="152">
        <f t="shared" si="5"/>
        <v>148441.60000000009</v>
      </c>
      <c r="I44" s="152">
        <f t="shared" si="5"/>
        <v>-51039.819999999949</v>
      </c>
      <c r="J44" s="152">
        <f t="shared" si="5"/>
        <v>36358.529999999912</v>
      </c>
      <c r="K44" s="152">
        <f t="shared" si="5"/>
        <v>-76964.930000000051</v>
      </c>
      <c r="L44" s="152">
        <f t="shared" si="5"/>
        <v>-188931.88000000012</v>
      </c>
      <c r="M44" s="152">
        <f t="shared" si="5"/>
        <v>109755.28000000003</v>
      </c>
      <c r="N44" s="152">
        <f t="shared" si="5"/>
        <v>-89158.13</v>
      </c>
      <c r="O44" s="152">
        <f t="shared" si="5"/>
        <v>10012.659999999974</v>
      </c>
      <c r="P44" s="140">
        <f>SUM(D44:O44)</f>
        <v>-82800.38</v>
      </c>
    </row>
    <row r="45" spans="1:16" s="150" customFormat="1" ht="15" x14ac:dyDescent="0.25">
      <c r="B45" s="113" t="s">
        <v>142</v>
      </c>
      <c r="C45" s="151"/>
      <c r="D45" s="152"/>
      <c r="E45" s="152"/>
      <c r="F45" s="152"/>
      <c r="G45" s="152"/>
      <c r="H45" s="152">
        <v>0</v>
      </c>
      <c r="I45" s="152"/>
      <c r="J45" s="152"/>
      <c r="K45" s="152"/>
      <c r="L45" s="152"/>
      <c r="M45" s="152"/>
      <c r="N45" s="152"/>
      <c r="O45" s="152"/>
      <c r="P45" s="140"/>
    </row>
  </sheetData>
  <mergeCells count="1">
    <mergeCell ref="B1:P1"/>
  </mergeCells>
  <printOptions horizontalCentered="1"/>
  <pageMargins left="0.51181102362204722" right="0" top="0.74803149606299213" bottom="0.23622047244094491" header="0.51181102362204722" footer="0.51181102362204722"/>
  <pageSetup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I32" sqref="I32"/>
    </sheetView>
  </sheetViews>
  <sheetFormatPr defaultRowHeight="15" x14ac:dyDescent="0.25"/>
  <cols>
    <col min="1" max="1" width="10.42578125" customWidth="1"/>
    <col min="2" max="2" width="12.85546875" customWidth="1"/>
    <col min="3" max="3" width="16.85546875" customWidth="1"/>
    <col min="4" max="4" width="18.85546875" customWidth="1"/>
    <col min="5" max="5" width="14.140625" customWidth="1"/>
    <col min="6" max="7" width="14.28515625" customWidth="1"/>
    <col min="8" max="8" width="10.140625" customWidth="1"/>
    <col min="9" max="10" width="13.85546875" customWidth="1"/>
  </cols>
  <sheetData>
    <row r="1" spans="1:11" x14ac:dyDescent="0.25">
      <c r="A1" t="s">
        <v>158</v>
      </c>
      <c r="B1" t="s">
        <v>159</v>
      </c>
      <c r="C1" s="166">
        <v>43399</v>
      </c>
      <c r="D1" s="167">
        <v>0.45887731481481481</v>
      </c>
      <c r="E1" t="s">
        <v>160</v>
      </c>
      <c r="F1">
        <v>1</v>
      </c>
      <c r="G1" t="s">
        <v>161</v>
      </c>
      <c r="H1" s="166">
        <v>43399</v>
      </c>
      <c r="I1" t="s">
        <v>162</v>
      </c>
      <c r="J1" t="s">
        <v>163</v>
      </c>
    </row>
    <row r="2" spans="1:11" x14ac:dyDescent="0.25">
      <c r="A2" t="s">
        <v>164</v>
      </c>
    </row>
    <row r="3" spans="1:11" x14ac:dyDescent="0.25">
      <c r="A3" t="s">
        <v>165</v>
      </c>
    </row>
    <row r="5" spans="1:11" x14ac:dyDescent="0.25">
      <c r="A5" t="s">
        <v>166</v>
      </c>
      <c r="B5" t="s">
        <v>167</v>
      </c>
      <c r="C5" t="s">
        <v>168</v>
      </c>
      <c r="D5" t="s">
        <v>169</v>
      </c>
      <c r="E5" s="166">
        <v>42736</v>
      </c>
      <c r="F5" s="166">
        <v>43100</v>
      </c>
      <c r="G5" t="s">
        <v>170</v>
      </c>
      <c r="H5" t="s">
        <v>171</v>
      </c>
      <c r="I5" t="s">
        <v>172</v>
      </c>
      <c r="J5" t="s">
        <v>173</v>
      </c>
    </row>
    <row r="6" spans="1:11" x14ac:dyDescent="0.25">
      <c r="A6" t="s">
        <v>174</v>
      </c>
      <c r="B6" t="s">
        <v>91</v>
      </c>
      <c r="C6" t="s">
        <v>91</v>
      </c>
      <c r="D6" t="s">
        <v>175</v>
      </c>
      <c r="E6" t="s">
        <v>176</v>
      </c>
      <c r="F6" t="s">
        <v>177</v>
      </c>
    </row>
    <row r="7" spans="1:11" x14ac:dyDescent="0.25">
      <c r="A7" t="s">
        <v>174</v>
      </c>
      <c r="B7" t="s">
        <v>91</v>
      </c>
      <c r="D7" t="s">
        <v>178</v>
      </c>
      <c r="E7" t="s">
        <v>179</v>
      </c>
      <c r="F7" t="s">
        <v>180</v>
      </c>
      <c r="G7" s="168">
        <v>136292.59</v>
      </c>
    </row>
    <row r="8" spans="1:11" x14ac:dyDescent="0.25">
      <c r="B8" t="s">
        <v>181</v>
      </c>
      <c r="C8" t="s">
        <v>182</v>
      </c>
      <c r="D8" t="s">
        <v>183</v>
      </c>
      <c r="E8" t="s">
        <v>184</v>
      </c>
      <c r="G8" t="s">
        <v>185</v>
      </c>
      <c r="H8" t="s">
        <v>186</v>
      </c>
      <c r="J8" t="s">
        <v>187</v>
      </c>
      <c r="K8" t="s">
        <v>188</v>
      </c>
    </row>
    <row r="9" spans="1:11" x14ac:dyDescent="0.25">
      <c r="A9" s="166">
        <v>42766</v>
      </c>
      <c r="B9" s="169">
        <v>111649</v>
      </c>
      <c r="C9" t="s">
        <v>189</v>
      </c>
      <c r="D9" t="s">
        <v>190</v>
      </c>
      <c r="J9" s="168">
        <v>104883.45</v>
      </c>
    </row>
    <row r="10" spans="1:11" x14ac:dyDescent="0.25">
      <c r="A10" s="166">
        <v>42794</v>
      </c>
      <c r="B10" s="169">
        <v>112425</v>
      </c>
      <c r="C10" t="s">
        <v>191</v>
      </c>
      <c r="D10" t="s">
        <v>192</v>
      </c>
      <c r="I10" s="168">
        <v>67226.850000000006</v>
      </c>
    </row>
    <row r="11" spans="1:11" x14ac:dyDescent="0.25">
      <c r="A11" s="166">
        <v>42825</v>
      </c>
      <c r="B11" s="169">
        <v>114457</v>
      </c>
      <c r="C11" t="s">
        <v>193</v>
      </c>
      <c r="D11" t="s">
        <v>194</v>
      </c>
      <c r="J11" s="168">
        <v>179157.8</v>
      </c>
    </row>
    <row r="12" spans="1:11" x14ac:dyDescent="0.25">
      <c r="A12" s="166">
        <v>42855</v>
      </c>
      <c r="B12" s="169">
        <v>115503</v>
      </c>
      <c r="C12" t="s">
        <v>195</v>
      </c>
      <c r="D12" t="s">
        <v>196</v>
      </c>
      <c r="I12" s="168">
        <v>93359.23</v>
      </c>
    </row>
    <row r="13" spans="1:11" x14ac:dyDescent="0.25">
      <c r="A13" s="166">
        <v>42886</v>
      </c>
      <c r="B13" s="169">
        <v>116960</v>
      </c>
      <c r="C13" t="s">
        <v>197</v>
      </c>
      <c r="D13" t="s">
        <v>198</v>
      </c>
      <c r="I13" s="168">
        <v>333036.36</v>
      </c>
    </row>
    <row r="14" spans="1:11" x14ac:dyDescent="0.25">
      <c r="A14" s="166">
        <v>42916</v>
      </c>
      <c r="B14" s="169">
        <v>118358</v>
      </c>
      <c r="C14" t="s">
        <v>199</v>
      </c>
      <c r="D14" t="s">
        <v>200</v>
      </c>
      <c r="I14" s="168">
        <v>64795.73</v>
      </c>
    </row>
    <row r="15" spans="1:11" x14ac:dyDescent="0.25">
      <c r="A15" s="166">
        <v>42916</v>
      </c>
      <c r="B15" s="169">
        <v>120263</v>
      </c>
      <c r="C15" t="s">
        <v>201</v>
      </c>
      <c r="D15" t="s">
        <v>202</v>
      </c>
      <c r="J15" s="168">
        <v>723393.55</v>
      </c>
    </row>
    <row r="16" spans="1:11" x14ac:dyDescent="0.25">
      <c r="A16" s="166">
        <v>42916</v>
      </c>
      <c r="B16" s="169">
        <v>128707</v>
      </c>
      <c r="C16" t="s">
        <v>203</v>
      </c>
      <c r="D16" t="s">
        <v>202</v>
      </c>
      <c r="I16" s="168">
        <v>723393.55</v>
      </c>
    </row>
    <row r="17" spans="1:10" s="173" customFormat="1" x14ac:dyDescent="0.25">
      <c r="A17" s="171">
        <v>42916</v>
      </c>
      <c r="B17" s="172">
        <v>128709</v>
      </c>
      <c r="C17" s="173" t="s">
        <v>203</v>
      </c>
      <c r="D17" s="173" t="s">
        <v>202</v>
      </c>
      <c r="J17" s="170">
        <v>500430.34</v>
      </c>
    </row>
    <row r="18" spans="1:10" x14ac:dyDescent="0.25">
      <c r="A18" s="166">
        <v>42947</v>
      </c>
      <c r="B18" s="169">
        <v>121811</v>
      </c>
      <c r="C18" t="s">
        <v>205</v>
      </c>
      <c r="D18" t="s">
        <v>202</v>
      </c>
      <c r="I18" s="168">
        <v>723393.55</v>
      </c>
    </row>
    <row r="19" spans="1:10" x14ac:dyDescent="0.25">
      <c r="A19" s="166">
        <v>42947</v>
      </c>
      <c r="B19" s="169">
        <v>128712</v>
      </c>
      <c r="C19" t="s">
        <v>203</v>
      </c>
      <c r="D19" t="s">
        <v>202</v>
      </c>
      <c r="J19" s="168">
        <v>723393.55</v>
      </c>
    </row>
    <row r="20" spans="1:10" x14ac:dyDescent="0.25">
      <c r="A20" s="166">
        <v>42947</v>
      </c>
      <c r="B20" s="169">
        <v>128714</v>
      </c>
      <c r="C20" t="s">
        <v>203</v>
      </c>
      <c r="D20" t="s">
        <v>204</v>
      </c>
      <c r="I20" s="168">
        <v>36358.53</v>
      </c>
    </row>
    <row r="21" spans="1:10" x14ac:dyDescent="0.25">
      <c r="A21" s="166">
        <v>42978</v>
      </c>
      <c r="B21" s="169">
        <v>121691</v>
      </c>
      <c r="C21" t="s">
        <v>206</v>
      </c>
      <c r="D21" t="s">
        <v>207</v>
      </c>
      <c r="J21" s="168">
        <v>75321.289999999994</v>
      </c>
    </row>
    <row r="22" spans="1:10" x14ac:dyDescent="0.25">
      <c r="A22" s="166">
        <v>42978</v>
      </c>
      <c r="B22" s="169">
        <v>124603</v>
      </c>
      <c r="C22" t="s">
        <v>208</v>
      </c>
      <c r="D22" t="s">
        <v>209</v>
      </c>
      <c r="J22" s="168">
        <v>1643.64</v>
      </c>
    </row>
    <row r="23" spans="1:10" x14ac:dyDescent="0.25">
      <c r="A23" s="166">
        <v>42978</v>
      </c>
      <c r="B23" s="169">
        <v>128724</v>
      </c>
      <c r="C23" t="s">
        <v>210</v>
      </c>
      <c r="D23" t="s">
        <v>209</v>
      </c>
      <c r="I23" s="168">
        <v>1643.64</v>
      </c>
    </row>
    <row r="24" spans="1:10" x14ac:dyDescent="0.25">
      <c r="A24" s="166">
        <v>42978</v>
      </c>
      <c r="B24" s="169">
        <v>128803</v>
      </c>
      <c r="C24" t="s">
        <v>211</v>
      </c>
      <c r="D24" t="s">
        <v>209</v>
      </c>
      <c r="J24" s="168">
        <v>1643.64</v>
      </c>
    </row>
    <row r="25" spans="1:10" x14ac:dyDescent="0.25">
      <c r="A25" s="166">
        <v>43008</v>
      </c>
      <c r="B25" s="169">
        <v>123876</v>
      </c>
      <c r="C25" t="s">
        <v>212</v>
      </c>
      <c r="D25" t="s">
        <v>213</v>
      </c>
      <c r="J25" s="168">
        <v>188931.88</v>
      </c>
    </row>
    <row r="26" spans="1:10" x14ac:dyDescent="0.25">
      <c r="A26" s="166">
        <v>43039</v>
      </c>
      <c r="B26" s="169">
        <v>125921</v>
      </c>
      <c r="C26" t="s">
        <v>214</v>
      </c>
      <c r="D26" t="s">
        <v>215</v>
      </c>
      <c r="I26" s="168">
        <v>109755.28</v>
      </c>
    </row>
    <row r="27" spans="1:10" x14ac:dyDescent="0.25">
      <c r="A27" s="166">
        <v>43069</v>
      </c>
      <c r="B27" s="169">
        <v>129389</v>
      </c>
      <c r="C27" t="s">
        <v>216</v>
      </c>
      <c r="D27" t="s">
        <v>217</v>
      </c>
      <c r="J27" s="168">
        <v>89158.13</v>
      </c>
    </row>
    <row r="28" spans="1:10" x14ac:dyDescent="0.25">
      <c r="A28" s="166">
        <v>43100</v>
      </c>
      <c r="B28" s="169">
        <v>129406</v>
      </c>
      <c r="C28" t="s">
        <v>218</v>
      </c>
      <c r="D28" t="s">
        <v>219</v>
      </c>
      <c r="I28" s="168">
        <v>10012.66</v>
      </c>
    </row>
    <row r="29" spans="1:10" x14ac:dyDescent="0.25">
      <c r="A29" t="s">
        <v>220</v>
      </c>
      <c r="B29" t="s">
        <v>85</v>
      </c>
    </row>
    <row r="30" spans="1:10" x14ac:dyDescent="0.25">
      <c r="A30" t="s">
        <v>221</v>
      </c>
      <c r="B30" s="168">
        <v>-424981.89</v>
      </c>
      <c r="C30" s="168">
        <v>-288689.3</v>
      </c>
      <c r="D30" s="168">
        <v>2162975.38</v>
      </c>
      <c r="E30" s="168">
        <v>2587957.27</v>
      </c>
      <c r="F30" t="s">
        <v>174</v>
      </c>
      <c r="G30" t="s">
        <v>91</v>
      </c>
    </row>
    <row r="31" spans="1:10" x14ac:dyDescent="0.25">
      <c r="A31" t="s">
        <v>222</v>
      </c>
      <c r="B31" t="s">
        <v>223</v>
      </c>
      <c r="C31" t="s">
        <v>220</v>
      </c>
      <c r="D31" t="s">
        <v>85</v>
      </c>
      <c r="E31" t="s">
        <v>187</v>
      </c>
      <c r="F31" t="s">
        <v>188</v>
      </c>
    </row>
    <row r="32" spans="1:10" x14ac:dyDescent="0.25">
      <c r="A32" t="s">
        <v>224</v>
      </c>
      <c r="B32">
        <v>1</v>
      </c>
      <c r="C32" s="168">
        <v>136292.59</v>
      </c>
      <c r="D32" s="168">
        <v>-424981.89</v>
      </c>
      <c r="E32" s="168">
        <v>-288689.3</v>
      </c>
      <c r="F32" s="168">
        <v>2162975.38</v>
      </c>
      <c r="G32" s="168">
        <v>2587957.27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IESO charges difference</vt:lpstr>
      <vt:lpstr>2015 RSVA 1588</vt:lpstr>
      <vt:lpstr>2015 RSVA 1589 GA</vt:lpstr>
      <vt:lpstr>2016 RSVA 1588</vt:lpstr>
      <vt:lpstr>2016 RSVA 1589 GA</vt:lpstr>
      <vt:lpstr>2017 RSVA 1588</vt:lpstr>
      <vt:lpstr>2017 RSVA 1589 GA</vt:lpstr>
      <vt:lpstr>1589</vt:lpstr>
      <vt:lpstr>Sheet1</vt:lpstr>
      <vt:lpstr>'2015 RSVA 1588'!Print_Area</vt:lpstr>
      <vt:lpstr>'2015 RSVA 1589 GA'!Print_Area</vt:lpstr>
      <vt:lpstr>'2016 RSVA 1588'!Print_Area</vt:lpstr>
      <vt:lpstr>'2016 RSVA 1589 GA'!Print_Area</vt:lpstr>
      <vt:lpstr>'2017 RSVA 1588'!Print_Area</vt:lpstr>
      <vt:lpstr>'2017 RSVA 1589 GA'!Print_Area</vt:lpstr>
      <vt:lpstr>'IESO charges difference'!Print_Area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Bucknall</dc:creator>
  <cp:lastModifiedBy>Raymond Petersen</cp:lastModifiedBy>
  <cp:lastPrinted>2018-10-19T13:53:20Z</cp:lastPrinted>
  <dcterms:created xsi:type="dcterms:W3CDTF">2013-06-13T20:32:54Z</dcterms:created>
  <dcterms:modified xsi:type="dcterms:W3CDTF">2018-10-26T17:33:37Z</dcterms:modified>
</cp:coreProperties>
</file>