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/>
  <mc:AlternateContent xmlns:mc="http://schemas.openxmlformats.org/markup-compatibility/2006">
    <mc:Choice Requires="x15">
      <x15ac:absPath xmlns:x15ac="http://schemas.microsoft.com/office/spreadsheetml/2010/11/ac" url="I:\Rate Submissions\2019\IRs\Fourth IR\IRRs November 8\"/>
    </mc:Choice>
  </mc:AlternateContent>
  <xr:revisionPtr revIDLastSave="0" documentId="10_ncr:100000_{C10B12FD-C95B-4B41-811A-6E1FC6FB04C2}" xr6:coauthVersionLast="31" xr6:coauthVersionMax="31" xr10:uidLastSave="{00000000-0000-0000-0000-000000000000}"/>
  <bookViews>
    <workbookView xWindow="0" yWindow="0" windowWidth="20490" windowHeight="7545" xr2:uid="{00000000-000D-0000-FFFF-FFFF00000000}"/>
  </bookViews>
  <sheets>
    <sheet name="IESO Inoivce Adjustment 2017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calcPr calcId="179017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1" l="1"/>
  <c r="H25" i="1"/>
  <c r="I25" i="1"/>
  <c r="I23" i="1"/>
  <c r="B30" i="1"/>
  <c r="D31" i="1"/>
  <c r="B31" i="1"/>
  <c r="D32" i="1"/>
  <c r="B32" i="1"/>
  <c r="D33" i="1"/>
  <c r="B33" i="1"/>
  <c r="D34" i="1"/>
  <c r="B34" i="1"/>
  <c r="D35" i="1"/>
  <c r="B35" i="1"/>
  <c r="D36" i="1"/>
  <c r="B36" i="1"/>
  <c r="D37" i="1"/>
  <c r="B37" i="1"/>
  <c r="D38" i="1"/>
  <c r="B38" i="1"/>
  <c r="D39" i="1"/>
  <c r="B39" i="1"/>
  <c r="D40" i="1"/>
  <c r="B40" i="1"/>
  <c r="D41" i="1"/>
  <c r="C31" i="1"/>
  <c r="E31" i="1"/>
  <c r="C37" i="1"/>
  <c r="E37" i="1"/>
  <c r="C36" i="1"/>
  <c r="E36" i="1"/>
  <c r="C30" i="1"/>
  <c r="D30" i="1"/>
  <c r="E30" i="1"/>
  <c r="C32" i="1"/>
  <c r="E32" i="1"/>
  <c r="C33" i="1"/>
  <c r="E33" i="1"/>
  <c r="C34" i="1"/>
  <c r="E34" i="1"/>
  <c r="C35" i="1"/>
  <c r="E35" i="1"/>
  <c r="C38" i="1"/>
  <c r="E38" i="1"/>
  <c r="C39" i="1"/>
  <c r="E39" i="1"/>
  <c r="C40" i="1"/>
  <c r="E40" i="1"/>
  <c r="B41" i="1"/>
  <c r="C41" i="1"/>
  <c r="E41" i="1"/>
  <c r="E42" i="1"/>
  <c r="B42" i="1"/>
  <c r="F42" i="1"/>
  <c r="B19" i="1"/>
  <c r="C13" i="1"/>
  <c r="D13" i="1"/>
  <c r="K42" i="1"/>
  <c r="F62" i="1"/>
  <c r="B62" i="1"/>
  <c r="C19" i="1"/>
  <c r="D19" i="1"/>
  <c r="E19" i="1"/>
  <c r="C62" i="1"/>
  <c r="B59" i="1"/>
  <c r="D62" i="1"/>
  <c r="E62" i="1"/>
  <c r="G62" i="1"/>
  <c r="B16" i="1"/>
  <c r="C16" i="1"/>
  <c r="D16" i="1"/>
  <c r="E16" i="1"/>
  <c r="G16" i="1"/>
  <c r="I16" i="1"/>
  <c r="J16" i="1"/>
  <c r="B17" i="1"/>
  <c r="C17" i="1"/>
  <c r="D17" i="1"/>
  <c r="E17" i="1"/>
  <c r="G17" i="1"/>
  <c r="I17" i="1"/>
  <c r="J17" i="1"/>
  <c r="B18" i="1"/>
  <c r="C18" i="1"/>
  <c r="D18" i="1"/>
  <c r="E18" i="1"/>
  <c r="G18" i="1"/>
  <c r="I18" i="1"/>
  <c r="J18" i="1"/>
  <c r="G19" i="1"/>
  <c r="I19" i="1"/>
  <c r="J19" i="1"/>
  <c r="B8" i="1"/>
  <c r="C8" i="1"/>
  <c r="D8" i="1"/>
  <c r="E8" i="1"/>
  <c r="G8" i="1"/>
  <c r="I8" i="1"/>
  <c r="B9" i="1"/>
  <c r="C9" i="1"/>
  <c r="D9" i="1"/>
  <c r="E9" i="1"/>
  <c r="G9" i="1"/>
  <c r="I9" i="1"/>
  <c r="B10" i="1"/>
  <c r="C10" i="1"/>
  <c r="D10" i="1"/>
  <c r="E10" i="1"/>
  <c r="G10" i="1"/>
  <c r="I10" i="1"/>
  <c r="B11" i="1"/>
  <c r="C11" i="1"/>
  <c r="D11" i="1"/>
  <c r="E11" i="1"/>
  <c r="G11" i="1"/>
  <c r="I11" i="1"/>
  <c r="B12" i="1"/>
  <c r="C12" i="1"/>
  <c r="D12" i="1"/>
  <c r="E12" i="1"/>
  <c r="G12" i="1"/>
  <c r="I12" i="1"/>
  <c r="B13" i="1"/>
  <c r="E13" i="1"/>
  <c r="G13" i="1"/>
  <c r="I13" i="1"/>
  <c r="B14" i="1"/>
  <c r="C14" i="1"/>
  <c r="D14" i="1"/>
  <c r="E14" i="1"/>
  <c r="G14" i="1"/>
  <c r="I14" i="1"/>
  <c r="B15" i="1"/>
  <c r="C15" i="1"/>
  <c r="D15" i="1"/>
  <c r="E15" i="1"/>
  <c r="G15" i="1"/>
  <c r="I15" i="1"/>
  <c r="I20" i="1"/>
  <c r="J20" i="1"/>
  <c r="B58" i="1"/>
  <c r="B57" i="1"/>
  <c r="B56" i="1"/>
  <c r="B55" i="1"/>
  <c r="B54" i="1"/>
  <c r="B53" i="1"/>
  <c r="B52" i="1"/>
  <c r="B51" i="1"/>
  <c r="B50" i="1"/>
  <c r="B49" i="1"/>
  <c r="B48" i="1"/>
  <c r="D48" i="1"/>
  <c r="C48" i="1"/>
  <c r="J11" i="1"/>
  <c r="J12" i="1"/>
  <c r="J13" i="1"/>
  <c r="J14" i="1"/>
  <c r="J15" i="1"/>
  <c r="J8" i="1"/>
  <c r="J9" i="1"/>
  <c r="J10" i="1"/>
  <c r="D50" i="1"/>
  <c r="D51" i="1"/>
  <c r="D52" i="1"/>
  <c r="D53" i="1"/>
  <c r="D54" i="1"/>
  <c r="D55" i="1"/>
  <c r="D56" i="1"/>
  <c r="D57" i="1"/>
  <c r="D58" i="1"/>
  <c r="D59" i="1"/>
  <c r="D49" i="1"/>
  <c r="C50" i="1"/>
  <c r="C51" i="1"/>
  <c r="C52" i="1"/>
  <c r="C53" i="1"/>
  <c r="C54" i="1"/>
  <c r="C55" i="1"/>
  <c r="C56" i="1"/>
  <c r="C57" i="1"/>
  <c r="C58" i="1"/>
  <c r="C59" i="1"/>
  <c r="C49" i="1"/>
  <c r="E49" i="1"/>
  <c r="F49" i="1"/>
  <c r="G49" i="1"/>
  <c r="E50" i="1"/>
  <c r="F50" i="1"/>
  <c r="G50" i="1"/>
  <c r="E51" i="1"/>
  <c r="F51" i="1"/>
  <c r="G51" i="1"/>
  <c r="E52" i="1"/>
  <c r="F52" i="1"/>
  <c r="G52" i="1"/>
  <c r="E53" i="1"/>
  <c r="F53" i="1"/>
  <c r="G53" i="1"/>
  <c r="E54" i="1"/>
  <c r="F54" i="1"/>
  <c r="G54" i="1"/>
  <c r="E55" i="1"/>
  <c r="F55" i="1"/>
  <c r="G55" i="1"/>
  <c r="E56" i="1"/>
  <c r="F56" i="1"/>
  <c r="G56" i="1"/>
  <c r="E57" i="1"/>
  <c r="F57" i="1"/>
  <c r="G57" i="1"/>
  <c r="E58" i="1"/>
  <c r="F58" i="1"/>
  <c r="G58" i="1"/>
  <c r="E59" i="1"/>
  <c r="F59" i="1"/>
  <c r="G59" i="1"/>
  <c r="E48" i="1"/>
  <c r="E60" i="1"/>
  <c r="E20" i="1"/>
  <c r="F60" i="1"/>
  <c r="G60" i="1"/>
  <c r="F48" i="1"/>
  <c r="G48" i="1"/>
  <c r="D60" i="1"/>
  <c r="C60" i="1"/>
  <c r="B60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C42" i="1"/>
  <c r="D42" i="1"/>
  <c r="G20" i="1"/>
  <c r="B20" i="1"/>
  <c r="C20" i="1"/>
  <c r="D20" i="1"/>
  <c r="H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Tina Li</author>
    <author>Colleen Calhoun</author>
    <author>Cristina Birceanu</author>
  </authors>
  <commentList>
    <comment ref="B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Tina Li:</t>
        </r>
        <r>
          <rPr>
            <sz val="9"/>
            <color indexed="81"/>
            <rFont val="Tahoma"/>
            <family val="2"/>
          </rPr>
          <t xml:space="preserve">
final AQEW from STPF for energy</t>
        </r>
      </text>
    </comment>
    <comment ref="E5" authorId="1" shapeId="0" xr:uid="{A7D67DDA-3D57-4A61-882D-5910DB5492C2}">
      <text>
        <r>
          <rPr>
            <b/>
            <sz val="9"/>
            <color indexed="81"/>
            <rFont val="Tahoma"/>
            <family val="2"/>
          </rPr>
          <t>Colleen Calhoun:</t>
        </r>
        <r>
          <rPr>
            <sz val="9"/>
            <color indexed="81"/>
            <rFont val="Tahoma"/>
            <family val="2"/>
          </rPr>
          <t xml:space="preserve">
Pertains to Class B customers and Embedded Generation.</t>
        </r>
      </text>
    </comment>
    <comment ref="I7" authorId="1" shapeId="0" xr:uid="{09FFDFF2-685B-428E-B733-D37BD2ED5894}">
      <text>
        <r>
          <rPr>
            <b/>
            <sz val="9"/>
            <color indexed="81"/>
            <rFont val="Tahoma"/>
            <family val="2"/>
          </rPr>
          <t>Colleen Calhoun:</t>
        </r>
        <r>
          <rPr>
            <sz val="9"/>
            <color indexed="81"/>
            <rFont val="Tahoma"/>
            <family val="2"/>
          </rPr>
          <t xml:space="preserve">
Changed formula to reflect actual Debit or Credit difference.
</t>
        </r>
      </text>
    </comment>
    <comment ref="I23" authorId="2" shapeId="0" xr:uid="{A6990FAD-75B6-4B35-8452-C4DBB66DFA4F}">
      <text>
        <r>
          <rPr>
            <b/>
            <sz val="9"/>
            <color indexed="81"/>
            <rFont val="Tahoma"/>
            <family val="2"/>
          </rPr>
          <t>Cristina Birceanu:</t>
        </r>
        <r>
          <rPr>
            <sz val="9"/>
            <color indexed="81"/>
            <rFont val="Tahoma"/>
            <family val="2"/>
          </rPr>
          <t xml:space="preserve">
It includes Jan. and Dec. 2017 ST-PF true-up, as per Tina's calculation</t>
        </r>
      </text>
    </comment>
    <comment ref="H24" authorId="2" shapeId="0" xr:uid="{9301D3D0-46BD-46CD-A360-D93EEADDE27D}">
      <text>
        <r>
          <rPr>
            <b/>
            <sz val="9"/>
            <color indexed="81"/>
            <rFont val="Tahoma"/>
            <family val="2"/>
          </rPr>
          <t>Cristina Birceanu:</t>
        </r>
        <r>
          <rPr>
            <sz val="9"/>
            <color indexed="81"/>
            <rFont val="Tahoma"/>
            <family val="2"/>
          </rPr>
          <t xml:space="preserve">
Calculated based on 2017 2.1.5 report also replicated in GA Analysis Worform, Tab GA 2017: $477,444,083/($477,444,083+$556,233,587)</t>
        </r>
      </text>
    </comment>
    <comment ref="B28" authorId="1" shapeId="0" xr:uid="{E792E9A2-241F-4A4F-AB65-6230A9D5CC26}">
      <text>
        <r>
          <rPr>
            <b/>
            <sz val="9"/>
            <color indexed="81"/>
            <rFont val="Tahoma"/>
            <family val="2"/>
          </rPr>
          <t>Colleen Calhoun:</t>
        </r>
        <r>
          <rPr>
            <sz val="9"/>
            <color indexed="81"/>
            <rFont val="Tahoma"/>
            <family val="2"/>
          </rPr>
          <t xml:space="preserve">
Includes both DP and MP records.</t>
        </r>
      </text>
    </comment>
    <comment ref="C28" authorId="1" shapeId="0" xr:uid="{50EF6C34-F4D0-41F7-8DE2-538668E9F996}">
      <text>
        <r>
          <rPr>
            <b/>
            <sz val="9"/>
            <color indexed="81"/>
            <rFont val="Tahoma"/>
            <family val="2"/>
          </rPr>
          <t>Colleen Calhoun:</t>
        </r>
        <r>
          <rPr>
            <sz val="9"/>
            <color indexed="81"/>
            <rFont val="Tahoma"/>
            <family val="2"/>
          </rPr>
          <t xml:space="preserve">
Includes both DP and MP records.</t>
        </r>
      </text>
    </comment>
    <comment ref="D28" authorId="1" shapeId="0" xr:uid="{5FA78E3F-3A50-444B-ABD5-967230F6C7C7}">
      <text>
        <r>
          <rPr>
            <b/>
            <sz val="9"/>
            <color indexed="81"/>
            <rFont val="Tahoma"/>
            <family val="2"/>
          </rPr>
          <t>Colleen Calhoun:</t>
        </r>
        <r>
          <rPr>
            <sz val="9"/>
            <color indexed="81"/>
            <rFont val="Tahoma"/>
            <family val="2"/>
          </rPr>
          <t xml:space="preserve">
Includes both DP and MP records.</t>
        </r>
      </text>
    </comment>
    <comment ref="B46" authorId="1" shapeId="0" xr:uid="{5A04F04C-D23A-45D0-98F6-BB6F41C4ED3F}">
      <text>
        <r>
          <rPr>
            <b/>
            <sz val="9"/>
            <color indexed="81"/>
            <rFont val="Tahoma"/>
            <family val="2"/>
          </rPr>
          <t>Colleen Calhoun:</t>
        </r>
        <r>
          <rPr>
            <sz val="9"/>
            <color indexed="81"/>
            <rFont val="Tahoma"/>
            <family val="2"/>
          </rPr>
          <t xml:space="preserve">
Includes Embedded Generation</t>
        </r>
      </text>
    </comment>
    <comment ref="C46" authorId="1" shapeId="0" xr:uid="{5639255F-E813-49ED-881F-6899CC5AD136}">
      <text>
        <r>
          <rPr>
            <b/>
            <sz val="9"/>
            <color indexed="81"/>
            <rFont val="Tahoma"/>
            <family val="2"/>
          </rPr>
          <t>Colleen Calhoun:</t>
        </r>
        <r>
          <rPr>
            <sz val="9"/>
            <color indexed="81"/>
            <rFont val="Tahoma"/>
            <family val="2"/>
          </rPr>
          <t xml:space="preserve">
Includes Embedded Generation</t>
        </r>
      </text>
    </comment>
    <comment ref="D46" authorId="1" shapeId="0" xr:uid="{2BA2926C-9475-45BA-A831-07B7BF742D39}">
      <text>
        <r>
          <rPr>
            <b/>
            <sz val="9"/>
            <color indexed="81"/>
            <rFont val="Tahoma"/>
            <family val="2"/>
          </rPr>
          <t>Colleen Calhoun:</t>
        </r>
        <r>
          <rPr>
            <sz val="9"/>
            <color indexed="81"/>
            <rFont val="Tahoma"/>
            <family val="2"/>
          </rPr>
          <t xml:space="preserve">
Includes Embedded Generation</t>
        </r>
      </text>
    </comment>
  </commentList>
</comments>
</file>

<file path=xl/sharedStrings.xml><?xml version="1.0" encoding="utf-8"?>
<sst xmlns="http://schemas.openxmlformats.org/spreadsheetml/2006/main" count="106" uniqueCount="88">
  <si>
    <t>EG</t>
  </si>
  <si>
    <t>Class A</t>
  </si>
  <si>
    <t>IESO Actual GA Rate on website</t>
  </si>
  <si>
    <t>B</t>
  </si>
  <si>
    <t>Month</t>
  </si>
  <si>
    <t>1. Expected CT148 Calculated vs. per IESO Invoices</t>
  </si>
  <si>
    <t>Total</t>
  </si>
  <si>
    <t>Guelph Hydro 2019 IRM Application EB-2018-0036</t>
  </si>
  <si>
    <t>IESO Invoice Adjustment Analysis</t>
  </si>
  <si>
    <t>A</t>
  </si>
  <si>
    <t>C</t>
  </si>
  <si>
    <t>D=A+B-C</t>
  </si>
  <si>
    <t>kWh</t>
  </si>
  <si>
    <t>$/kWh</t>
  </si>
  <si>
    <t>$</t>
  </si>
  <si>
    <t>E</t>
  </si>
  <si>
    <t>F=D X E</t>
  </si>
  <si>
    <t>G</t>
  </si>
  <si>
    <t>Difference</t>
  </si>
  <si>
    <t>Note: the STPP, STPF and IESO Invoices include the entire month data as at month end</t>
  </si>
  <si>
    <t>IESO Monthly invoice = Current month STPP + Last Month STPF - Last Month STPP</t>
  </si>
  <si>
    <t>Current Month STPP CT148 $</t>
  </si>
  <si>
    <t>Last Month STPP CT148 $</t>
  </si>
  <si>
    <t>IESO Invoice CT148 $</t>
  </si>
  <si>
    <t>F = D-E</t>
  </si>
  <si>
    <t>Net for the month</t>
  </si>
  <si>
    <t>Jan STPP</t>
  </si>
  <si>
    <t>Feb STPP</t>
  </si>
  <si>
    <t>May STPP</t>
  </si>
  <si>
    <t>Jan STPF</t>
  </si>
  <si>
    <t>(Jan STPP)</t>
  </si>
  <si>
    <t>March STPP</t>
  </si>
  <si>
    <t>March STPF</t>
  </si>
  <si>
    <t>Feb STPF</t>
  </si>
  <si>
    <t>(Feb STPP)</t>
  </si>
  <si>
    <t>April STPP</t>
  </si>
  <si>
    <t>(March STPP)</t>
  </si>
  <si>
    <t>April STPF</t>
  </si>
  <si>
    <t>(April STPP)</t>
  </si>
  <si>
    <t>June STPP</t>
  </si>
  <si>
    <t>May STPF</t>
  </si>
  <si>
    <t>(May STPP)</t>
  </si>
  <si>
    <t>July STPP</t>
  </si>
  <si>
    <t>June STPF</t>
  </si>
  <si>
    <t>(June STPP)</t>
  </si>
  <si>
    <t>August STPP</t>
  </si>
  <si>
    <t>July STPF</t>
  </si>
  <si>
    <t>(July STPP)</t>
  </si>
  <si>
    <t>Sept STPP</t>
  </si>
  <si>
    <t>August STPF</t>
  </si>
  <si>
    <t>(August STPP)</t>
  </si>
  <si>
    <t>Oct STPP</t>
  </si>
  <si>
    <t>Sept STPF</t>
  </si>
  <si>
    <t>(Sept STPP)</t>
  </si>
  <si>
    <t>Nov STPP</t>
  </si>
  <si>
    <t>Oct STPF</t>
  </si>
  <si>
    <t>(Oct STPP)</t>
  </si>
  <si>
    <t>Nov STPF</t>
  </si>
  <si>
    <t>(Nov STPP)</t>
  </si>
  <si>
    <t>cancel out each other</t>
  </si>
  <si>
    <t>Dec 2016 STPF</t>
  </si>
  <si>
    <t>(Dec 2016 STPP)</t>
  </si>
  <si>
    <t>Dec 2017 STPP</t>
  </si>
  <si>
    <t>Total IESO 2017 Invoices = Jan to Nov STPFs +Dec 2017 STPP+ Dec 2016 STPF - Dec 2016 STPP</t>
  </si>
  <si>
    <t>GA 1st Estimate</t>
  </si>
  <si>
    <t>GA 2nd Estimate</t>
  </si>
  <si>
    <t>GA Actual Rate</t>
  </si>
  <si>
    <t>2. STPP, STPF and IESO Monthly Invoice $ Reconciliation for CT148</t>
  </si>
  <si>
    <t xml:space="preserve">AQEW  </t>
  </si>
  <si>
    <t>3. STPP, STPF and Loads pertaining to Class B kWh Reconciliation</t>
  </si>
  <si>
    <t>Current Month STPP CT148 kWh</t>
  </si>
  <si>
    <t>Last Month STPP CT148 kWh</t>
  </si>
  <si>
    <t>Net for the month (kWh)</t>
  </si>
  <si>
    <t>Loads pertaining to Class B (Calculated in Table 1)</t>
  </si>
  <si>
    <t>F=D-E</t>
  </si>
  <si>
    <t>Loads pertaining to Class B (CT148)</t>
  </si>
  <si>
    <t>Expected GA Charges Class B CT148 $  (Calculated)</t>
  </si>
  <si>
    <t>CT 148 $ per IESO Invoice</t>
  </si>
  <si>
    <t>Difference (kWh)</t>
  </si>
  <si>
    <t>Last Month STPF CT148 $</t>
  </si>
  <si>
    <t>Last Month STPF CT148 kWh</t>
  </si>
  <si>
    <t>H = G - F</t>
  </si>
  <si>
    <t>Source for Cell B57 is the "F" record row in Dec 2017 STPF file (row 57).</t>
  </si>
  <si>
    <t>IESO Adjustments Allocation</t>
  </si>
  <si>
    <t>Estimated RPP Proportion</t>
  </si>
  <si>
    <t>Estimated non-RPP Proportion</t>
  </si>
  <si>
    <t>Guelph Hydro's proposal to allocate the IESO adjustments between RPP and non-RPP</t>
  </si>
  <si>
    <t>Table 4 - Guelph Hydro's Proposal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</si>
</sst>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&quot;$&quot;#,##0.00;[Red]\-&quot;$&quot;#,##0.00"/>
    <numFmt numFmtId="166" formatCode="0.00000"/>
    <numFmt numFmtId="167" formatCode="&quot;$&quot;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8" tint="-0.249977111117893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1"/>
      <color rgb="FF333333"/>
      <name val="Whitney SSm A"/>
    </font>
    <font>
      <sz val="11"/>
      <color theme="8" tint="-0.249977111117893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2"/>
      <color theme="8" tint="-0.24997711111789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164" fontId="4" fillId="0" borderId="1" xfId="2" applyFont="1" applyBorder="1"/>
    <xf numFmtId="0" fontId="3" fillId="0" borderId="1" xfId="0" applyFont="1" applyBorder="1" applyAlignment="1">
      <alignment horizontal="center" wrapText="1"/>
    </xf>
    <xf numFmtId="165" fontId="7" fillId="3" borderId="1" xfId="0" applyNumberFormat="1" applyFont="1" applyFill="1" applyBorder="1"/>
    <xf numFmtId="0" fontId="3" fillId="4" borderId="1" xfId="0" applyFont="1" applyFill="1" applyBorder="1" applyAlignment="1">
      <alignment horizontal="center" vertical="center" wrapText="1"/>
    </xf>
    <xf numFmtId="17" fontId="7" fillId="3" borderId="1" xfId="0" applyNumberFormat="1" applyFont="1" applyFill="1" applyBorder="1"/>
    <xf numFmtId="0" fontId="3" fillId="0" borderId="1" xfId="0" applyFont="1" applyBorder="1" applyAlignment="1">
      <alignment horizontal="center" vertical="center"/>
    </xf>
    <xf numFmtId="0" fontId="8" fillId="0" borderId="0" xfId="0" applyFont="1"/>
    <xf numFmtId="0" fontId="3" fillId="0" borderId="0" xfId="0" applyFont="1"/>
    <xf numFmtId="0" fontId="3" fillId="0" borderId="1" xfId="0" applyFont="1" applyFill="1" applyBorder="1" applyAlignment="1">
      <alignment horizontal="center" vertical="center" wrapText="1"/>
    </xf>
    <xf numFmtId="44" fontId="7" fillId="0" borderId="1" xfId="0" applyNumberFormat="1" applyFont="1" applyBorder="1"/>
    <xf numFmtId="0" fontId="3" fillId="0" borderId="1" xfId="0" quotePrefix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7" fontId="3" fillId="3" borderId="1" xfId="0" applyNumberFormat="1" applyFont="1" applyFill="1" applyBorder="1"/>
    <xf numFmtId="164" fontId="3" fillId="0" borderId="1" xfId="0" applyNumberFormat="1" applyFont="1" applyBorder="1"/>
    <xf numFmtId="0" fontId="9" fillId="0" borderId="0" xfId="0" applyFo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0" fillId="0" borderId="1" xfId="0" applyBorder="1"/>
    <xf numFmtId="43" fontId="7" fillId="0" borderId="1" xfId="1" applyFont="1" applyBorder="1"/>
    <xf numFmtId="43" fontId="3" fillId="0" borderId="1" xfId="0" applyNumberFormat="1" applyFont="1" applyBorder="1"/>
    <xf numFmtId="0" fontId="2" fillId="0" borderId="0" xfId="0" applyFont="1"/>
    <xf numFmtId="43" fontId="7" fillId="5" borderId="1" xfId="1" applyFont="1" applyFill="1" applyBorder="1"/>
    <xf numFmtId="0" fontId="0" fillId="2" borderId="0" xfId="0" applyFill="1"/>
    <xf numFmtId="0" fontId="0" fillId="0" borderId="2" xfId="0" applyBorder="1"/>
    <xf numFmtId="0" fontId="0" fillId="2" borderId="2" xfId="0" applyFill="1" applyBorder="1"/>
    <xf numFmtId="0" fontId="0" fillId="0" borderId="0" xfId="0" applyAlignment="1">
      <alignment wrapText="1"/>
    </xf>
    <xf numFmtId="0" fontId="10" fillId="6" borderId="0" xfId="0" applyFont="1" applyFill="1" applyAlignment="1">
      <alignment vertical="top" wrapText="1" indent="1"/>
    </xf>
    <xf numFmtId="164" fontId="4" fillId="5" borderId="1" xfId="2" applyFont="1" applyFill="1" applyBorder="1"/>
    <xf numFmtId="166" fontId="7" fillId="5" borderId="1" xfId="0" applyNumberFormat="1" applyFont="1" applyFill="1" applyBorder="1"/>
    <xf numFmtId="165" fontId="7" fillId="5" borderId="1" xfId="0" applyNumberFormat="1" applyFont="1" applyFill="1" applyBorder="1"/>
    <xf numFmtId="0" fontId="0" fillId="7" borderId="0" xfId="0" applyFill="1"/>
    <xf numFmtId="0" fontId="3" fillId="0" borderId="1" xfId="0" applyFont="1" applyFill="1" applyBorder="1" applyAlignment="1">
      <alignment horizontal="center" wrapText="1"/>
    </xf>
    <xf numFmtId="0" fontId="11" fillId="0" borderId="0" xfId="0" applyFont="1"/>
    <xf numFmtId="0" fontId="12" fillId="0" borderId="0" xfId="0" applyFont="1"/>
    <xf numFmtId="43" fontId="0" fillId="0" borderId="0" xfId="0" applyNumberFormat="1"/>
    <xf numFmtId="43" fontId="12" fillId="0" borderId="0" xfId="0" applyNumberFormat="1" applyFont="1"/>
    <xf numFmtId="44" fontId="7" fillId="5" borderId="1" xfId="1" applyNumberFormat="1" applyFont="1" applyFill="1" applyBorder="1"/>
    <xf numFmtId="44" fontId="7" fillId="0" borderId="1" xfId="1" applyNumberFormat="1" applyFont="1" applyBorder="1"/>
    <xf numFmtId="44" fontId="3" fillId="0" borderId="1" xfId="0" applyNumberFormat="1" applyFont="1" applyBorder="1"/>
    <xf numFmtId="44" fontId="3" fillId="0" borderId="1" xfId="1" applyNumberFormat="1" applyFont="1" applyBorder="1"/>
    <xf numFmtId="164" fontId="7" fillId="0" borderId="1" xfId="0" applyNumberFormat="1" applyFont="1" applyBorder="1"/>
    <xf numFmtId="43" fontId="7" fillId="0" borderId="1" xfId="0" applyNumberFormat="1" applyFont="1" applyBorder="1"/>
    <xf numFmtId="164" fontId="7" fillId="0" borderId="1" xfId="0" applyNumberFormat="1" applyFont="1" applyFill="1" applyBorder="1"/>
    <xf numFmtId="17" fontId="3" fillId="3" borderId="0" xfId="0" applyNumberFormat="1" applyFont="1" applyFill="1" applyBorder="1"/>
    <xf numFmtId="43" fontId="3" fillId="0" borderId="0" xfId="0" applyNumberFormat="1" applyFont="1" applyBorder="1"/>
    <xf numFmtId="164" fontId="3" fillId="0" borderId="0" xfId="0" applyNumberFormat="1" applyFont="1" applyBorder="1"/>
    <xf numFmtId="44" fontId="11" fillId="0" borderId="0" xfId="0" applyNumberFormat="1" applyFont="1"/>
    <xf numFmtId="0" fontId="1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wrapText="1"/>
    </xf>
    <xf numFmtId="44" fontId="11" fillId="0" borderId="0" xfId="3" applyFont="1" applyFill="1" applyBorder="1"/>
    <xf numFmtId="0" fontId="0" fillId="0" borderId="0" xfId="0" applyFill="1" applyBorder="1"/>
    <xf numFmtId="43" fontId="12" fillId="0" borderId="0" xfId="0" applyNumberFormat="1" applyFont="1" applyFill="1" applyBorder="1"/>
    <xf numFmtId="0" fontId="2" fillId="0" borderId="0" xfId="0" applyFont="1" applyFill="1" applyBorder="1"/>
    <xf numFmtId="0" fontId="12" fillId="0" borderId="0" xfId="0" applyFont="1" applyFill="1" applyBorder="1"/>
    <xf numFmtId="44" fontId="11" fillId="0" borderId="0" xfId="0" applyNumberFormat="1" applyFont="1" applyFill="1" applyBorder="1"/>
    <xf numFmtId="164" fontId="3" fillId="0" borderId="4" xfId="0" applyNumberFormat="1" applyFont="1" applyBorder="1"/>
    <xf numFmtId="8" fontId="3" fillId="0" borderId="4" xfId="0" applyNumberFormat="1" applyFont="1" applyBorder="1"/>
    <xf numFmtId="8" fontId="3" fillId="2" borderId="4" xfId="0" applyNumberFormat="1" applyFont="1" applyFill="1" applyBorder="1"/>
    <xf numFmtId="0" fontId="2" fillId="0" borderId="5" xfId="0" applyFont="1" applyBorder="1"/>
    <xf numFmtId="167" fontId="2" fillId="0" borderId="7" xfId="0" applyNumberFormat="1" applyFont="1" applyBorder="1"/>
    <xf numFmtId="0" fontId="2" fillId="0" borderId="8" xfId="0" applyFont="1" applyBorder="1"/>
    <xf numFmtId="167" fontId="2" fillId="0" borderId="9" xfId="0" applyNumberFormat="1" applyFont="1" applyBorder="1"/>
    <xf numFmtId="167" fontId="2" fillId="8" borderId="3" xfId="0" applyNumberFormat="1" applyFont="1" applyFill="1" applyBorder="1"/>
    <xf numFmtId="0" fontId="2" fillId="9" borderId="11" xfId="0" applyFont="1" applyFill="1" applyBorder="1" applyAlignment="1">
      <alignment horizontal="center" wrapText="1"/>
    </xf>
    <xf numFmtId="0" fontId="2" fillId="0" borderId="6" xfId="0" applyFont="1" applyBorder="1"/>
    <xf numFmtId="0" fontId="2" fillId="0" borderId="9" xfId="0" applyFont="1" applyBorder="1"/>
    <xf numFmtId="17" fontId="3" fillId="0" borderId="0" xfId="0" applyNumberFormat="1" applyFont="1" applyFill="1" applyBorder="1"/>
    <xf numFmtId="164" fontId="3" fillId="0" borderId="0" xfId="0" applyNumberFormat="1" applyFont="1" applyFill="1" applyBorder="1"/>
    <xf numFmtId="8" fontId="3" fillId="0" borderId="0" xfId="0" applyNumberFormat="1" applyFont="1" applyFill="1" applyBorder="1"/>
    <xf numFmtId="0" fontId="0" fillId="0" borderId="0" xfId="0" applyFill="1"/>
    <xf numFmtId="10" fontId="2" fillId="0" borderId="12" xfId="0" applyNumberFormat="1" applyFont="1" applyBorder="1"/>
    <xf numFmtId="10" fontId="2" fillId="0" borderId="13" xfId="0" applyNumberFormat="1" applyFont="1" applyBorder="1"/>
    <xf numFmtId="0" fontId="2" fillId="9" borderId="10" xfId="0" applyFont="1" applyFill="1" applyBorder="1" applyAlignment="1">
      <alignment wrapText="1"/>
    </xf>
    <xf numFmtId="0" fontId="0" fillId="9" borderId="11" xfId="0" applyFill="1" applyBorder="1" applyAlignment="1">
      <alignment wrapText="1"/>
    </xf>
  </cellXfs>
  <cellStyles count="4">
    <cellStyle name="Comma" xfId="1" builtinId="3"/>
    <cellStyle name="Comma 3" xfId="2" xr:uid="{00000000-0005-0000-0000-000001000000}"/>
    <cellStyle name="Currency" xfId="3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4763</xdr:colOff>
      <xdr:row>15</xdr:row>
      <xdr:rowOff>61912</xdr:rowOff>
    </xdr:from>
    <xdr:to>
      <xdr:col>12</xdr:col>
      <xdr:colOff>638175</xdr:colOff>
      <xdr:row>22</xdr:row>
      <xdr:rowOff>42863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691688" y="3714750"/>
          <a:ext cx="1928812" cy="957263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Total Difference $ represent the IESO</a:t>
          </a:r>
          <a:r>
            <a:rPr lang="en-US" sz="1100" baseline="0"/>
            <a:t> Invoice adjustments in addition to the expected GA charges based on the actual GA rates</a:t>
          </a:r>
          <a:endParaRPr lang="en-US" sz="1100"/>
        </a:p>
      </xdr:txBody>
    </xdr:sp>
    <xdr:clientData/>
  </xdr:twoCellAnchor>
  <xdr:twoCellAnchor>
    <xdr:from>
      <xdr:col>8</xdr:col>
      <xdr:colOff>1276350</xdr:colOff>
      <xdr:row>17</xdr:row>
      <xdr:rowOff>150019</xdr:rowOff>
    </xdr:from>
    <xdr:to>
      <xdr:col>10</xdr:col>
      <xdr:colOff>4763</xdr:colOff>
      <xdr:row>19</xdr:row>
      <xdr:rowOff>104775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>
          <a:stCxn id="2" idx="1"/>
        </xdr:cNvCxnSpPr>
      </xdr:nvCxnSpPr>
      <xdr:spPr>
        <a:xfrm flipH="1">
          <a:off x="9015413" y="4193382"/>
          <a:ext cx="676275" cy="345281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ESO%20Statements/IESO%20Statements/GHESI/2017/Final%20Statements/CNF-GUELPHHYDRO_ST-P-F_2017013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IESO%20Statements/IESO%20Statements/GHESI/2017/Final%20Statements/CNF-GUELPHHYDRO_ST-P-F_2017103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IESO%20Statements/IESO%20Statements/GHESI/2017/Final%20Statements/CNF-GUELPHHYDRO_ST-P-F_20171130_v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IESO%20Statements/IESO%20Statements/GHESI/2017/Final%20Statements/Dec%202017%20CNF-GUELPHHYDRO_ST-P-F_2017123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IESO%20Statements/IESO%20Statements/GHESI/2017/January%202017_CNF-GUELPHHYDRO_ST-P-P_20170131_v1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IESO%20Statements/IESO%20Statements/GHESI/2017/Final%20Statements/CNF-GUELPHHYDRO_ST-P-F_20161231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IESO%20Statements/IESO%20Statements/GHESI/2017/CNF-GUELPHHYDRO_ST-P-P_2016123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IESO%20Statements/IESO%20Statements/GHESI/2017/February%202017_CNF-GUELPHHYDRO_ST-P-P_20170228_v1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IESO%20Statements/IESO%20Statements/GHESI/2017/March%202017_CNF-GUELPHHYDRO_ST-P-P_20170331_v1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IESO%20Statements/IESO%20Statements/GHESI/2017/April%202017%20CNF-GUELPHHYDRO_ST-P-P_20170430_v1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IESO%20Statements/IESO%20Statements/GHESI/2017/May%202017%20CNF-GUELPHHYDRO_ST-P-P_2017053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ESO%20Statements/IESO%20Statements/GHESI/2017/Final%20Statements/CNF-GUELPHHYDRO_ST-P-F_20170228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IESO%20Statements/IESO%20Statements/GHESI/2017/June%202017_CLEAN_CNF-GUELPHHYDRO_ST-P-P_20170630_v1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IESO%20Statements/IESO%20Statements/GHESI/2017/CNF-GUELPHHYDRO_ST-P-P_20170731_v1_July%202017_no%20markups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IESO%20Statements/IESO%20Statements/GHESI/2017/Aug%202017%20CNF-GUELPHHYDRO_ST-P-P_20170831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IESO%20Statements/IESO%20Statements/GHESI/2017/CNF-GUELPHHYDRO_ST-P-P_20170930_v1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IESO%20Statements/IESO%20Statements/GHESI/2017/CNF-GUELPHHYDRO_ST-P-P_20171031_v1%20Oct%202017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IESO%20Statements/IESO%20Statements/GHESI/2017/Nov%202017%20CNF-GUELPHHYDRO_ST-P-P_20171130_v1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IESO%20Statements/IESO%20Statements/GHESI/2017/CNF-GUELPHHYDRO_ST-P-P_20171231_v1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IESO%20Statements/IESO%20Statements/GHESI/2018/Jan%202018%20CNF-GUELPHHYDRO_ST-P-P_20180131_v1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IESO%20Statements/IESO%20Statements/GHESI/2018/Final%20Statements/CNF-GUELPHHYDRO_ST-P-F_20180131_v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IESO%20Statements/IESO%20Statements/GHESI/2017/Final%20Statements/CNF-GUELPHHYDRO_ST-P-F_2017033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IESO%20Statements/IESO%20Statements/GHESI/2017/Final%20Statements/CNF-GUELPHHYDRO_ST-P-F_2017043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IESO%20Statements/IESO%20Statements/GHESI/2017/Final%20Statements/CNF-GUELPHHYDRO_ST-P-F_2017053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IESO%20Statements/IESO%20Statements/GHESI/2017/Final%20Statements/CNF-GUELPHHYDRO_ST-P-F_20170630%20June%202017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IESO%20Statements/IESO%20Statements/GHESI/2017/Final%20Statements/CNF-GUELPHHYDRO_ST-P-F_2017073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IESO%20Statements/IESO%20Statements/GHESI/2017/Final%20Statements/CNF-GUELPHHYDRO_ST-P-F_20170831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IESO%20Statements/IESO%20Statements/GHESI/2017/Final%20Statements/CNF-GUELPHHYDRO_ST-P-F_2017093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F-GUELPHHYDRO_ST-P-F_20170131"/>
    </sheetNames>
    <sheetDataSet>
      <sheetData sheetId="0">
        <row r="54">
          <cell r="X54">
            <v>33326.271999999997</v>
          </cell>
        </row>
        <row r="55">
          <cell r="F55">
            <v>-9419115.4399999995</v>
          </cell>
        </row>
        <row r="56">
          <cell r="F56">
            <v>232.21</v>
          </cell>
          <cell r="Y56">
            <v>127.86799999999999</v>
          </cell>
        </row>
        <row r="57">
          <cell r="X57">
            <v>147072.09299999999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F-GUELPHHYDRO_ST-P-F_20171031"/>
    </sheetNames>
    <sheetDataSet>
      <sheetData sheetId="0">
        <row r="59">
          <cell r="X59">
            <v>63928.646000000008</v>
          </cell>
        </row>
        <row r="60">
          <cell r="F60">
            <v>-9046197.9700000007</v>
          </cell>
        </row>
        <row r="61">
          <cell r="F61">
            <v>-1886.44</v>
          </cell>
          <cell r="Y61">
            <v>1614.61</v>
          </cell>
        </row>
        <row r="62">
          <cell r="X62">
            <v>135649.277</v>
          </cell>
        </row>
        <row r="464">
          <cell r="F464">
            <v>-197252.29</v>
          </cell>
        </row>
        <row r="465">
          <cell r="F465">
            <v>-6.96</v>
          </cell>
        </row>
        <row r="466">
          <cell r="F466">
            <v>-0.01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F-GUELPHHYDRO_ST-P-F_20171130"/>
    </sheetNames>
    <sheetDataSet>
      <sheetData sheetId="0">
        <row r="60">
          <cell r="X60">
            <v>64325.888000000006</v>
          </cell>
        </row>
        <row r="61">
          <cell r="F61">
            <v>-7178241.8099999996</v>
          </cell>
        </row>
        <row r="62">
          <cell r="F62">
            <v>-138.28</v>
          </cell>
          <cell r="Y62">
            <v>973.67</v>
          </cell>
        </row>
        <row r="63">
          <cell r="X63">
            <v>139160.99100000001</v>
          </cell>
        </row>
        <row r="372">
          <cell r="F372">
            <v>-209049.85</v>
          </cell>
        </row>
        <row r="373">
          <cell r="F373">
            <v>258.12</v>
          </cell>
        </row>
        <row r="374">
          <cell r="F374">
            <v>0.01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F-GUELPHHYDRO_ST-P-F_20171231"/>
    </sheetNames>
    <sheetDataSet>
      <sheetData sheetId="0">
        <row r="55">
          <cell r="X55">
            <v>56490.687999999995</v>
          </cell>
        </row>
        <row r="57">
          <cell r="Y57">
            <v>512.62</v>
          </cell>
        </row>
        <row r="59">
          <cell r="X59">
            <v>139368.541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F-GUELPHHYDRO_ST-P-P_20170131"/>
    </sheetNames>
    <sheetDataSet>
      <sheetData sheetId="0">
        <row r="19">
          <cell r="E19">
            <v>-891682.14</v>
          </cell>
        </row>
        <row r="39">
          <cell r="F39">
            <v>-9419115.4399999995</v>
          </cell>
          <cell r="X39">
            <v>113745.821</v>
          </cell>
          <cell r="Y39">
            <v>127.86799999999999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F-GUELPHHYDRO_ST-P-F_20161231"/>
    </sheetNames>
    <sheetDataSet>
      <sheetData sheetId="0">
        <row r="57">
          <cell r="F57">
            <v>-9536142.2799999993</v>
          </cell>
        </row>
        <row r="58">
          <cell r="F58">
            <v>49101.55</v>
          </cell>
          <cell r="X58">
            <v>108899.185</v>
          </cell>
          <cell r="Y58">
            <v>646.47</v>
          </cell>
        </row>
        <row r="359">
          <cell r="F359">
            <v>40.24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F-GUELPHHYDRO_ST-P-P_20161231"/>
    </sheetNames>
    <sheetDataSet>
      <sheetData sheetId="0">
        <row r="40">
          <cell r="F40">
            <v>-9536142.2799999993</v>
          </cell>
          <cell r="X40">
            <v>108899.185</v>
          </cell>
          <cell r="Y40">
            <v>646.47</v>
          </cell>
        </row>
        <row r="319">
          <cell r="F319">
            <v>40.24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F-GUELPHHYDRO_ST-P-P_20170228"/>
    </sheetNames>
    <sheetDataSet>
      <sheetData sheetId="0">
        <row r="18">
          <cell r="E18">
            <v>-874963.26</v>
          </cell>
        </row>
        <row r="39">
          <cell r="F39">
            <v>-8684680.2100000009</v>
          </cell>
          <cell r="X39">
            <v>100300.166</v>
          </cell>
          <cell r="Y39">
            <v>224.571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F-GUELPHHYDRO_ST-P-P_20170331"/>
    </sheetNames>
    <sheetDataSet>
      <sheetData sheetId="0">
        <row r="19">
          <cell r="E19">
            <v>-850825.56</v>
          </cell>
        </row>
        <row r="41">
          <cell r="F41">
            <v>-7951786.8899999997</v>
          </cell>
          <cell r="X41">
            <v>110632.17200000001</v>
          </cell>
          <cell r="Y41">
            <v>807.98800000000006</v>
          </cell>
        </row>
        <row r="366">
          <cell r="F366">
            <v>807.12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F-GUELPHHYDRO_ST-P-P_20170430"/>
    </sheetNames>
    <sheetDataSet>
      <sheetData sheetId="0">
        <row r="18">
          <cell r="E18">
            <v>-786482.76</v>
          </cell>
        </row>
        <row r="40">
          <cell r="F40">
            <v>-10196735.74</v>
          </cell>
          <cell r="X40">
            <v>94420.407999999996</v>
          </cell>
          <cell r="Y40">
            <v>1215.134</v>
          </cell>
        </row>
        <row r="347">
          <cell r="F347">
            <v>-5746.82</v>
          </cell>
        </row>
        <row r="348">
          <cell r="F348">
            <v>-1730.88</v>
          </cell>
        </row>
        <row r="349">
          <cell r="F349">
            <v>-104188.96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F-GUELPHHYDRO_ST-P-P_20170531"/>
    </sheetNames>
    <sheetDataSet>
      <sheetData sheetId="0">
        <row r="20">
          <cell r="E20">
            <v>-818024.64</v>
          </cell>
        </row>
        <row r="40">
          <cell r="F40">
            <v>-12205772.08</v>
          </cell>
          <cell r="X40">
            <v>98542.611000000004</v>
          </cell>
          <cell r="Y40">
            <v>1497.53</v>
          </cell>
        </row>
        <row r="313">
          <cell r="F313">
            <v>-86854.33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F-GUELPHHYDRO_ST-P-F_20170228"/>
    </sheetNames>
    <sheetDataSet>
      <sheetData sheetId="0">
        <row r="55">
          <cell r="X55">
            <v>31019.353000000003</v>
          </cell>
        </row>
        <row r="56">
          <cell r="F56">
            <v>-8684680.2100000009</v>
          </cell>
        </row>
        <row r="57">
          <cell r="F57">
            <v>-78.5</v>
          </cell>
          <cell r="Y57">
            <v>224.571</v>
          </cell>
        </row>
        <row r="58">
          <cell r="X58">
            <v>131319.519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F-GUELPHHYDRO_ST-P-P_20170630"/>
    </sheetNames>
    <sheetDataSet>
      <sheetData sheetId="0">
        <row r="17">
          <cell r="E17">
            <v>-936451.26</v>
          </cell>
        </row>
        <row r="38">
          <cell r="F38">
            <v>-14735443.560000001</v>
          </cell>
          <cell r="X38">
            <v>136095.82999999999</v>
          </cell>
          <cell r="Y38">
            <v>0</v>
          </cell>
        </row>
        <row r="350">
          <cell r="F350">
            <v>-129699.65</v>
          </cell>
        </row>
        <row r="351">
          <cell r="F351">
            <v>-1218240.8999999999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F-GUELPHHYDRO_ST-P-P_20170731"/>
    </sheetNames>
    <sheetDataSet>
      <sheetData sheetId="0">
        <row r="17">
          <cell r="E17">
            <v>-865535.1</v>
          </cell>
        </row>
        <row r="39">
          <cell r="F39">
            <v>-7956370.2000000002</v>
          </cell>
          <cell r="X39">
            <v>75247.001000000004</v>
          </cell>
          <cell r="Y39">
            <v>1915.1759999999999</v>
          </cell>
        </row>
        <row r="363">
          <cell r="F363">
            <v>-237671.16</v>
          </cell>
        </row>
        <row r="364">
          <cell r="F364">
            <v>21358.94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F-GUELPHHYDRO_ST-P-P_20170831"/>
    </sheetNames>
    <sheetDataSet>
      <sheetData sheetId="0">
        <row r="17">
          <cell r="E17">
            <v>-899049.72</v>
          </cell>
        </row>
        <row r="38">
          <cell r="F38">
            <v>-7604427.29</v>
          </cell>
          <cell r="X38">
            <v>73132.77</v>
          </cell>
          <cell r="Y38">
            <v>1777.9839999999999</v>
          </cell>
        </row>
        <row r="311">
          <cell r="F311">
            <v>-267124.64</v>
          </cell>
        </row>
        <row r="312">
          <cell r="F312">
            <v>293375.37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F-GUELPHHYDRO_ST-P-P_20170930"/>
    </sheetNames>
    <sheetDataSet>
      <sheetData sheetId="0">
        <row r="18">
          <cell r="E18">
            <v>-974932.5</v>
          </cell>
        </row>
        <row r="40">
          <cell r="F40">
            <v>-6414181.4100000001</v>
          </cell>
          <cell r="X40">
            <v>72564.410999999993</v>
          </cell>
          <cell r="Y40">
            <v>1702.596</v>
          </cell>
        </row>
        <row r="356">
          <cell r="F356">
            <v>-202045.95</v>
          </cell>
        </row>
        <row r="357">
          <cell r="F357">
            <v>-5864.18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F-GUELPHHYDRO_ST-P-P_20171031"/>
    </sheetNames>
    <sheetDataSet>
      <sheetData sheetId="0">
        <row r="18">
          <cell r="E18">
            <v>-811842.9</v>
          </cell>
        </row>
        <row r="40">
          <cell r="F40">
            <v>-9046197.9700000007</v>
          </cell>
          <cell r="X40">
            <v>71720.630999999994</v>
          </cell>
          <cell r="Y40">
            <v>1614.61</v>
          </cell>
        </row>
        <row r="323">
          <cell r="F323">
            <v>-6.96</v>
          </cell>
        </row>
        <row r="324">
          <cell r="F324">
            <v>-197252.29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F-GUELPHHYDRO_ST-P-P_20171130"/>
    </sheetNames>
    <sheetDataSet>
      <sheetData sheetId="0">
        <row r="19">
          <cell r="E19">
            <v>-504612.72</v>
          </cell>
        </row>
        <row r="42">
          <cell r="F42">
            <v>-7178241.8099999996</v>
          </cell>
          <cell r="X42">
            <v>74835.103000000003</v>
          </cell>
          <cell r="Y42">
            <v>973.67</v>
          </cell>
        </row>
        <row r="332">
          <cell r="F332">
            <v>-209049.85</v>
          </cell>
        </row>
        <row r="333">
          <cell r="F333">
            <v>258.12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F-GUELPHHYDRO_ST-P-P_20171231"/>
    </sheetNames>
    <sheetDataSet>
      <sheetData sheetId="0">
        <row r="19">
          <cell r="E19">
            <v>-853937.92</v>
          </cell>
        </row>
        <row r="42">
          <cell r="F42">
            <v>-7636545.2599999998</v>
          </cell>
          <cell r="X42">
            <v>82879.150999999998</v>
          </cell>
          <cell r="Y42">
            <v>512.62</v>
          </cell>
        </row>
        <row r="350">
          <cell r="F350">
            <v>-4167.76</v>
          </cell>
        </row>
        <row r="351">
          <cell r="F351">
            <v>-4169.45</v>
          </cell>
        </row>
        <row r="352">
          <cell r="F352">
            <v>-5783.33</v>
          </cell>
        </row>
        <row r="353">
          <cell r="F353">
            <v>-4322.8100000000004</v>
          </cell>
        </row>
        <row r="354">
          <cell r="F354">
            <v>-6496.88</v>
          </cell>
        </row>
        <row r="355">
          <cell r="F355">
            <v>-6829.01</v>
          </cell>
        </row>
        <row r="356">
          <cell r="F356">
            <v>-4572.32</v>
          </cell>
        </row>
        <row r="357">
          <cell r="F357">
            <v>-11991.92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 2018 CNF-GUELPHHYDRO_ST-P-P"/>
    </sheetNames>
    <sheetDataSet>
      <sheetData sheetId="0">
        <row r="40">
          <cell r="X40">
            <v>86843.184999999998</v>
          </cell>
          <cell r="Y40">
            <v>312.678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F-GUELPHHYDRO_ST-P-F_20180131"/>
    </sheetNames>
    <sheetDataSet>
      <sheetData sheetId="0">
        <row r="58">
          <cell r="X58">
            <v>66331.214000000007</v>
          </cell>
        </row>
        <row r="60">
          <cell r="Y60">
            <v>312.678</v>
          </cell>
        </row>
        <row r="62">
          <cell r="X62">
            <v>153174.399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F-GUELPHHYDRO_ST-P-F_20170331"/>
    </sheetNames>
    <sheetDataSet>
      <sheetData sheetId="0">
        <row r="56">
          <cell r="X56">
            <v>34712.180000000008</v>
          </cell>
        </row>
        <row r="57">
          <cell r="F57">
            <v>-7951786.8899999997</v>
          </cell>
        </row>
        <row r="58">
          <cell r="F58">
            <v>-32.74</v>
          </cell>
          <cell r="Y58">
            <v>807.98800000000006</v>
          </cell>
        </row>
        <row r="59">
          <cell r="X59">
            <v>145344.35200000001</v>
          </cell>
        </row>
        <row r="424">
          <cell r="F424">
            <v>807.12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F-GUELPHHYDRO_ST-P-F_20170430"/>
    </sheetNames>
    <sheetDataSet>
      <sheetData sheetId="0">
        <row r="55">
          <cell r="X55">
            <v>32112.841</v>
          </cell>
        </row>
        <row r="56">
          <cell r="F56">
            <v>-10196735.74</v>
          </cell>
        </row>
        <row r="57">
          <cell r="F57">
            <v>-17805.810000000001</v>
          </cell>
          <cell r="Y57">
            <v>1215.134</v>
          </cell>
        </row>
        <row r="58">
          <cell r="X58">
            <v>126533.249</v>
          </cell>
        </row>
        <row r="392">
          <cell r="F392">
            <v>-1730.88</v>
          </cell>
        </row>
        <row r="393">
          <cell r="F393">
            <v>-104188.96</v>
          </cell>
        </row>
        <row r="394">
          <cell r="F394">
            <v>-5746.82</v>
          </cell>
        </row>
        <row r="395">
          <cell r="F395">
            <v>-0.19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F-GUELPHHYDRO_ST-P-F_20170531"/>
    </sheetNames>
    <sheetDataSet>
      <sheetData sheetId="0">
        <row r="60">
          <cell r="X60">
            <v>33520.472000000009</v>
          </cell>
        </row>
        <row r="61">
          <cell r="F61">
            <v>-12205772.08</v>
          </cell>
        </row>
        <row r="62">
          <cell r="F62">
            <v>-514.30999999999995</v>
          </cell>
          <cell r="Y62">
            <v>1497.53</v>
          </cell>
        </row>
        <row r="63">
          <cell r="X63">
            <v>132063.08300000001</v>
          </cell>
        </row>
        <row r="413">
          <cell r="F413">
            <v>-86854.33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F-GUELPHHYDRO_ST-P-F_20170630"/>
    </sheetNames>
    <sheetDataSet>
      <sheetData sheetId="0">
        <row r="57">
          <cell r="X57">
            <v>33565.645999999993</v>
          </cell>
        </row>
        <row r="58">
          <cell r="F58">
            <v>-14735443.560000001</v>
          </cell>
        </row>
        <row r="59">
          <cell r="F59">
            <v>1686064.31</v>
          </cell>
          <cell r="Y59">
            <v>1783.9369999999999</v>
          </cell>
        </row>
        <row r="60">
          <cell r="X60">
            <v>136095.82999999999</v>
          </cell>
        </row>
        <row r="442">
          <cell r="F442">
            <v>-129699.65</v>
          </cell>
        </row>
        <row r="443">
          <cell r="F443">
            <v>-1218240.8999999999</v>
          </cell>
        </row>
        <row r="444">
          <cell r="F444">
            <v>1218240.8999999999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F-GUELPHHYDRO_ST-P-F_20170731"/>
    </sheetNames>
    <sheetDataSet>
      <sheetData sheetId="0">
        <row r="54">
          <cell r="X54">
            <v>62564.366999999984</v>
          </cell>
        </row>
        <row r="55">
          <cell r="F55">
            <v>-7956370.2000000002</v>
          </cell>
        </row>
        <row r="56">
          <cell r="F56">
            <v>-44.48</v>
          </cell>
          <cell r="Y56">
            <v>1915.1759999999999</v>
          </cell>
        </row>
        <row r="57">
          <cell r="X57">
            <v>137811.36799999999</v>
          </cell>
        </row>
        <row r="456">
          <cell r="F456">
            <v>-237671.16</v>
          </cell>
        </row>
        <row r="457">
          <cell r="F457">
            <v>21358.94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F-GUELPHHYDRO_ST-P-F_20170831"/>
    </sheetNames>
    <sheetDataSet>
      <sheetData sheetId="0">
        <row r="57">
          <cell r="X57">
            <v>67249.843000000008</v>
          </cell>
        </row>
        <row r="58">
          <cell r="F58">
            <v>-7604427.29</v>
          </cell>
        </row>
        <row r="59">
          <cell r="F59">
            <v>-822.56</v>
          </cell>
          <cell r="Y59">
            <v>1777.9839999999999</v>
          </cell>
        </row>
        <row r="60">
          <cell r="X60">
            <v>140382.61300000001</v>
          </cell>
        </row>
        <row r="411">
          <cell r="F411">
            <v>-267124.64</v>
          </cell>
        </row>
        <row r="412">
          <cell r="F412">
            <v>293375.37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F-GUELPHHYDRO_ST-P-F_20170930"/>
    </sheetNames>
    <sheetDataSet>
      <sheetData sheetId="0">
        <row r="52">
          <cell r="X52">
            <v>64874.892000000022</v>
          </cell>
        </row>
        <row r="53">
          <cell r="F53">
            <v>-6414181.4100000001</v>
          </cell>
        </row>
        <row r="54">
          <cell r="F54">
            <v>252.24</v>
          </cell>
          <cell r="Y54">
            <v>1702.596</v>
          </cell>
        </row>
        <row r="55">
          <cell r="X55">
            <v>137439.30300000001</v>
          </cell>
        </row>
        <row r="382">
          <cell r="F382">
            <v>-202045.95</v>
          </cell>
        </row>
        <row r="383">
          <cell r="F383">
            <v>-5864.18</v>
          </cell>
        </row>
        <row r="384">
          <cell r="F384">
            <v>0.23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64"/>
  <sheetViews>
    <sheetView tabSelected="1" topLeftCell="A13" workbookViewId="0">
      <selection activeCell="I35" sqref="I35"/>
    </sheetView>
  </sheetViews>
  <sheetFormatPr defaultRowHeight="15"/>
  <cols>
    <col min="2" max="2" width="21.28515625" customWidth="1"/>
    <col min="3" max="5" width="20.85546875" bestFit="1" customWidth="1"/>
    <col min="6" max="6" width="20.7109375" bestFit="1" customWidth="1"/>
    <col min="7" max="7" width="19.85546875" bestFit="1" customWidth="1"/>
    <col min="8" max="8" width="19.42578125" bestFit="1" customWidth="1"/>
    <col min="9" max="9" width="21.7109375" customWidth="1"/>
    <col min="11" max="11" width="15.7109375" customWidth="1"/>
    <col min="12" max="12" width="14.28515625" customWidth="1"/>
  </cols>
  <sheetData>
    <row r="1" spans="1:31" ht="15.75">
      <c r="A1" s="9" t="s">
        <v>7</v>
      </c>
    </row>
    <row r="2" spans="1:31">
      <c r="A2" s="8" t="s">
        <v>8</v>
      </c>
    </row>
    <row r="4" spans="1:31" ht="15.75">
      <c r="A4" s="9" t="s">
        <v>5</v>
      </c>
    </row>
    <row r="5" spans="1:31" ht="63">
      <c r="A5" s="7" t="s">
        <v>4</v>
      </c>
      <c r="B5" s="1" t="s">
        <v>68</v>
      </c>
      <c r="C5" s="1" t="s">
        <v>0</v>
      </c>
      <c r="D5" s="1" t="s">
        <v>1</v>
      </c>
      <c r="E5" s="1" t="s">
        <v>75</v>
      </c>
      <c r="F5" s="1" t="s">
        <v>2</v>
      </c>
      <c r="G5" s="5" t="s">
        <v>76</v>
      </c>
      <c r="H5" s="1" t="s">
        <v>77</v>
      </c>
      <c r="I5" s="10" t="s">
        <v>18</v>
      </c>
      <c r="O5" s="27" t="s">
        <v>64</v>
      </c>
      <c r="P5" s="27" t="s">
        <v>65</v>
      </c>
      <c r="Q5" s="27" t="s">
        <v>66</v>
      </c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</row>
    <row r="6" spans="1:31" ht="15.75">
      <c r="A6" s="7"/>
      <c r="B6" s="12" t="s">
        <v>12</v>
      </c>
      <c r="C6" s="12" t="s">
        <v>12</v>
      </c>
      <c r="D6" s="12" t="s">
        <v>12</v>
      </c>
      <c r="E6" s="12" t="s">
        <v>12</v>
      </c>
      <c r="F6" s="12" t="s">
        <v>13</v>
      </c>
      <c r="G6" s="13" t="s">
        <v>14</v>
      </c>
      <c r="H6" s="1" t="s">
        <v>14</v>
      </c>
      <c r="I6" s="10" t="s">
        <v>14</v>
      </c>
    </row>
    <row r="7" spans="1:31" ht="15.75">
      <c r="A7" s="7"/>
      <c r="B7" s="1" t="s">
        <v>9</v>
      </c>
      <c r="C7" s="1" t="s">
        <v>3</v>
      </c>
      <c r="D7" s="1" t="s">
        <v>10</v>
      </c>
      <c r="E7" s="1" t="s">
        <v>11</v>
      </c>
      <c r="F7" s="3" t="s">
        <v>15</v>
      </c>
      <c r="G7" s="3" t="s">
        <v>16</v>
      </c>
      <c r="H7" s="3" t="s">
        <v>17</v>
      </c>
      <c r="I7" s="3" t="s">
        <v>81</v>
      </c>
    </row>
    <row r="8" spans="1:31" ht="15.75">
      <c r="A8" s="6">
        <v>42736</v>
      </c>
      <c r="B8" s="29">
        <f>'[1]CNF-GUELPHHYDRO_ST-P-F_20170131'!$X$57*1000</f>
        <v>147072093</v>
      </c>
      <c r="C8" s="29">
        <f>'[1]CNF-GUELPHHYDRO_ST-P-F_20170131'!$Y$56*1000</f>
        <v>127868</v>
      </c>
      <c r="D8" s="29">
        <f>'[1]CNF-GUELPHHYDRO_ST-P-F_20170131'!$X$54*1000</f>
        <v>33326271.999999996</v>
      </c>
      <c r="E8" s="2">
        <f>B8+C8-D8</f>
        <v>113873689</v>
      </c>
      <c r="F8" s="30">
        <v>8.2269999999999996E-2</v>
      </c>
      <c r="G8" s="4">
        <f t="shared" ref="G8:G19" si="0">E8*F8</f>
        <v>9368388.3940299992</v>
      </c>
      <c r="H8" s="31">
        <v>9370013.8900000006</v>
      </c>
      <c r="I8" s="11">
        <f>H8-G8</f>
        <v>1625.4959700014442</v>
      </c>
      <c r="J8" t="str">
        <f t="shared" ref="J8:J20" si="1">IF(I8&gt;0,"Overcharged","Undercharged")</f>
        <v>Overcharged</v>
      </c>
      <c r="N8" s="6">
        <v>42736</v>
      </c>
      <c r="O8" s="19">
        <v>6.6869999999999999E-2</v>
      </c>
      <c r="P8" s="19">
        <v>8.677E-2</v>
      </c>
      <c r="Q8" s="19">
        <v>8.2269999999999996E-2</v>
      </c>
    </row>
    <row r="9" spans="1:31" ht="15.75">
      <c r="A9" s="6">
        <v>42767</v>
      </c>
      <c r="B9" s="29">
        <f>'[2]CNF-GUELPHHYDRO_ST-P-F_20170228'!$X$58*1000</f>
        <v>131319519</v>
      </c>
      <c r="C9" s="29">
        <f>'[2]CNF-GUELPHHYDRO_ST-P-F_20170228'!$Y$57*1000</f>
        <v>224571</v>
      </c>
      <c r="D9" s="29">
        <f>'[2]CNF-GUELPHHYDRO_ST-P-F_20170228'!$X$55*1000</f>
        <v>31019353.000000004</v>
      </c>
      <c r="E9" s="2">
        <f t="shared" ref="E9:E19" si="2">B9+C9-D9</f>
        <v>100524737</v>
      </c>
      <c r="F9" s="30">
        <v>8.6389999999999995E-2</v>
      </c>
      <c r="G9" s="4">
        <f t="shared" si="0"/>
        <v>8684332.0294300001</v>
      </c>
      <c r="H9" s="31">
        <v>8684448</v>
      </c>
      <c r="I9" s="11">
        <f t="shared" ref="I9:I19" si="3">H9-G9</f>
        <v>115.97056999988854</v>
      </c>
      <c r="J9" t="str">
        <f t="shared" si="1"/>
        <v>Overcharged</v>
      </c>
      <c r="N9" s="6">
        <v>42767</v>
      </c>
      <c r="O9" s="19">
        <v>0.10559</v>
      </c>
      <c r="P9" s="19">
        <v>8.43E-2</v>
      </c>
      <c r="Q9" s="19">
        <v>8.6389999999999995E-2</v>
      </c>
    </row>
    <row r="10" spans="1:31" ht="15.75">
      <c r="A10" s="6">
        <v>42795</v>
      </c>
      <c r="B10" s="29">
        <f>'[3]CNF-GUELPHHYDRO_ST-P-F_20170331'!$X$59*1000</f>
        <v>145344352</v>
      </c>
      <c r="C10" s="29">
        <f>'[3]CNF-GUELPHHYDRO_ST-P-F_20170331'!$Y$58*1000</f>
        <v>807988</v>
      </c>
      <c r="D10" s="29">
        <f>'[3]CNF-GUELPHHYDRO_ST-P-F_20170331'!$X$56*1000</f>
        <v>34712180.000000007</v>
      </c>
      <c r="E10" s="2">
        <f t="shared" si="2"/>
        <v>111440160</v>
      </c>
      <c r="F10" s="30">
        <v>7.1349999999999997E-2</v>
      </c>
      <c r="G10" s="4">
        <f t="shared" si="0"/>
        <v>7951255.4159999993</v>
      </c>
      <c r="H10" s="31">
        <v>7951058.2699999996</v>
      </c>
      <c r="I10" s="11">
        <f t="shared" si="3"/>
        <v>-197.14599999971688</v>
      </c>
      <c r="J10" t="str">
        <f>IF(I10&gt;0,"Overcharged","Undercharged")</f>
        <v>Undercharged</v>
      </c>
      <c r="N10" s="6">
        <v>42795</v>
      </c>
      <c r="O10" s="19">
        <v>8.4089999999999998E-2</v>
      </c>
      <c r="P10" s="19">
        <v>6.8860000000000005E-2</v>
      </c>
      <c r="Q10" s="19">
        <v>7.1349999999999997E-2</v>
      </c>
    </row>
    <row r="11" spans="1:31" ht="15.75">
      <c r="A11" s="6">
        <v>42826</v>
      </c>
      <c r="B11" s="29">
        <f>'[4]CNF-GUELPHHYDRO_ST-P-F_20170430'!$X$58*1000</f>
        <v>126533249</v>
      </c>
      <c r="C11" s="29">
        <f>'[4]CNF-GUELPHHYDRO_ST-P-F_20170430'!$Y$57*1000</f>
        <v>1215134</v>
      </c>
      <c r="D11" s="29">
        <f>'[4]CNF-GUELPHHYDRO_ST-P-F_20170430'!$X$55*1000</f>
        <v>32112841</v>
      </c>
      <c r="E11" s="2">
        <f t="shared" si="2"/>
        <v>95635542</v>
      </c>
      <c r="F11" s="30">
        <v>0.10778</v>
      </c>
      <c r="G11" s="4">
        <f t="shared" si="0"/>
        <v>10307598.71676</v>
      </c>
      <c r="H11" s="31">
        <v>10308435.140000001</v>
      </c>
      <c r="I11" s="11">
        <f t="shared" si="3"/>
        <v>836.42324000038207</v>
      </c>
      <c r="J11" t="str">
        <f t="shared" si="1"/>
        <v>Overcharged</v>
      </c>
      <c r="N11" s="6">
        <v>42826</v>
      </c>
      <c r="O11" s="19">
        <v>6.8739999999999996E-2</v>
      </c>
      <c r="P11" s="19">
        <v>0.10218000000000001</v>
      </c>
      <c r="Q11" s="19">
        <v>0.10778</v>
      </c>
    </row>
    <row r="12" spans="1:31" ht="15.75">
      <c r="A12" s="6">
        <v>42856</v>
      </c>
      <c r="B12" s="29">
        <f>'[5]CNF-GUELPHHYDRO_ST-P-F_20170531'!$X$63*1000</f>
        <v>132063083.00000001</v>
      </c>
      <c r="C12" s="29">
        <f>'[5]CNF-GUELPHHYDRO_ST-P-F_20170531'!$Y$62*1000</f>
        <v>1497530</v>
      </c>
      <c r="D12" s="29">
        <f>'[5]CNF-GUELPHHYDRO_ST-P-F_20170531'!$X$60*1000</f>
        <v>33520472.000000007</v>
      </c>
      <c r="E12" s="2">
        <f t="shared" si="2"/>
        <v>100040141</v>
      </c>
      <c r="F12" s="30">
        <v>0.12307</v>
      </c>
      <c r="G12" s="4">
        <f t="shared" si="0"/>
        <v>12311940.152869999</v>
      </c>
      <c r="H12" s="31">
        <v>12310432.41</v>
      </c>
      <c r="I12" s="11">
        <f t="shared" si="3"/>
        <v>-1507.7428699992597</v>
      </c>
      <c r="J12" t="str">
        <f t="shared" si="1"/>
        <v>Undercharged</v>
      </c>
      <c r="N12" s="6">
        <v>42856</v>
      </c>
      <c r="O12" s="19">
        <v>0.10623</v>
      </c>
      <c r="P12" s="19">
        <v>0.12776000000000001</v>
      </c>
      <c r="Q12" s="19">
        <v>0.12307</v>
      </c>
    </row>
    <row r="13" spans="1:31" ht="15.75">
      <c r="A13" s="6">
        <v>42887</v>
      </c>
      <c r="B13" s="29">
        <f>'[6]CNF-GUELPHHYDRO_ST-P-F_20170630'!$X$60*1000</f>
        <v>136095830</v>
      </c>
      <c r="C13" s="29">
        <f>'[6]CNF-GUELPHHYDRO_ST-P-F_20170630'!$Y$59*1000</f>
        <v>1783937</v>
      </c>
      <c r="D13" s="29">
        <f>'[6]CNF-GUELPHHYDRO_ST-P-F_20170630'!$X$57*1000</f>
        <v>33565645.999999993</v>
      </c>
      <c r="E13" s="2">
        <f t="shared" si="2"/>
        <v>104314121</v>
      </c>
      <c r="F13" s="30">
        <v>0.11848</v>
      </c>
      <c r="G13" s="4">
        <f t="shared" si="0"/>
        <v>12359137.05608</v>
      </c>
      <c r="H13" s="31">
        <v>16083898.42</v>
      </c>
      <c r="I13" s="11">
        <f t="shared" si="3"/>
        <v>3724761.3639199995</v>
      </c>
      <c r="J13" t="str">
        <f t="shared" si="1"/>
        <v>Overcharged</v>
      </c>
      <c r="N13" s="6">
        <v>42887</v>
      </c>
      <c r="O13" s="19">
        <v>0.11954000000000001</v>
      </c>
      <c r="P13" s="19">
        <v>0.12562999999999999</v>
      </c>
      <c r="Q13" s="19">
        <v>0.11848</v>
      </c>
    </row>
    <row r="14" spans="1:31" ht="15.75">
      <c r="A14" s="6">
        <v>42917</v>
      </c>
      <c r="B14" s="29">
        <f>'[7]CNF-GUELPHHYDRO_ST-P-F_20170731'!$X$57*1000</f>
        <v>137811368</v>
      </c>
      <c r="C14" s="29">
        <f>'[7]CNF-GUELPHHYDRO_ST-P-F_20170731'!$Y$56*1000</f>
        <v>1915176</v>
      </c>
      <c r="D14" s="29">
        <f>'[7]CNF-GUELPHHYDRO_ST-P-F_20170731'!$X$54*1000</f>
        <v>62564366.999999985</v>
      </c>
      <c r="E14" s="2">
        <f t="shared" si="2"/>
        <v>77162177.000000015</v>
      </c>
      <c r="F14" s="30">
        <v>0.1128</v>
      </c>
      <c r="G14" s="4">
        <f t="shared" si="0"/>
        <v>8703893.5656000022</v>
      </c>
      <c r="H14" s="31">
        <v>5268377.21</v>
      </c>
      <c r="I14" s="11">
        <f t="shared" si="3"/>
        <v>-3435516.3556000022</v>
      </c>
      <c r="J14" t="str">
        <f t="shared" si="1"/>
        <v>Undercharged</v>
      </c>
      <c r="N14" s="6">
        <v>42917</v>
      </c>
      <c r="O14" s="19">
        <v>0.10651999999999999</v>
      </c>
      <c r="P14" s="19">
        <v>0.10197000000000001</v>
      </c>
      <c r="Q14" s="19">
        <v>0.1128</v>
      </c>
    </row>
    <row r="15" spans="1:31" ht="15.75">
      <c r="A15" s="6">
        <v>42948</v>
      </c>
      <c r="B15" s="29">
        <f>'[8]CNF-GUELPHHYDRO_ST-P-F_20170831'!$X$60*1000</f>
        <v>140382613</v>
      </c>
      <c r="C15" s="29">
        <f>'[8]CNF-GUELPHHYDRO_ST-P-F_20170831'!$Y$59*1000</f>
        <v>1777984</v>
      </c>
      <c r="D15" s="29">
        <f>'[8]CNF-GUELPHHYDRO_ST-P-F_20170831'!$X$57*1000</f>
        <v>67249843.000000015</v>
      </c>
      <c r="E15" s="2">
        <f t="shared" si="2"/>
        <v>74910753.999999985</v>
      </c>
      <c r="F15" s="30">
        <v>0.10109</v>
      </c>
      <c r="G15" s="4">
        <f t="shared" si="0"/>
        <v>7572728.1218599984</v>
      </c>
      <c r="H15" s="31">
        <v>7578221.04</v>
      </c>
      <c r="I15" s="11">
        <f t="shared" si="3"/>
        <v>5492.918140001595</v>
      </c>
      <c r="J15" t="str">
        <f t="shared" si="1"/>
        <v>Overcharged</v>
      </c>
      <c r="N15" s="6">
        <v>42948</v>
      </c>
      <c r="O15" s="19">
        <v>0.115</v>
      </c>
      <c r="P15" s="19">
        <v>0.10476000000000001</v>
      </c>
      <c r="Q15" s="19">
        <v>0.10109</v>
      </c>
    </row>
    <row r="16" spans="1:31" ht="15.75">
      <c r="A16" s="6">
        <v>42979</v>
      </c>
      <c r="B16" s="29">
        <f>'[9]CNF-GUELPHHYDRO_ST-P-F_20170930'!$X$55*1000</f>
        <v>137439303</v>
      </c>
      <c r="C16" s="29">
        <f>'[9]CNF-GUELPHHYDRO_ST-P-F_20170930'!$Y$54*1000</f>
        <v>1702596</v>
      </c>
      <c r="D16" s="29">
        <f>'[9]CNF-GUELPHHYDRO_ST-P-F_20170930'!$X$52*1000</f>
        <v>64874892.000000022</v>
      </c>
      <c r="E16" s="2">
        <f t="shared" si="2"/>
        <v>74267006.99999997</v>
      </c>
      <c r="F16" s="30">
        <v>8.8639999999999997E-2</v>
      </c>
      <c r="G16" s="4">
        <f t="shared" si="0"/>
        <v>6583027.5004799971</v>
      </c>
      <c r="H16" s="31">
        <v>6622914.0999999996</v>
      </c>
      <c r="I16" s="11">
        <f t="shared" si="3"/>
        <v>39886.599520002492</v>
      </c>
      <c r="J16" t="str">
        <f t="shared" si="1"/>
        <v>Overcharged</v>
      </c>
      <c r="N16" s="6">
        <v>42979</v>
      </c>
      <c r="O16" s="19">
        <v>0.12739</v>
      </c>
      <c r="P16" s="19">
        <v>9.8949999999999996E-2</v>
      </c>
      <c r="Q16" s="19">
        <v>8.8639999999999997E-2</v>
      </c>
    </row>
    <row r="17" spans="1:17" ht="15.75">
      <c r="A17" s="6">
        <v>43009</v>
      </c>
      <c r="B17" s="29">
        <f>'[10]CNF-GUELPHHYDRO_ST-P-F_20171031'!$X$62*1000</f>
        <v>135649277</v>
      </c>
      <c r="C17" s="29">
        <f>'[10]CNF-GUELPHHYDRO_ST-P-F_20171031'!$Y$61*1000</f>
        <v>1614610</v>
      </c>
      <c r="D17" s="29">
        <f>'[10]CNF-GUELPHHYDRO_ST-P-F_20171031'!$X$59*1000</f>
        <v>63928646.000000007</v>
      </c>
      <c r="E17" s="2">
        <f t="shared" si="2"/>
        <v>73335241</v>
      </c>
      <c r="F17" s="30">
        <v>0.12562999999999999</v>
      </c>
      <c r="G17" s="4">
        <f t="shared" si="0"/>
        <v>9213106.3268299997</v>
      </c>
      <c r="H17" s="31">
        <v>9243204.75</v>
      </c>
      <c r="I17" s="11">
        <f t="shared" si="3"/>
        <v>30098.423170000315</v>
      </c>
      <c r="J17" t="str">
        <f t="shared" si="1"/>
        <v>Overcharged</v>
      </c>
      <c r="N17" s="6">
        <v>43009</v>
      </c>
      <c r="O17" s="19">
        <v>0.10212</v>
      </c>
      <c r="P17" s="19">
        <v>0.11973</v>
      </c>
      <c r="Q17" s="19">
        <v>0.12562999999999999</v>
      </c>
    </row>
    <row r="18" spans="1:17" ht="15.75">
      <c r="A18" s="6">
        <v>43040</v>
      </c>
      <c r="B18" s="29">
        <f>'[11]CNF-GUELPHHYDRO_ST-P-F_20171130'!$X$63*1000</f>
        <v>139160991</v>
      </c>
      <c r="C18" s="29">
        <f>'[11]CNF-GUELPHHYDRO_ST-P-F_20171130'!$Y$62*1000</f>
        <v>973670</v>
      </c>
      <c r="D18" s="29">
        <f>'[11]CNF-GUELPHHYDRO_ST-P-F_20171130'!$X$60*1000</f>
        <v>64325888.000000007</v>
      </c>
      <c r="E18" s="2">
        <f t="shared" si="2"/>
        <v>75808773</v>
      </c>
      <c r="F18" s="30">
        <v>9.7040000000000001E-2</v>
      </c>
      <c r="G18" s="4">
        <f t="shared" si="0"/>
        <v>7356483.3319199998</v>
      </c>
      <c r="H18" s="31">
        <v>7388919.9900000002</v>
      </c>
      <c r="I18" s="11">
        <f t="shared" si="3"/>
        <v>32436.65808000043</v>
      </c>
      <c r="J18" t="str">
        <f t="shared" si="1"/>
        <v>Overcharged</v>
      </c>
      <c r="N18" s="6">
        <v>43040</v>
      </c>
      <c r="O18" s="19">
        <v>0.11164</v>
      </c>
      <c r="P18" s="19">
        <v>9.6689999999999998E-2</v>
      </c>
      <c r="Q18" s="19">
        <v>9.7040000000000001E-2</v>
      </c>
    </row>
    <row r="19" spans="1:17" ht="15.75">
      <c r="A19" s="6">
        <v>43070</v>
      </c>
      <c r="B19" s="29">
        <f>'[12]CNF-GUELPHHYDRO_ST-P-F_20171231'!$X$59*1000</f>
        <v>139368541</v>
      </c>
      <c r="C19" s="29">
        <f>'[12]CNF-GUELPHHYDRO_ST-P-F_20171231'!$Y$57*1000</f>
        <v>512620</v>
      </c>
      <c r="D19" s="29">
        <f>'[12]CNF-GUELPHHYDRO_ST-P-F_20171231'!$X$55*1000</f>
        <v>56490687.999999993</v>
      </c>
      <c r="E19" s="2">
        <f t="shared" si="2"/>
        <v>83390473</v>
      </c>
      <c r="F19" s="30">
        <v>9.2069999999999999E-2</v>
      </c>
      <c r="G19" s="4">
        <f t="shared" si="0"/>
        <v>7677760.8491099998</v>
      </c>
      <c r="H19" s="31">
        <v>7685017.0099999998</v>
      </c>
      <c r="I19" s="11">
        <f t="shared" si="3"/>
        <v>7256.160889999941</v>
      </c>
      <c r="J19" t="str">
        <f t="shared" si="1"/>
        <v>Overcharged</v>
      </c>
      <c r="N19" s="6">
        <v>43070</v>
      </c>
      <c r="O19" s="19">
        <v>8.3909999999999998E-2</v>
      </c>
      <c r="P19" s="19">
        <v>9.6689999999999998E-2</v>
      </c>
      <c r="Q19" s="19">
        <v>9.2069999999999999E-2</v>
      </c>
    </row>
    <row r="20" spans="1:17" ht="15.75">
      <c r="A20" s="14" t="s">
        <v>6</v>
      </c>
      <c r="B20" s="15">
        <f>SUM(B8:B19)</f>
        <v>1648240219</v>
      </c>
      <c r="C20" s="15">
        <f t="shared" ref="C20:I20" si="4">SUM(C8:C19)</f>
        <v>14153684</v>
      </c>
      <c r="D20" s="15">
        <f t="shared" si="4"/>
        <v>577691088</v>
      </c>
      <c r="E20" s="15">
        <f t="shared" si="4"/>
        <v>1084702815</v>
      </c>
      <c r="F20" s="57"/>
      <c r="G20" s="58">
        <f>SUM(G8:G19)</f>
        <v>108089651.46096998</v>
      </c>
      <c r="H20" s="58">
        <f t="shared" si="4"/>
        <v>108494940.22999999</v>
      </c>
      <c r="I20" s="59">
        <f t="shared" si="4"/>
        <v>405288.76903000474</v>
      </c>
      <c r="J20" t="str">
        <f t="shared" si="1"/>
        <v>Overcharged</v>
      </c>
    </row>
    <row r="21" spans="1:17" s="71" customFormat="1" ht="15.75">
      <c r="A21" s="68"/>
      <c r="B21" s="69"/>
      <c r="C21" s="69"/>
      <c r="D21" s="69"/>
      <c r="E21" s="69"/>
      <c r="F21" s="69"/>
      <c r="G21" s="70"/>
      <c r="H21" s="70"/>
      <c r="I21" s="70"/>
    </row>
    <row r="22" spans="1:17" s="71" customFormat="1" ht="16.5" thickBot="1">
      <c r="A22" s="68"/>
      <c r="B22" s="69"/>
      <c r="C22" s="69"/>
      <c r="D22" s="69"/>
      <c r="E22" s="69"/>
      <c r="F22" s="69" t="s">
        <v>87</v>
      </c>
      <c r="G22" s="70"/>
      <c r="H22" s="70"/>
      <c r="I22" s="70"/>
    </row>
    <row r="23" spans="1:17" ht="30.75" thickBot="1">
      <c r="F23" s="74" t="s">
        <v>86</v>
      </c>
      <c r="G23" s="75"/>
      <c r="H23" s="65" t="s">
        <v>83</v>
      </c>
      <c r="I23" s="64">
        <f>405169.26</f>
        <v>405169.26</v>
      </c>
    </row>
    <row r="24" spans="1:17" ht="15.75">
      <c r="A24" s="9" t="s">
        <v>67</v>
      </c>
      <c r="F24" s="60" t="s">
        <v>84</v>
      </c>
      <c r="G24" s="66"/>
      <c r="H24" s="72">
        <v>0.46200000000000002</v>
      </c>
      <c r="I24" s="61">
        <f>H24*I23</f>
        <v>187188.19812000002</v>
      </c>
    </row>
    <row r="25" spans="1:17" ht="15.75" thickBot="1">
      <c r="A25" t="s">
        <v>19</v>
      </c>
      <c r="F25" s="62" t="s">
        <v>85</v>
      </c>
      <c r="G25" s="67"/>
      <c r="H25" s="73">
        <f>100%-H24</f>
        <v>0.53800000000000003</v>
      </c>
      <c r="I25" s="63">
        <f>H25*I23</f>
        <v>217981.06188000002</v>
      </c>
    </row>
    <row r="26" spans="1:17">
      <c r="A26" s="16" t="s">
        <v>20</v>
      </c>
    </row>
    <row r="27" spans="1:17">
      <c r="A27" s="35"/>
    </row>
    <row r="28" spans="1:17" s="17" customFormat="1" ht="31.5">
      <c r="A28" s="18"/>
      <c r="B28" s="3" t="s">
        <v>21</v>
      </c>
      <c r="C28" s="3" t="s">
        <v>79</v>
      </c>
      <c r="D28" s="3" t="s">
        <v>22</v>
      </c>
      <c r="E28" s="3" t="s">
        <v>25</v>
      </c>
      <c r="F28" s="3" t="s">
        <v>23</v>
      </c>
      <c r="G28" s="3" t="s">
        <v>18</v>
      </c>
      <c r="H28" s="49"/>
      <c r="I28" s="50"/>
    </row>
    <row r="29" spans="1:17" s="17" customFormat="1" ht="15.75">
      <c r="A29" s="18"/>
      <c r="B29" s="3" t="s">
        <v>9</v>
      </c>
      <c r="C29" s="3" t="s">
        <v>3</v>
      </c>
      <c r="D29" s="3" t="s">
        <v>10</v>
      </c>
      <c r="E29" s="3" t="s">
        <v>11</v>
      </c>
      <c r="F29" s="3" t="s">
        <v>15</v>
      </c>
      <c r="G29" s="3" t="s">
        <v>24</v>
      </c>
      <c r="H29" s="49"/>
      <c r="I29" s="50"/>
      <c r="K29" s="6">
        <v>42736</v>
      </c>
      <c r="L29" s="24" t="s">
        <v>26</v>
      </c>
      <c r="M29" s="32" t="s">
        <v>60</v>
      </c>
      <c r="N29" s="32" t="s">
        <v>61</v>
      </c>
      <c r="O29"/>
      <c r="P29"/>
    </row>
    <row r="30" spans="1:17" ht="15.75">
      <c r="A30" s="6">
        <v>42736</v>
      </c>
      <c r="B30" s="38">
        <f>-('[13]CNF-GUELPHHYDRO_ST-P-P_20170131'!$F$39)</f>
        <v>9419115.4399999995</v>
      </c>
      <c r="C30" s="38">
        <f>-('[14]CNF-GUELPHHYDRO_ST-P-F_20161231'!$F$57+'[14]CNF-GUELPHHYDRO_ST-P-F_20161231'!$F$58+'[14]CNF-GUELPHHYDRO_ST-P-F_20161231'!$F$359)</f>
        <v>9487000.4899999984</v>
      </c>
      <c r="D30" s="38">
        <f>-('[15]CNF-GUELPHHYDRO_ST-P-P_20161231'!$F$40+'[15]CNF-GUELPHHYDRO_ST-P-P_20161231'!$F$319)</f>
        <v>9536102.0399999991</v>
      </c>
      <c r="E30" s="39">
        <f>B30+C30-D30</f>
        <v>9370013.8900000006</v>
      </c>
      <c r="F30" s="38">
        <v>9370013.8900000006</v>
      </c>
      <c r="G30" s="39">
        <f t="shared" ref="G30:G41" si="5">E30-F30</f>
        <v>0</v>
      </c>
      <c r="H30" s="51"/>
      <c r="I30" s="52"/>
      <c r="K30" s="6">
        <v>42767</v>
      </c>
      <c r="L30" s="24" t="s">
        <v>27</v>
      </c>
      <c r="M30" t="s">
        <v>29</v>
      </c>
      <c r="N30" s="24" t="s">
        <v>30</v>
      </c>
      <c r="P30" s="24" t="s">
        <v>59</v>
      </c>
    </row>
    <row r="31" spans="1:17" ht="15.75">
      <c r="A31" s="6">
        <v>42767</v>
      </c>
      <c r="B31" s="38">
        <f>-('[16]CNF-GUELPHHYDRO_ST-P-P_20170228'!$F$39)</f>
        <v>8684680.2100000009</v>
      </c>
      <c r="C31" s="38">
        <f>-('[1]CNF-GUELPHHYDRO_ST-P-F_20170131'!$F$55+'[1]CNF-GUELPHHYDRO_ST-P-F_20170131'!$F$56)</f>
        <v>9418883.2299999986</v>
      </c>
      <c r="D31" s="38">
        <f>B30</f>
        <v>9419115.4399999995</v>
      </c>
      <c r="E31" s="39">
        <f t="shared" ref="E31:E41" si="6">B31+C31-D31</f>
        <v>8684447.9999999981</v>
      </c>
      <c r="F31" s="38">
        <v>8684448</v>
      </c>
      <c r="G31" s="39">
        <f t="shared" si="5"/>
        <v>0</v>
      </c>
      <c r="H31" s="51"/>
      <c r="I31" s="52"/>
      <c r="K31" s="6">
        <v>42795</v>
      </c>
      <c r="L31" s="24" t="s">
        <v>31</v>
      </c>
      <c r="M31" t="s">
        <v>33</v>
      </c>
      <c r="N31" s="24" t="s">
        <v>34</v>
      </c>
    </row>
    <row r="32" spans="1:17" ht="15.75">
      <c r="A32" s="6">
        <v>42795</v>
      </c>
      <c r="B32" s="38">
        <f>-('[17]CNF-GUELPHHYDRO_ST-P-P_20170331'!$F$41+'[17]CNF-GUELPHHYDRO_ST-P-P_20170331'!$F$366)</f>
        <v>7950979.7699999996</v>
      </c>
      <c r="C32" s="38">
        <f>-('[2]CNF-GUELPHHYDRO_ST-P-F_20170228'!$F$56+'[2]CNF-GUELPHHYDRO_ST-P-F_20170228'!$F$57)</f>
        <v>8684758.7100000009</v>
      </c>
      <c r="D32" s="38">
        <f t="shared" ref="D32:D41" si="7">B31</f>
        <v>8684680.2100000009</v>
      </c>
      <c r="E32" s="39">
        <f t="shared" si="6"/>
        <v>7951058.2699999996</v>
      </c>
      <c r="F32" s="38">
        <v>7951058.2699999996</v>
      </c>
      <c r="G32" s="39">
        <f t="shared" si="5"/>
        <v>0</v>
      </c>
      <c r="H32" s="51"/>
      <c r="I32" s="52"/>
      <c r="K32" s="6">
        <v>42826</v>
      </c>
      <c r="L32" s="24" t="s">
        <v>35</v>
      </c>
      <c r="M32" t="s">
        <v>32</v>
      </c>
      <c r="N32" s="24" t="s">
        <v>36</v>
      </c>
    </row>
    <row r="33" spans="1:14" ht="15.75">
      <c r="A33" s="6">
        <v>42826</v>
      </c>
      <c r="B33" s="38">
        <f>-('[18]CNF-GUELPHHYDRO_ST-P-P_20170430'!$F$40+'[18]CNF-GUELPHHYDRO_ST-P-P_20170430'!$F$347+'[18]CNF-GUELPHHYDRO_ST-P-P_20170430'!$F$348+'[18]CNF-GUELPHHYDRO_ST-P-P_20170430'!$F$349)</f>
        <v>10308402.400000002</v>
      </c>
      <c r="C33" s="38">
        <f>-('[3]CNF-GUELPHHYDRO_ST-P-F_20170331'!$F$57+'[3]CNF-GUELPHHYDRO_ST-P-F_20170331'!$F$58+'[3]CNF-GUELPHHYDRO_ST-P-F_20170331'!$F$424)</f>
        <v>7951012.5099999998</v>
      </c>
      <c r="D33" s="38">
        <f t="shared" si="7"/>
        <v>7950979.7699999996</v>
      </c>
      <c r="E33" s="39">
        <f t="shared" si="6"/>
        <v>10308435.140000004</v>
      </c>
      <c r="F33" s="38">
        <v>10308435.140000001</v>
      </c>
      <c r="G33" s="39">
        <f t="shared" si="5"/>
        <v>0</v>
      </c>
      <c r="H33" s="51"/>
      <c r="I33" s="52"/>
      <c r="K33" s="6">
        <v>42856</v>
      </c>
      <c r="L33" s="24" t="s">
        <v>28</v>
      </c>
      <c r="M33" t="s">
        <v>37</v>
      </c>
      <c r="N33" s="24" t="s">
        <v>38</v>
      </c>
    </row>
    <row r="34" spans="1:14" ht="15.75">
      <c r="A34" s="6">
        <v>42856</v>
      </c>
      <c r="B34" s="38">
        <f>-('[19]CNF-GUELPHHYDRO_ST-P-P_20170531'!$F$40+'[19]CNF-GUELPHHYDRO_ST-P-P_20170531'!$F$313)</f>
        <v>12292626.41</v>
      </c>
      <c r="C34" s="38">
        <f>-('[4]CNF-GUELPHHYDRO_ST-P-F_20170430'!$F$56+'[4]CNF-GUELPHHYDRO_ST-P-F_20170430'!$F$57+'[4]CNF-GUELPHHYDRO_ST-P-F_20170430'!$F$392+'[4]CNF-GUELPHHYDRO_ST-P-F_20170430'!$F$393+'[4]CNF-GUELPHHYDRO_ST-P-F_20170430'!$F$394+'[4]CNF-GUELPHHYDRO_ST-P-F_20170430'!$F$395)</f>
        <v>10326208.400000002</v>
      </c>
      <c r="D34" s="38">
        <f t="shared" si="7"/>
        <v>10308402.400000002</v>
      </c>
      <c r="E34" s="39">
        <f t="shared" si="6"/>
        <v>12310432.41</v>
      </c>
      <c r="F34" s="38">
        <v>12310432.41</v>
      </c>
      <c r="G34" s="39">
        <f t="shared" si="5"/>
        <v>0</v>
      </c>
      <c r="H34" s="51"/>
      <c r="I34" s="52"/>
      <c r="K34" s="6">
        <v>42887</v>
      </c>
      <c r="L34" s="24" t="s">
        <v>39</v>
      </c>
      <c r="M34" t="s">
        <v>40</v>
      </c>
      <c r="N34" s="24" t="s">
        <v>41</v>
      </c>
    </row>
    <row r="35" spans="1:14" ht="15.75">
      <c r="A35" s="6">
        <v>42887</v>
      </c>
      <c r="B35" s="38">
        <f>-('[20]CNF-GUELPHHYDRO_ST-P-P_20170630'!$F$38+'[20]CNF-GUELPHHYDRO_ST-P-P_20170630'!$F$350+'[20]CNF-GUELPHHYDRO_ST-P-P_20170630'!$F$351)</f>
        <v>16083384.110000001</v>
      </c>
      <c r="C35" s="38">
        <f>-('[5]CNF-GUELPHHYDRO_ST-P-F_20170531'!$F$61+'[5]CNF-GUELPHHYDRO_ST-P-F_20170531'!$F$62+'[5]CNF-GUELPHHYDRO_ST-P-F_20170531'!$F$413)</f>
        <v>12293140.720000001</v>
      </c>
      <c r="D35" s="38">
        <f t="shared" si="7"/>
        <v>12292626.41</v>
      </c>
      <c r="E35" s="39">
        <f t="shared" si="6"/>
        <v>16083898.420000002</v>
      </c>
      <c r="F35" s="38">
        <v>16083898.42</v>
      </c>
      <c r="G35" s="39">
        <f t="shared" si="5"/>
        <v>0</v>
      </c>
      <c r="H35" s="51"/>
      <c r="I35" s="52"/>
      <c r="K35" s="6">
        <v>42917</v>
      </c>
      <c r="L35" s="24" t="s">
        <v>42</v>
      </c>
      <c r="M35" t="s">
        <v>43</v>
      </c>
      <c r="N35" s="24" t="s">
        <v>44</v>
      </c>
    </row>
    <row r="36" spans="1:14" ht="15.75">
      <c r="A36" s="6">
        <v>42917</v>
      </c>
      <c r="B36" s="38">
        <f>-('[21]CNF-GUELPHHYDRO_ST-P-P_20170731'!$F$39+'[21]CNF-GUELPHHYDRO_ST-P-P_20170731'!$F$363+'[21]CNF-GUELPHHYDRO_ST-P-P_20170731'!$F$364)</f>
        <v>8172682.4199999999</v>
      </c>
      <c r="C36" s="38">
        <f>-('[6]CNF-GUELPHHYDRO_ST-P-F_20170630'!$F$58+'[6]CNF-GUELPHHYDRO_ST-P-F_20170630'!$F$59+'[6]CNF-GUELPHHYDRO_ST-P-F_20170630'!$F$442+'[6]CNF-GUELPHHYDRO_ST-P-F_20170630'!$F$443+'[6]CNF-GUELPHHYDRO_ST-P-F_20170630'!$F$444)</f>
        <v>13179078.9</v>
      </c>
      <c r="D36" s="38">
        <f t="shared" si="7"/>
        <v>16083384.110000001</v>
      </c>
      <c r="E36" s="39">
        <f t="shared" si="6"/>
        <v>5268377.209999999</v>
      </c>
      <c r="F36" s="38">
        <v>5268377.21</v>
      </c>
      <c r="G36" s="39">
        <f t="shared" si="5"/>
        <v>0</v>
      </c>
      <c r="H36" s="51"/>
      <c r="I36" s="52"/>
      <c r="K36" s="6">
        <v>42948</v>
      </c>
      <c r="L36" s="24" t="s">
        <v>45</v>
      </c>
      <c r="M36" t="s">
        <v>46</v>
      </c>
      <c r="N36" s="24" t="s">
        <v>47</v>
      </c>
    </row>
    <row r="37" spans="1:14" ht="15.75">
      <c r="A37" s="6">
        <v>42948</v>
      </c>
      <c r="B37" s="38">
        <f>-('[22]CNF-GUELPHHYDRO_ST-P-P_20170831'!$F$38+'[22]CNF-GUELPHHYDRO_ST-P-P_20170831'!$F$311+'[22]CNF-GUELPHHYDRO_ST-P-P_20170831'!$F$312)</f>
        <v>7578176.5599999996</v>
      </c>
      <c r="C37" s="38">
        <f>-('[7]CNF-GUELPHHYDRO_ST-P-F_20170731'!$F$55+'[7]CNF-GUELPHHYDRO_ST-P-F_20170731'!$F$56+'[7]CNF-GUELPHHYDRO_ST-P-F_20170731'!$F$456+'[7]CNF-GUELPHHYDRO_ST-P-F_20170731'!$F$457)</f>
        <v>8172726.9000000004</v>
      </c>
      <c r="D37" s="38">
        <f t="shared" si="7"/>
        <v>8172682.4199999999</v>
      </c>
      <c r="E37" s="39">
        <f t="shared" si="6"/>
        <v>7578221.040000001</v>
      </c>
      <c r="F37" s="38">
        <v>7578221.04</v>
      </c>
      <c r="G37" s="39">
        <f t="shared" si="5"/>
        <v>0</v>
      </c>
      <c r="H37" s="51"/>
      <c r="I37" s="52"/>
      <c r="K37" s="6">
        <v>42979</v>
      </c>
      <c r="L37" s="24" t="s">
        <v>48</v>
      </c>
      <c r="M37" t="s">
        <v>49</v>
      </c>
      <c r="N37" s="24" t="s">
        <v>50</v>
      </c>
    </row>
    <row r="38" spans="1:14" ht="15.75">
      <c r="A38" s="6">
        <v>42979</v>
      </c>
      <c r="B38" s="38">
        <f>-('[23]CNF-GUELPHHYDRO_ST-P-P_20170930'!$F$40+'[23]CNF-GUELPHHYDRO_ST-P-P_20170930'!$F$356+'[23]CNF-GUELPHHYDRO_ST-P-P_20170930'!$F$357)</f>
        <v>6622091.54</v>
      </c>
      <c r="C38" s="38">
        <f>-('[8]CNF-GUELPHHYDRO_ST-P-F_20170831'!$F$58+'[8]CNF-GUELPHHYDRO_ST-P-F_20170831'!$F$59+'[8]CNF-GUELPHHYDRO_ST-P-F_20170831'!$F$411+'[8]CNF-GUELPHHYDRO_ST-P-F_20170831'!$F$412)</f>
        <v>7578999.1199999992</v>
      </c>
      <c r="D38" s="38">
        <f t="shared" si="7"/>
        <v>7578176.5599999996</v>
      </c>
      <c r="E38" s="39">
        <f t="shared" si="6"/>
        <v>6622914.1000000006</v>
      </c>
      <c r="F38" s="38">
        <v>6622914.0999999996</v>
      </c>
      <c r="G38" s="39">
        <f t="shared" si="5"/>
        <v>0</v>
      </c>
      <c r="H38" s="51"/>
      <c r="I38" s="52"/>
      <c r="K38" s="6">
        <v>43009</v>
      </c>
      <c r="L38" s="24" t="s">
        <v>51</v>
      </c>
      <c r="M38" t="s">
        <v>52</v>
      </c>
      <c r="N38" s="24" t="s">
        <v>53</v>
      </c>
    </row>
    <row r="39" spans="1:14" ht="15.75">
      <c r="A39" s="6">
        <v>43009</v>
      </c>
      <c r="B39" s="38">
        <f>-('[24]CNF-GUELPHHYDRO_ST-P-P_20171031'!$F$40+'[24]CNF-GUELPHHYDRO_ST-P-P_20171031'!$F$323+'[24]CNF-GUELPHHYDRO_ST-P-P_20171031'!$F$324)</f>
        <v>9243457.2200000007</v>
      </c>
      <c r="C39" s="38">
        <f>-('[9]CNF-GUELPHHYDRO_ST-P-F_20170930'!$F$53+'[9]CNF-GUELPHHYDRO_ST-P-F_20170930'!$F$54+'[9]CNF-GUELPHHYDRO_ST-P-F_20170930'!$F$382+'[9]CNF-GUELPHHYDRO_ST-P-F_20170930'!$F$383+'[9]CNF-GUELPHHYDRO_ST-P-F_20170930'!$F$384)</f>
        <v>6621839.0699999994</v>
      </c>
      <c r="D39" s="38">
        <f t="shared" si="7"/>
        <v>6622091.54</v>
      </c>
      <c r="E39" s="39">
        <f t="shared" si="6"/>
        <v>9243204.75</v>
      </c>
      <c r="F39" s="38">
        <v>9243204.75</v>
      </c>
      <c r="G39" s="39">
        <f t="shared" si="5"/>
        <v>0</v>
      </c>
      <c r="H39" s="51"/>
      <c r="I39" s="52"/>
      <c r="K39" s="6">
        <v>43040</v>
      </c>
      <c r="L39" s="24" t="s">
        <v>54</v>
      </c>
      <c r="M39" t="s">
        <v>55</v>
      </c>
      <c r="N39" s="24" t="s">
        <v>56</v>
      </c>
    </row>
    <row r="40" spans="1:14" ht="15.75">
      <c r="A40" s="6">
        <v>43040</v>
      </c>
      <c r="B40" s="38">
        <f>-('[25]CNF-GUELPHHYDRO_ST-P-P_20171130'!$F$42+'[25]CNF-GUELPHHYDRO_ST-P-P_20171130'!$F$332+'[25]CNF-GUELPHHYDRO_ST-P-P_20171130'!$F$333)</f>
        <v>7387033.5399999991</v>
      </c>
      <c r="C40" s="38">
        <f>-('[10]CNF-GUELPHHYDRO_ST-P-F_20171031'!$F$60+'[10]CNF-GUELPHHYDRO_ST-P-F_20171031'!$F$61+'[10]CNF-GUELPHHYDRO_ST-P-F_20171031'!$F$464+'[10]CNF-GUELPHHYDRO_ST-P-F_20171031'!$F$465+'[10]CNF-GUELPHHYDRO_ST-P-F_20171031'!$F$466)</f>
        <v>9245343.6699999999</v>
      </c>
      <c r="D40" s="38">
        <f t="shared" si="7"/>
        <v>9243457.2200000007</v>
      </c>
      <c r="E40" s="39">
        <f t="shared" si="6"/>
        <v>7388919.9899999984</v>
      </c>
      <c r="F40" s="38">
        <v>7388919.9900000002</v>
      </c>
      <c r="G40" s="39">
        <f t="shared" si="5"/>
        <v>0</v>
      </c>
      <c r="H40" s="51"/>
      <c r="I40" s="52"/>
      <c r="K40" s="6">
        <v>43070</v>
      </c>
      <c r="L40" s="25" t="s">
        <v>62</v>
      </c>
      <c r="M40" s="25" t="s">
        <v>57</v>
      </c>
      <c r="N40" s="26" t="s">
        <v>58</v>
      </c>
    </row>
    <row r="41" spans="1:14" ht="15.75">
      <c r="A41" s="6">
        <v>43070</v>
      </c>
      <c r="B41" s="38">
        <f>-('[26]CNF-GUELPHHYDRO_ST-P-P_20171231'!$F$42+'[26]CNF-GUELPHHYDRO_ST-P-P_20171231'!$F$350+'[26]CNF-GUELPHHYDRO_ST-P-P_20171231'!$F$351+'[26]CNF-GUELPHHYDRO_ST-P-P_20171231'!$F$352+'[26]CNF-GUELPHHYDRO_ST-P-P_20171231'!$F$353+'[26]CNF-GUELPHHYDRO_ST-P-P_20171231'!$F$354+'[26]CNF-GUELPHHYDRO_ST-P-P_20171231'!$F$355+'[26]CNF-GUELPHHYDRO_ST-P-P_20171231'!$F$356+'[26]CNF-GUELPHHYDRO_ST-P-P_20171231'!$F$357)</f>
        <v>7684878.7399999993</v>
      </c>
      <c r="C41" s="38">
        <f>-('[11]CNF-GUELPHHYDRO_ST-P-F_20171130'!$F$61+'[11]CNF-GUELPHHYDRO_ST-P-F_20171130'!$F$62+'[11]CNF-GUELPHHYDRO_ST-P-F_20171130'!$F$372+'[11]CNF-GUELPHHYDRO_ST-P-F_20171130'!$F$373+'[11]CNF-GUELPHHYDRO_ST-P-F_20171130'!$F$374)</f>
        <v>7387171.8099999996</v>
      </c>
      <c r="D41" s="38">
        <f t="shared" si="7"/>
        <v>7387033.5399999991</v>
      </c>
      <c r="E41" s="39">
        <f t="shared" si="6"/>
        <v>7685017.0099999998</v>
      </c>
      <c r="F41" s="38">
        <v>7685017.0099999998</v>
      </c>
      <c r="G41" s="39">
        <f t="shared" si="5"/>
        <v>0</v>
      </c>
      <c r="H41" s="51"/>
      <c r="I41" s="52"/>
      <c r="K41" s="22" t="s">
        <v>63</v>
      </c>
    </row>
    <row r="42" spans="1:14" s="22" customFormat="1" ht="15.75">
      <c r="A42" s="14" t="s">
        <v>6</v>
      </c>
      <c r="B42" s="40">
        <f>SUM(B30:B41)</f>
        <v>111427508.36</v>
      </c>
      <c r="C42" s="40">
        <f t="shared" ref="C42:E42" si="8">SUM(C30:C41)</f>
        <v>110346163.53000002</v>
      </c>
      <c r="D42" s="40">
        <f t="shared" si="8"/>
        <v>113278731.66</v>
      </c>
      <c r="E42" s="40">
        <f t="shared" si="8"/>
        <v>108494940.23</v>
      </c>
      <c r="F42" s="41">
        <f>SUM(F30:F41)</f>
        <v>108494940.22999999</v>
      </c>
      <c r="G42" s="41">
        <f>SUM(G30:G41)</f>
        <v>0</v>
      </c>
      <c r="H42" s="53"/>
      <c r="I42" s="54"/>
      <c r="K42" s="37">
        <f>SUM(C31:C41)+B41+C30-D30</f>
        <v>108494940.22999999</v>
      </c>
    </row>
    <row r="43" spans="1:14">
      <c r="F43" s="48"/>
      <c r="G43" s="34"/>
      <c r="H43" s="51"/>
      <c r="I43" s="55"/>
    </row>
    <row r="44" spans="1:14" ht="15.75">
      <c r="A44" s="9" t="s">
        <v>69</v>
      </c>
      <c r="F44" s="48"/>
      <c r="G44" s="48"/>
      <c r="H44" s="51"/>
      <c r="I44" s="55"/>
    </row>
    <row r="45" spans="1:14">
      <c r="F45" s="48"/>
      <c r="G45" s="34"/>
      <c r="H45" s="56"/>
      <c r="I45" s="55"/>
    </row>
    <row r="46" spans="1:14" ht="63">
      <c r="A46" s="18"/>
      <c r="B46" s="3" t="s">
        <v>70</v>
      </c>
      <c r="C46" s="3" t="s">
        <v>80</v>
      </c>
      <c r="D46" s="3" t="s">
        <v>71</v>
      </c>
      <c r="E46" s="3" t="s">
        <v>72</v>
      </c>
      <c r="F46" s="1" t="s">
        <v>73</v>
      </c>
      <c r="G46" s="33" t="s">
        <v>78</v>
      </c>
    </row>
    <row r="47" spans="1:14" ht="15.75">
      <c r="A47" s="18"/>
      <c r="B47" s="3" t="s">
        <v>9</v>
      </c>
      <c r="C47" s="3" t="s">
        <v>3</v>
      </c>
      <c r="D47" s="3" t="s">
        <v>10</v>
      </c>
      <c r="E47" s="3" t="s">
        <v>11</v>
      </c>
      <c r="F47" s="33" t="s">
        <v>15</v>
      </c>
      <c r="G47" s="33" t="s">
        <v>74</v>
      </c>
    </row>
    <row r="48" spans="1:14" ht="15.75">
      <c r="A48" s="6">
        <v>42736</v>
      </c>
      <c r="B48" s="23">
        <f>('[13]CNF-GUELPHHYDRO_ST-P-P_20170131'!$X$39+'[13]CNF-GUELPHHYDRO_ST-P-P_20170131'!$Y$39)*1000</f>
        <v>113873689</v>
      </c>
      <c r="C48" s="23">
        <f>('[14]CNF-GUELPHHYDRO_ST-P-F_20161231'!$X$58+'[14]CNF-GUELPHHYDRO_ST-P-F_20161231'!$Y$58)*1000</f>
        <v>109545655</v>
      </c>
      <c r="D48" s="23">
        <f>('[15]CNF-GUELPHHYDRO_ST-P-P_20161231'!$X$40+'[15]CNF-GUELPHHYDRO_ST-P-P_20161231'!$Y$40)*1000</f>
        <v>109545655</v>
      </c>
      <c r="E48" s="20">
        <f>B48+C48-D48</f>
        <v>113873689</v>
      </c>
      <c r="F48" s="42">
        <f t="shared" ref="F48:F60" si="9">E8</f>
        <v>113873689</v>
      </c>
      <c r="G48" s="43">
        <f t="shared" ref="G48:G60" si="10">E48-F48</f>
        <v>0</v>
      </c>
    </row>
    <row r="49" spans="1:8" ht="15.75">
      <c r="A49" s="6">
        <v>42767</v>
      </c>
      <c r="B49" s="23">
        <f>('[16]CNF-GUELPHHYDRO_ST-P-P_20170228'!$X$39+'[16]CNF-GUELPHHYDRO_ST-P-P_20170228'!$Y$39)*1000</f>
        <v>100524737</v>
      </c>
      <c r="C49" s="23">
        <f t="shared" ref="C49:C59" si="11">E8</f>
        <v>113873689</v>
      </c>
      <c r="D49" s="23">
        <f>B48</f>
        <v>113873689</v>
      </c>
      <c r="E49" s="20">
        <f t="shared" ref="E49:E62" si="12">B49+C49-D49</f>
        <v>100524737</v>
      </c>
      <c r="F49" s="42">
        <f t="shared" si="9"/>
        <v>100524737</v>
      </c>
      <c r="G49" s="43">
        <f t="shared" si="10"/>
        <v>0</v>
      </c>
    </row>
    <row r="50" spans="1:8" ht="15.75">
      <c r="A50" s="6">
        <v>42795</v>
      </c>
      <c r="B50" s="23">
        <f>('[17]CNF-GUELPHHYDRO_ST-P-P_20170331'!$X$41+'[17]CNF-GUELPHHYDRO_ST-P-P_20170331'!$Y$41)*1000</f>
        <v>111440160</v>
      </c>
      <c r="C50" s="23">
        <f t="shared" si="11"/>
        <v>100524737</v>
      </c>
      <c r="D50" s="23">
        <f t="shared" ref="D50:D59" si="13">B49</f>
        <v>100524737</v>
      </c>
      <c r="E50" s="20">
        <f t="shared" si="12"/>
        <v>111440160</v>
      </c>
      <c r="F50" s="42">
        <f t="shared" si="9"/>
        <v>111440160</v>
      </c>
      <c r="G50" s="43">
        <f t="shared" si="10"/>
        <v>0</v>
      </c>
    </row>
    <row r="51" spans="1:8" ht="15.75">
      <c r="A51" s="6">
        <v>42826</v>
      </c>
      <c r="B51" s="23">
        <f>('[18]CNF-GUELPHHYDRO_ST-P-P_20170430'!$X$40+'[18]CNF-GUELPHHYDRO_ST-P-P_20170430'!$Y$40)*1000</f>
        <v>95635542</v>
      </c>
      <c r="C51" s="23">
        <f t="shared" si="11"/>
        <v>111440160</v>
      </c>
      <c r="D51" s="23">
        <f t="shared" si="13"/>
        <v>111440160</v>
      </c>
      <c r="E51" s="20">
        <f t="shared" si="12"/>
        <v>95635542</v>
      </c>
      <c r="F51" s="42">
        <f t="shared" si="9"/>
        <v>95635542</v>
      </c>
      <c r="G51" s="43">
        <f t="shared" si="10"/>
        <v>0</v>
      </c>
    </row>
    <row r="52" spans="1:8" ht="15.75">
      <c r="A52" s="6">
        <v>42856</v>
      </c>
      <c r="B52" s="23">
        <f>('[19]CNF-GUELPHHYDRO_ST-P-P_20170531'!$X$40+'[19]CNF-GUELPHHYDRO_ST-P-P_20170531'!$Y$40)*1000</f>
        <v>100040141</v>
      </c>
      <c r="C52" s="23">
        <f t="shared" si="11"/>
        <v>95635542</v>
      </c>
      <c r="D52" s="23">
        <f t="shared" si="13"/>
        <v>95635542</v>
      </c>
      <c r="E52" s="20">
        <f t="shared" si="12"/>
        <v>100040141</v>
      </c>
      <c r="F52" s="42">
        <f t="shared" si="9"/>
        <v>100040141</v>
      </c>
      <c r="G52" s="43">
        <f t="shared" si="10"/>
        <v>0</v>
      </c>
    </row>
    <row r="53" spans="1:8" ht="15.75">
      <c r="A53" s="6">
        <v>42887</v>
      </c>
      <c r="B53" s="23">
        <f>('[20]CNF-GUELPHHYDRO_ST-P-P_20170630'!$X$38+'[20]CNF-GUELPHHYDRO_ST-P-P_20170630'!$Y$38)*1000</f>
        <v>136095830</v>
      </c>
      <c r="C53" s="23">
        <f t="shared" si="11"/>
        <v>100040141</v>
      </c>
      <c r="D53" s="23">
        <f t="shared" si="13"/>
        <v>100040141</v>
      </c>
      <c r="E53" s="20">
        <f t="shared" si="12"/>
        <v>136095830</v>
      </c>
      <c r="F53" s="42">
        <f t="shared" si="9"/>
        <v>104314121</v>
      </c>
      <c r="G53" s="43">
        <f t="shared" si="10"/>
        <v>31781709</v>
      </c>
    </row>
    <row r="54" spans="1:8" ht="15.75">
      <c r="A54" s="6">
        <v>42917</v>
      </c>
      <c r="B54" s="23">
        <f>('[21]CNF-GUELPHHYDRO_ST-P-P_20170731'!$X$39+'[21]CNF-GUELPHHYDRO_ST-P-P_20170731'!$Y$39)*1000</f>
        <v>77162177.000000015</v>
      </c>
      <c r="C54" s="23">
        <f t="shared" si="11"/>
        <v>104314121</v>
      </c>
      <c r="D54" s="23">
        <f t="shared" si="13"/>
        <v>136095830</v>
      </c>
      <c r="E54" s="20">
        <f t="shared" si="12"/>
        <v>45380468</v>
      </c>
      <c r="F54" s="42">
        <f t="shared" si="9"/>
        <v>77162177.000000015</v>
      </c>
      <c r="G54" s="43">
        <f t="shared" si="10"/>
        <v>-31781709.000000015</v>
      </c>
    </row>
    <row r="55" spans="1:8" ht="15.75">
      <c r="A55" s="6">
        <v>42948</v>
      </c>
      <c r="B55" s="23">
        <f>('[22]CNF-GUELPHHYDRO_ST-P-P_20170831'!$X$38+'[22]CNF-GUELPHHYDRO_ST-P-P_20170831'!$Y$38)*1000</f>
        <v>74910754</v>
      </c>
      <c r="C55" s="23">
        <f t="shared" si="11"/>
        <v>77162177.000000015</v>
      </c>
      <c r="D55" s="23">
        <f t="shared" si="13"/>
        <v>77162177.000000015</v>
      </c>
      <c r="E55" s="20">
        <f t="shared" si="12"/>
        <v>74910753.999999985</v>
      </c>
      <c r="F55" s="42">
        <f t="shared" si="9"/>
        <v>74910753.999999985</v>
      </c>
      <c r="G55" s="43">
        <f t="shared" si="10"/>
        <v>0</v>
      </c>
    </row>
    <row r="56" spans="1:8" ht="15.75">
      <c r="A56" s="6">
        <v>42979</v>
      </c>
      <c r="B56" s="23">
        <f>('[23]CNF-GUELPHHYDRO_ST-P-P_20170930'!$X$40+'[23]CNF-GUELPHHYDRO_ST-P-P_20170930'!$Y$40)*1000</f>
        <v>74267007</v>
      </c>
      <c r="C56" s="23">
        <f t="shared" si="11"/>
        <v>74910753.999999985</v>
      </c>
      <c r="D56" s="23">
        <f t="shared" si="13"/>
        <v>74910754</v>
      </c>
      <c r="E56" s="20">
        <f t="shared" si="12"/>
        <v>74267007</v>
      </c>
      <c r="F56" s="42">
        <f t="shared" si="9"/>
        <v>74267006.99999997</v>
      </c>
      <c r="G56" s="43">
        <f t="shared" si="10"/>
        <v>0</v>
      </c>
    </row>
    <row r="57" spans="1:8" ht="15.75">
      <c r="A57" s="6">
        <v>43009</v>
      </c>
      <c r="B57" s="23">
        <f>('[24]CNF-GUELPHHYDRO_ST-P-P_20171031'!$X$40+'[24]CNF-GUELPHHYDRO_ST-P-P_20171031'!$Y$40)*1000</f>
        <v>73335241</v>
      </c>
      <c r="C57" s="23">
        <f t="shared" si="11"/>
        <v>74267006.99999997</v>
      </c>
      <c r="D57" s="23">
        <f t="shared" si="13"/>
        <v>74267007</v>
      </c>
      <c r="E57" s="20">
        <f t="shared" si="12"/>
        <v>73335240.99999997</v>
      </c>
      <c r="F57" s="42">
        <f t="shared" si="9"/>
        <v>73335241</v>
      </c>
      <c r="G57" s="43">
        <f t="shared" si="10"/>
        <v>0</v>
      </c>
    </row>
    <row r="58" spans="1:8" ht="15.75">
      <c r="A58" s="6">
        <v>43040</v>
      </c>
      <c r="B58" s="23">
        <f>('[25]CNF-GUELPHHYDRO_ST-P-P_20171130'!$X$42+'[25]CNF-GUELPHHYDRO_ST-P-P_20171130'!$Y$42)*1000</f>
        <v>75808773</v>
      </c>
      <c r="C58" s="23">
        <f t="shared" si="11"/>
        <v>73335241</v>
      </c>
      <c r="D58" s="23">
        <f t="shared" si="13"/>
        <v>73335241</v>
      </c>
      <c r="E58" s="20">
        <f t="shared" si="12"/>
        <v>75808773</v>
      </c>
      <c r="F58" s="42">
        <f t="shared" si="9"/>
        <v>75808773</v>
      </c>
      <c r="G58" s="43">
        <f t="shared" si="10"/>
        <v>0</v>
      </c>
    </row>
    <row r="59" spans="1:8" ht="15.75">
      <c r="A59" s="6">
        <v>43070</v>
      </c>
      <c r="B59" s="23">
        <f>('[26]CNF-GUELPHHYDRO_ST-P-P_20171231'!$X$42+'[26]CNF-GUELPHHYDRO_ST-P-P_20171231'!$Y$42)*1000</f>
        <v>83391771</v>
      </c>
      <c r="C59" s="23">
        <f t="shared" si="11"/>
        <v>75808773</v>
      </c>
      <c r="D59" s="23">
        <f t="shared" si="13"/>
        <v>75808773</v>
      </c>
      <c r="E59" s="20">
        <f t="shared" si="12"/>
        <v>83391771</v>
      </c>
      <c r="F59" s="42">
        <f t="shared" si="9"/>
        <v>83390473</v>
      </c>
      <c r="G59" s="43">
        <f t="shared" si="10"/>
        <v>1298</v>
      </c>
      <c r="H59" s="34" t="s">
        <v>82</v>
      </c>
    </row>
    <row r="60" spans="1:8" ht="15.75">
      <c r="A60" s="14" t="s">
        <v>6</v>
      </c>
      <c r="B60" s="21">
        <f>SUM(B48:B59)</f>
        <v>1116485822</v>
      </c>
      <c r="C60" s="21">
        <f t="shared" ref="C60:E60" si="14">SUM(C48:C59)</f>
        <v>1110857997</v>
      </c>
      <c r="D60" s="21">
        <f t="shared" si="14"/>
        <v>1142639706</v>
      </c>
      <c r="E60" s="21">
        <f t="shared" si="14"/>
        <v>1084704113</v>
      </c>
      <c r="F60" s="15">
        <f t="shared" si="9"/>
        <v>1084702815</v>
      </c>
      <c r="G60" s="21">
        <f t="shared" si="10"/>
        <v>1298</v>
      </c>
    </row>
    <row r="61" spans="1:8" ht="15.75">
      <c r="A61" s="45"/>
      <c r="B61" s="46"/>
      <c r="C61" s="46"/>
      <c r="D61" s="46"/>
      <c r="E61" s="46"/>
      <c r="F61" s="47"/>
      <c r="G61" s="46"/>
    </row>
    <row r="62" spans="1:8" ht="15.75">
      <c r="A62" s="6">
        <v>43101</v>
      </c>
      <c r="B62" s="23">
        <f>('[27]Jan 2018 CNF-GUELPHHYDRO_ST-P-P'!$X$40+'[27]Jan 2018 CNF-GUELPHHYDRO_ST-P-P'!$Y$40)*1000</f>
        <v>87155863</v>
      </c>
      <c r="C62" s="23">
        <f>E19</f>
        <v>83390473</v>
      </c>
      <c r="D62" s="23">
        <f>B59</f>
        <v>83391771</v>
      </c>
      <c r="E62" s="20">
        <f t="shared" si="12"/>
        <v>87154565</v>
      </c>
      <c r="F62" s="44">
        <f>('[28]CNF-GUELPHHYDRO_ST-P-F_20180131'!$X$62+'[28]CNF-GUELPHHYDRO_ST-P-F_20180131'!$Y$60-'[28]CNF-GUELPHHYDRO_ST-P-F_20180131'!$X$58)*1000</f>
        <v>87155863.000000015</v>
      </c>
      <c r="G62" s="43">
        <f>E62-F62</f>
        <v>-1298.0000000149012</v>
      </c>
    </row>
    <row r="64" spans="1:8">
      <c r="G64" s="36"/>
    </row>
  </sheetData>
  <mergeCells count="1">
    <mergeCell ref="F23:G23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IESO Inoivce Adjustment 2017</vt:lpstr>
    </vt:vector>
  </TitlesOfParts>
  <Company>Ontario Energy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Li</dc:creator>
  <cp:lastModifiedBy>Colleen Calhoun</cp:lastModifiedBy>
  <dcterms:created xsi:type="dcterms:W3CDTF">2018-10-30T15:06:15Z</dcterms:created>
  <dcterms:modified xsi:type="dcterms:W3CDTF">2018-11-08T13:49:05Z</dcterms:modified>
</cp:coreProperties>
</file>