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/>
  <mc:AlternateContent xmlns:mc="http://schemas.openxmlformats.org/markup-compatibility/2006">
    <mc:Choice Requires="x15">
      <x15ac:absPath xmlns:x15ac="http://schemas.microsoft.com/office/spreadsheetml/2010/11/ac" url="I:\Rate Submissions\2019\IRs\Fourth IR\IRRs November 13\"/>
    </mc:Choice>
  </mc:AlternateContent>
  <xr:revisionPtr revIDLastSave="0" documentId="10_ncr:100000_{C9CAA5B6-3B30-4C36-930A-3827E8A5660F}" xr6:coauthVersionLast="31" xr6:coauthVersionMax="31" xr10:uidLastSave="{00000000-0000-0000-0000-000000000000}"/>
  <bookViews>
    <workbookView xWindow="0" yWindow="0" windowWidth="20490" windowHeight="7545" xr2:uid="{00000000-000D-0000-FFFF-FFFF00000000}"/>
  </bookViews>
  <sheets>
    <sheet name="IESO Inoivce Adjustment 2017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1" l="1"/>
  <c r="M10" i="1"/>
  <c r="M11" i="1"/>
  <c r="M12" i="1"/>
  <c r="M13" i="1"/>
  <c r="M14" i="1"/>
  <c r="M15" i="1"/>
  <c r="M16" i="1"/>
  <c r="M17" i="1"/>
  <c r="M18" i="1"/>
  <c r="M19" i="1"/>
  <c r="M20" i="1"/>
  <c r="M8" i="1"/>
  <c r="N8" i="1" l="1"/>
  <c r="L8" i="1"/>
  <c r="I8" i="1"/>
  <c r="K8" i="1" l="1"/>
  <c r="K9" i="1"/>
  <c r="K10" i="1"/>
  <c r="K11" i="1"/>
  <c r="K12" i="1"/>
  <c r="K13" i="1"/>
  <c r="K14" i="1"/>
  <c r="K15" i="1"/>
  <c r="K16" i="1"/>
  <c r="K17" i="1"/>
  <c r="K18" i="1"/>
  <c r="K19" i="1"/>
  <c r="F20" i="1"/>
  <c r="K21" i="1" l="1"/>
  <c r="B31" i="1" l="1"/>
  <c r="D32" i="1" s="1"/>
  <c r="B32" i="1"/>
  <c r="D33" i="1" s="1"/>
  <c r="B33" i="1"/>
  <c r="D34" i="1" s="1"/>
  <c r="B34" i="1"/>
  <c r="D35" i="1" s="1"/>
  <c r="B35" i="1"/>
  <c r="D36" i="1" s="1"/>
  <c r="B36" i="1"/>
  <c r="D37" i="1" s="1"/>
  <c r="B37" i="1"/>
  <c r="D38" i="1" s="1"/>
  <c r="B38" i="1"/>
  <c r="D39" i="1" s="1"/>
  <c r="B39" i="1"/>
  <c r="D40" i="1" s="1"/>
  <c r="B40" i="1"/>
  <c r="D41" i="1" s="1"/>
  <c r="B41" i="1"/>
  <c r="D42" i="1" s="1"/>
  <c r="C32" i="1"/>
  <c r="C38" i="1"/>
  <c r="C37" i="1"/>
  <c r="C31" i="1"/>
  <c r="D31" i="1"/>
  <c r="C33" i="1"/>
  <c r="C34" i="1"/>
  <c r="C35" i="1"/>
  <c r="C36" i="1"/>
  <c r="C39" i="1"/>
  <c r="C40" i="1"/>
  <c r="C41" i="1"/>
  <c r="B42" i="1"/>
  <c r="C42" i="1"/>
  <c r="F43" i="1"/>
  <c r="B19" i="1"/>
  <c r="C13" i="1"/>
  <c r="D13" i="1"/>
  <c r="F63" i="1"/>
  <c r="B63" i="1"/>
  <c r="C19" i="1"/>
  <c r="D19" i="1"/>
  <c r="B60" i="1"/>
  <c r="D63" i="1" s="1"/>
  <c r="B16" i="1"/>
  <c r="C16" i="1"/>
  <c r="D16" i="1"/>
  <c r="B17" i="1"/>
  <c r="C17" i="1"/>
  <c r="D17" i="1"/>
  <c r="B18" i="1"/>
  <c r="C18" i="1"/>
  <c r="D18" i="1"/>
  <c r="B8" i="1"/>
  <c r="C8" i="1"/>
  <c r="D8" i="1"/>
  <c r="B9" i="1"/>
  <c r="C9" i="1"/>
  <c r="D9" i="1"/>
  <c r="B10" i="1"/>
  <c r="C10" i="1"/>
  <c r="D10" i="1"/>
  <c r="B11" i="1"/>
  <c r="C11" i="1"/>
  <c r="D11" i="1"/>
  <c r="B12" i="1"/>
  <c r="C12" i="1"/>
  <c r="D12" i="1"/>
  <c r="B13" i="1"/>
  <c r="B14" i="1"/>
  <c r="C14" i="1"/>
  <c r="D14" i="1"/>
  <c r="B15" i="1"/>
  <c r="C15" i="1"/>
  <c r="D15" i="1"/>
  <c r="B59" i="1"/>
  <c r="D60" i="1" s="1"/>
  <c r="B58" i="1"/>
  <c r="D59" i="1" s="1"/>
  <c r="B57" i="1"/>
  <c r="D58" i="1" s="1"/>
  <c r="B56" i="1"/>
  <c r="D57" i="1" s="1"/>
  <c r="B55" i="1"/>
  <c r="D56" i="1" s="1"/>
  <c r="B54" i="1"/>
  <c r="D55" i="1" s="1"/>
  <c r="B53" i="1"/>
  <c r="D54" i="1" s="1"/>
  <c r="B52" i="1"/>
  <c r="D53" i="1" s="1"/>
  <c r="B51" i="1"/>
  <c r="D52" i="1" s="1"/>
  <c r="B50" i="1"/>
  <c r="D51" i="1" s="1"/>
  <c r="B49" i="1"/>
  <c r="D50" i="1" s="1"/>
  <c r="D49" i="1"/>
  <c r="C49" i="1"/>
  <c r="H21" i="1"/>
  <c r="E37" i="1" l="1"/>
  <c r="G37" i="1" s="1"/>
  <c r="B21" i="1"/>
  <c r="E38" i="1"/>
  <c r="G38" i="1" s="1"/>
  <c r="E14" i="1"/>
  <c r="E8" i="1"/>
  <c r="E17" i="1"/>
  <c r="C21" i="1"/>
  <c r="E13" i="1"/>
  <c r="E9" i="1"/>
  <c r="E31" i="1"/>
  <c r="E42" i="1"/>
  <c r="G42" i="1" s="1"/>
  <c r="E19" i="1"/>
  <c r="B43" i="1"/>
  <c r="E10" i="1"/>
  <c r="D21" i="1"/>
  <c r="E16" i="1"/>
  <c r="E39" i="1"/>
  <c r="G39" i="1" s="1"/>
  <c r="E33" i="1"/>
  <c r="G33" i="1" s="1"/>
  <c r="E36" i="1"/>
  <c r="G36" i="1" s="1"/>
  <c r="E34" i="1"/>
  <c r="G34" i="1" s="1"/>
  <c r="E12" i="1"/>
  <c r="E11" i="1"/>
  <c r="E18" i="1"/>
  <c r="D61" i="1"/>
  <c r="E15" i="1"/>
  <c r="E41" i="1"/>
  <c r="G41" i="1" s="1"/>
  <c r="E35" i="1"/>
  <c r="G35" i="1" s="1"/>
  <c r="E40" i="1"/>
  <c r="G40" i="1" s="1"/>
  <c r="F56" i="1"/>
  <c r="F55" i="1"/>
  <c r="F59" i="1"/>
  <c r="E32" i="1"/>
  <c r="G32" i="1" s="1"/>
  <c r="D43" i="1"/>
  <c r="B61" i="1"/>
  <c r="N43" i="1"/>
  <c r="E49" i="1"/>
  <c r="F58" i="1"/>
  <c r="C59" i="1"/>
  <c r="E59" i="1" s="1"/>
  <c r="C43" i="1"/>
  <c r="G15" i="1" l="1"/>
  <c r="I15" i="1" s="1"/>
  <c r="J15" i="1" s="1"/>
  <c r="L15" i="1"/>
  <c r="N15" i="1" s="1"/>
  <c r="C54" i="1"/>
  <c r="E54" i="1" s="1"/>
  <c r="L12" i="1"/>
  <c r="N12" i="1" s="1"/>
  <c r="C51" i="1"/>
  <c r="E51" i="1" s="1"/>
  <c r="G51" i="1" s="1"/>
  <c r="L9" i="1"/>
  <c r="C50" i="1"/>
  <c r="F53" i="1"/>
  <c r="G9" i="1"/>
  <c r="I9" i="1" s="1"/>
  <c r="J9" i="1" s="1"/>
  <c r="C58" i="1"/>
  <c r="E58" i="1" s="1"/>
  <c r="G58" i="1" s="1"/>
  <c r="L16" i="1"/>
  <c r="N16" i="1" s="1"/>
  <c r="F60" i="1"/>
  <c r="L19" i="1"/>
  <c r="L20" i="1" s="1"/>
  <c r="G13" i="1"/>
  <c r="I13" i="1" s="1"/>
  <c r="J13" i="1" s="1"/>
  <c r="L13" i="1"/>
  <c r="N13" i="1" s="1"/>
  <c r="G14" i="1"/>
  <c r="I14" i="1" s="1"/>
  <c r="J14" i="1" s="1"/>
  <c r="L14" i="1"/>
  <c r="N14" i="1" s="1"/>
  <c r="G12" i="1"/>
  <c r="I12" i="1" s="1"/>
  <c r="J12" i="1" s="1"/>
  <c r="F54" i="1"/>
  <c r="G54" i="1" s="1"/>
  <c r="G18" i="1"/>
  <c r="I18" i="1" s="1"/>
  <c r="J18" i="1" s="1"/>
  <c r="L18" i="1"/>
  <c r="N18" i="1" s="1"/>
  <c r="C56" i="1"/>
  <c r="E56" i="1" s="1"/>
  <c r="G56" i="1" s="1"/>
  <c r="F49" i="1"/>
  <c r="C53" i="1"/>
  <c r="E53" i="1" s="1"/>
  <c r="G53" i="1" s="1"/>
  <c r="L11" i="1"/>
  <c r="G10" i="1"/>
  <c r="I10" i="1" s="1"/>
  <c r="J10" i="1" s="1"/>
  <c r="L10" i="1"/>
  <c r="N10" i="1" s="1"/>
  <c r="G17" i="1"/>
  <c r="I17" i="1" s="1"/>
  <c r="J17" i="1" s="1"/>
  <c r="L17" i="1"/>
  <c r="N17" i="1" s="1"/>
  <c r="G8" i="1"/>
  <c r="F50" i="1"/>
  <c r="C55" i="1"/>
  <c r="E55" i="1" s="1"/>
  <c r="G55" i="1" s="1"/>
  <c r="G19" i="1"/>
  <c r="I19" i="1" s="1"/>
  <c r="J19" i="1" s="1"/>
  <c r="C60" i="1"/>
  <c r="E60" i="1" s="1"/>
  <c r="G60" i="1" s="1"/>
  <c r="C63" i="1"/>
  <c r="E63" i="1" s="1"/>
  <c r="G63" i="1" s="1"/>
  <c r="E20" i="1" s="1"/>
  <c r="F51" i="1"/>
  <c r="G11" i="1"/>
  <c r="I11" i="1" s="1"/>
  <c r="J11" i="1" s="1"/>
  <c r="E43" i="1"/>
  <c r="F52" i="1"/>
  <c r="C52" i="1"/>
  <c r="E52" i="1" s="1"/>
  <c r="G52" i="1" s="1"/>
  <c r="G31" i="1"/>
  <c r="G43" i="1" s="1"/>
  <c r="F57" i="1"/>
  <c r="G59" i="1"/>
  <c r="G16" i="1"/>
  <c r="I16" i="1" s="1"/>
  <c r="J16" i="1" s="1"/>
  <c r="C57" i="1"/>
  <c r="E57" i="1" s="1"/>
  <c r="E50" i="1"/>
  <c r="G50" i="1" s="1"/>
  <c r="G49" i="1"/>
  <c r="I20" i="1" l="1"/>
  <c r="E21" i="1"/>
  <c r="F61" i="1" s="1"/>
  <c r="N11" i="1"/>
  <c r="N19" i="1"/>
  <c r="N9" i="1"/>
  <c r="G57" i="1"/>
  <c r="C61" i="1"/>
  <c r="G21" i="1"/>
  <c r="E61" i="1"/>
  <c r="J8" i="1"/>
  <c r="G61" i="1" l="1"/>
  <c r="I21" i="1"/>
  <c r="J20" i="1"/>
  <c r="N20" i="1"/>
  <c r="N21" i="1" s="1"/>
  <c r="H26" i="1" s="1"/>
  <c r="H24" i="1" l="1"/>
  <c r="J21" i="1"/>
  <c r="M21" i="1"/>
  <c r="H2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Tina Li</author>
    <author>Colleen Calhoun</author>
  </authors>
  <commentList>
    <comment ref="B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Tina Li:</t>
        </r>
        <r>
          <rPr>
            <sz val="9"/>
            <color indexed="81"/>
            <rFont val="Tahoma"/>
            <family val="2"/>
          </rPr>
          <t xml:space="preserve">
final AQEW from STPF for energy</t>
        </r>
      </text>
    </comment>
    <comment ref="E5" authorId="1" shapeId="0" xr:uid="{A7D67DDA-3D57-4A61-882D-5910DB5492C2}">
      <text>
        <r>
          <rPr>
            <sz val="9"/>
            <color indexed="81"/>
            <rFont val="Tahoma"/>
            <family val="2"/>
          </rPr>
          <t xml:space="preserve">
Pertains to Class B customers and Embedded Generation.</t>
        </r>
      </text>
    </comment>
    <comment ref="I7" authorId="1" shapeId="0" xr:uid="{09FFDFF2-685B-428E-B733-D37BD2ED5894}">
      <text>
        <r>
          <rPr>
            <sz val="9"/>
            <color indexed="81"/>
            <rFont val="Tahoma"/>
            <family val="2"/>
          </rPr>
          <t xml:space="preserve">
Changed formula to reflect actual Debit or Credit difference.
</t>
        </r>
      </text>
    </comment>
    <comment ref="B29" authorId="1" shapeId="0" xr:uid="{E792E9A2-241F-4A4F-AB65-6230A9D5CC26}">
      <text>
        <r>
          <rPr>
            <b/>
            <sz val="9"/>
            <color indexed="81"/>
            <rFont val="Tahoma"/>
            <family val="2"/>
          </rPr>
          <t>Colleen Calhoun:</t>
        </r>
        <r>
          <rPr>
            <sz val="9"/>
            <color indexed="81"/>
            <rFont val="Tahoma"/>
            <family val="2"/>
          </rPr>
          <t xml:space="preserve">
Includes both DP and MP records.</t>
        </r>
      </text>
    </comment>
    <comment ref="C29" authorId="1" shapeId="0" xr:uid="{50EF6C34-F4D0-41F7-8DE2-538668E9F996}">
      <text>
        <r>
          <rPr>
            <b/>
            <sz val="9"/>
            <color indexed="81"/>
            <rFont val="Tahoma"/>
            <family val="2"/>
          </rPr>
          <t>Colleen Calhoun:</t>
        </r>
        <r>
          <rPr>
            <sz val="9"/>
            <color indexed="81"/>
            <rFont val="Tahoma"/>
            <family val="2"/>
          </rPr>
          <t xml:space="preserve">
Includes both DP and MP records.</t>
        </r>
      </text>
    </comment>
    <comment ref="D29" authorId="1" shapeId="0" xr:uid="{5FA78E3F-3A50-444B-ABD5-967230F6C7C7}">
      <text>
        <r>
          <rPr>
            <b/>
            <sz val="9"/>
            <color indexed="81"/>
            <rFont val="Tahoma"/>
            <family val="2"/>
          </rPr>
          <t>Colleen Calhoun:</t>
        </r>
        <r>
          <rPr>
            <sz val="9"/>
            <color indexed="81"/>
            <rFont val="Tahoma"/>
            <family val="2"/>
          </rPr>
          <t xml:space="preserve">
Includes both DP and MP records.</t>
        </r>
      </text>
    </comment>
    <comment ref="B47" authorId="1" shapeId="0" xr:uid="{5A04F04C-D23A-45D0-98F6-BB6F41C4ED3F}">
      <text>
        <r>
          <rPr>
            <b/>
            <sz val="9"/>
            <color indexed="81"/>
            <rFont val="Tahoma"/>
            <family val="2"/>
          </rPr>
          <t>Colleen Calhoun:</t>
        </r>
        <r>
          <rPr>
            <sz val="9"/>
            <color indexed="81"/>
            <rFont val="Tahoma"/>
            <family val="2"/>
          </rPr>
          <t xml:space="preserve">
Includes Embedded Generation</t>
        </r>
      </text>
    </comment>
    <comment ref="C47" authorId="1" shapeId="0" xr:uid="{5639255F-E813-49ED-881F-6899CC5AD136}">
      <text>
        <r>
          <rPr>
            <b/>
            <sz val="9"/>
            <color indexed="81"/>
            <rFont val="Tahoma"/>
            <family val="2"/>
          </rPr>
          <t>Colleen Calhoun:</t>
        </r>
        <r>
          <rPr>
            <sz val="9"/>
            <color indexed="81"/>
            <rFont val="Tahoma"/>
            <family val="2"/>
          </rPr>
          <t xml:space="preserve">
Includes Embedded Generation</t>
        </r>
      </text>
    </comment>
    <comment ref="D47" authorId="1" shapeId="0" xr:uid="{2BA2926C-9475-45BA-A831-07B7BF742D39}">
      <text>
        <r>
          <rPr>
            <b/>
            <sz val="9"/>
            <color indexed="81"/>
            <rFont val="Tahoma"/>
            <family val="2"/>
          </rPr>
          <t>Colleen Calhoun:</t>
        </r>
        <r>
          <rPr>
            <sz val="9"/>
            <color indexed="81"/>
            <rFont val="Tahoma"/>
            <family val="2"/>
          </rPr>
          <t xml:space="preserve">
Includes Embedded Generation</t>
        </r>
      </text>
    </comment>
  </commentList>
</comments>
</file>

<file path=xl/sharedStrings.xml><?xml version="1.0" encoding="utf-8"?>
<sst xmlns="http://schemas.openxmlformats.org/spreadsheetml/2006/main" count="119" uniqueCount="97">
  <si>
    <t>EG</t>
  </si>
  <si>
    <t>Class A</t>
  </si>
  <si>
    <t>IESO Actual GA Rate on website</t>
  </si>
  <si>
    <t>B</t>
  </si>
  <si>
    <t>Month</t>
  </si>
  <si>
    <t>1. Expected CT148 Calculated vs. per IESO Invoices</t>
  </si>
  <si>
    <t>Total</t>
  </si>
  <si>
    <t>Guelph Hydro 2019 IRM Application EB-2018-0036</t>
  </si>
  <si>
    <t>IESO Invoice Adjustment Analysis</t>
  </si>
  <si>
    <t>A</t>
  </si>
  <si>
    <t>C</t>
  </si>
  <si>
    <t>D=A+B-C</t>
  </si>
  <si>
    <t>kWh</t>
  </si>
  <si>
    <t>$/kWh</t>
  </si>
  <si>
    <t>$</t>
  </si>
  <si>
    <t>E</t>
  </si>
  <si>
    <t>F=D X E</t>
  </si>
  <si>
    <t>G</t>
  </si>
  <si>
    <t>Difference</t>
  </si>
  <si>
    <t>Note: the STPP, STPF and IESO Invoices include the entire month data as at month end</t>
  </si>
  <si>
    <t>IESO Monthly invoice = Current month STPP + Last Month STPF - Last Month STPP</t>
  </si>
  <si>
    <t>Current Month STPP CT148 $</t>
  </si>
  <si>
    <t>Last Month STPP CT148 $</t>
  </si>
  <si>
    <t>IESO Invoice CT148 $</t>
  </si>
  <si>
    <t>F = D-E</t>
  </si>
  <si>
    <t>Net for the month</t>
  </si>
  <si>
    <t>Jan STPP</t>
  </si>
  <si>
    <t>Feb STPP</t>
  </si>
  <si>
    <t>May STPP</t>
  </si>
  <si>
    <t>Jan STPF</t>
  </si>
  <si>
    <t>(Jan STPP)</t>
  </si>
  <si>
    <t>March STPP</t>
  </si>
  <si>
    <t>March STPF</t>
  </si>
  <si>
    <t>Feb STPF</t>
  </si>
  <si>
    <t>(Feb STPP)</t>
  </si>
  <si>
    <t>April STPP</t>
  </si>
  <si>
    <t>(March STPP)</t>
  </si>
  <si>
    <t>April STPF</t>
  </si>
  <si>
    <t>(April STPP)</t>
  </si>
  <si>
    <t>June STPP</t>
  </si>
  <si>
    <t>May STPF</t>
  </si>
  <si>
    <t>(May STPP)</t>
  </si>
  <si>
    <t>July STPP</t>
  </si>
  <si>
    <t>June STPF</t>
  </si>
  <si>
    <t>(June STPP)</t>
  </si>
  <si>
    <t>August STPP</t>
  </si>
  <si>
    <t>July STPF</t>
  </si>
  <si>
    <t>(July STPP)</t>
  </si>
  <si>
    <t>Sept STPP</t>
  </si>
  <si>
    <t>August STPF</t>
  </si>
  <si>
    <t>(August STPP)</t>
  </si>
  <si>
    <t>Oct STPP</t>
  </si>
  <si>
    <t>Sept STPF</t>
  </si>
  <si>
    <t>(Sept STPP)</t>
  </si>
  <si>
    <t>Nov STPP</t>
  </si>
  <si>
    <t>Oct STPF</t>
  </si>
  <si>
    <t>(Oct STPP)</t>
  </si>
  <si>
    <t>Nov STPF</t>
  </si>
  <si>
    <t>(Nov STPP)</t>
  </si>
  <si>
    <t>cancel out each other</t>
  </si>
  <si>
    <t>Dec 2016 STPF</t>
  </si>
  <si>
    <t>(Dec 2016 STPP)</t>
  </si>
  <si>
    <t>Dec 2017 STPP</t>
  </si>
  <si>
    <t>Total IESO 2017 Invoices = Jan to Nov STPFs +Dec 2017 STPP+ Dec 2016 STPF - Dec 2016 STPP</t>
  </si>
  <si>
    <t>GA 1st Estimate</t>
  </si>
  <si>
    <t>GA 2nd Estimate</t>
  </si>
  <si>
    <t>GA Actual Rate</t>
  </si>
  <si>
    <t>2. STPP, STPF and IESO Monthly Invoice $ Reconciliation for CT148</t>
  </si>
  <si>
    <t xml:space="preserve">AQEW  </t>
  </si>
  <si>
    <t>3. STPP, STPF and Loads pertaining to Class B kWh Reconciliation</t>
  </si>
  <si>
    <t>Current Month STPP CT148 kWh</t>
  </si>
  <si>
    <t>Last Month STPP CT148 kWh</t>
  </si>
  <si>
    <t>Net for the month (kWh)</t>
  </si>
  <si>
    <t>Loads pertaining to Class B (Calculated in Table 1)</t>
  </si>
  <si>
    <t>F=D-E</t>
  </si>
  <si>
    <t>Loads pertaining to Class B (CT148)</t>
  </si>
  <si>
    <t>Expected GA Charges Class B CT148 $  (Calculated)</t>
  </si>
  <si>
    <t>CT 148 $ per IESO Invoice</t>
  </si>
  <si>
    <t>Difference (kWh)</t>
  </si>
  <si>
    <t>Last Month STPF CT148 $</t>
  </si>
  <si>
    <t>Last Month STPF CT148 kWh</t>
  </si>
  <si>
    <t>H = G - F</t>
  </si>
  <si>
    <t>Source for Cell B57 is the "F" record row in Dec 2017 STPF file (row 57).</t>
  </si>
  <si>
    <t>Estimated RPP Proportion</t>
  </si>
  <si>
    <t>Estimated non-RPP Proportion</t>
  </si>
  <si>
    <t>Guelph Hydro's proposal to allocate the IESO adjustments between RPP and non-RPP</t>
  </si>
  <si>
    <t>Table 4 - Guelph Hydro's Proposal</t>
  </si>
  <si>
    <t>I</t>
  </si>
  <si>
    <t>Adjustments pertaining to RPP</t>
  </si>
  <si>
    <t>Adjustments pertaining to non-RPP Class B</t>
  </si>
  <si>
    <t>%</t>
  </si>
  <si>
    <t>J = I / D</t>
  </si>
  <si>
    <t>L = H - K</t>
  </si>
  <si>
    <t>RPP (Including Loss Factor) Billed Consumption adjusted for Unbilled</t>
  </si>
  <si>
    <t>December true-up</t>
  </si>
  <si>
    <t>Payment to IESO; included in Continuity Schedule cell BF29</t>
  </si>
  <si>
    <t>K = H x 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</si>
</sst>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&quot;$&quot;#,##0.00;[Red]\-&quot;$&quot;#,##0.00"/>
    <numFmt numFmtId="166" formatCode="0.000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8" tint="-0.249977111117893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1"/>
      <color rgb="FF333333"/>
      <name val="Whitney SSm A"/>
    </font>
    <font>
      <sz val="11"/>
      <color theme="8" tint="-0.249977111117893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2"/>
      <color theme="8" tint="-0.249977111117893"/>
      <name val="Arial"/>
      <family val="2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164" fontId="4" fillId="0" borderId="1" xfId="2" applyFont="1" applyBorder="1"/>
    <xf numFmtId="0" fontId="3" fillId="0" borderId="1" xfId="0" applyFont="1" applyBorder="1" applyAlignment="1">
      <alignment horizontal="center" wrapText="1"/>
    </xf>
    <xf numFmtId="165" fontId="7" fillId="3" borderId="1" xfId="0" applyNumberFormat="1" applyFont="1" applyFill="1" applyBorder="1"/>
    <xf numFmtId="0" fontId="3" fillId="4" borderId="1" xfId="0" applyFont="1" applyFill="1" applyBorder="1" applyAlignment="1">
      <alignment horizontal="center" vertical="center" wrapText="1"/>
    </xf>
    <xf numFmtId="17" fontId="7" fillId="3" borderId="1" xfId="0" applyNumberFormat="1" applyFont="1" applyFill="1" applyBorder="1"/>
    <xf numFmtId="0" fontId="3" fillId="0" borderId="1" xfId="0" applyFont="1" applyBorder="1" applyAlignment="1">
      <alignment horizontal="center" vertical="center"/>
    </xf>
    <xf numFmtId="0" fontId="8" fillId="0" borderId="0" xfId="0" applyFont="1"/>
    <xf numFmtId="0" fontId="3" fillId="0" borderId="0" xfId="0" applyFont="1"/>
    <xf numFmtId="0" fontId="3" fillId="0" borderId="1" xfId="0" applyFont="1" applyFill="1" applyBorder="1" applyAlignment="1">
      <alignment horizontal="center" vertical="center" wrapText="1"/>
    </xf>
    <xf numFmtId="44" fontId="7" fillId="0" borderId="1" xfId="0" applyNumberFormat="1" applyFont="1" applyBorder="1"/>
    <xf numFmtId="0" fontId="3" fillId="0" borderId="1" xfId="0" quotePrefix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7" fontId="3" fillId="3" borderId="1" xfId="0" applyNumberFormat="1" applyFont="1" applyFill="1" applyBorder="1"/>
    <xf numFmtId="164" fontId="3" fillId="0" borderId="1" xfId="0" applyNumberFormat="1" applyFont="1" applyBorder="1"/>
    <xf numFmtId="0" fontId="9" fillId="0" borderId="0" xfId="0" applyFo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0" fillId="0" borderId="1" xfId="0" applyBorder="1"/>
    <xf numFmtId="43" fontId="7" fillId="0" borderId="1" xfId="1" applyFont="1" applyBorder="1"/>
    <xf numFmtId="43" fontId="3" fillId="0" borderId="1" xfId="0" applyNumberFormat="1" applyFont="1" applyBorder="1"/>
    <xf numFmtId="0" fontId="2" fillId="0" borderId="0" xfId="0" applyFont="1"/>
    <xf numFmtId="43" fontId="7" fillId="5" borderId="1" xfId="1" applyFont="1" applyFill="1" applyBorder="1"/>
    <xf numFmtId="0" fontId="0" fillId="2" borderId="0" xfId="0" applyFill="1"/>
    <xf numFmtId="0" fontId="0" fillId="0" borderId="2" xfId="0" applyBorder="1"/>
    <xf numFmtId="0" fontId="0" fillId="2" borderId="2" xfId="0" applyFill="1" applyBorder="1"/>
    <xf numFmtId="0" fontId="0" fillId="0" borderId="0" xfId="0" applyAlignment="1">
      <alignment wrapText="1"/>
    </xf>
    <xf numFmtId="0" fontId="10" fillId="6" borderId="0" xfId="0" applyFont="1" applyFill="1" applyAlignment="1">
      <alignment vertical="top" wrapText="1" indent="1"/>
    </xf>
    <xf numFmtId="164" fontId="4" fillId="5" borderId="1" xfId="2" applyFont="1" applyFill="1" applyBorder="1"/>
    <xf numFmtId="166" fontId="7" fillId="5" borderId="1" xfId="0" applyNumberFormat="1" applyFont="1" applyFill="1" applyBorder="1"/>
    <xf numFmtId="165" fontId="7" fillId="5" borderId="1" xfId="0" applyNumberFormat="1" applyFont="1" applyFill="1" applyBorder="1"/>
    <xf numFmtId="0" fontId="0" fillId="7" borderId="0" xfId="0" applyFill="1"/>
    <xf numFmtId="0" fontId="3" fillId="0" borderId="1" xfId="0" applyFont="1" applyFill="1" applyBorder="1" applyAlignment="1">
      <alignment horizontal="center" wrapText="1"/>
    </xf>
    <xf numFmtId="0" fontId="11" fillId="0" borderId="0" xfId="0" applyFont="1"/>
    <xf numFmtId="0" fontId="12" fillId="0" borderId="0" xfId="0" applyFont="1"/>
    <xf numFmtId="43" fontId="0" fillId="0" borderId="0" xfId="0" applyNumberFormat="1"/>
    <xf numFmtId="43" fontId="12" fillId="0" borderId="0" xfId="0" applyNumberFormat="1" applyFont="1"/>
    <xf numFmtId="44" fontId="7" fillId="5" borderId="1" xfId="1" applyNumberFormat="1" applyFont="1" applyFill="1" applyBorder="1"/>
    <xf numFmtId="44" fontId="7" fillId="0" borderId="1" xfId="1" applyNumberFormat="1" applyFont="1" applyBorder="1"/>
    <xf numFmtId="44" fontId="3" fillId="0" borderId="1" xfId="0" applyNumberFormat="1" applyFont="1" applyBorder="1"/>
    <xf numFmtId="44" fontId="3" fillId="0" borderId="1" xfId="1" applyNumberFormat="1" applyFont="1" applyBorder="1"/>
    <xf numFmtId="164" fontId="7" fillId="0" borderId="1" xfId="0" applyNumberFormat="1" applyFont="1" applyBorder="1"/>
    <xf numFmtId="43" fontId="7" fillId="0" borderId="1" xfId="0" applyNumberFormat="1" applyFont="1" applyBorder="1"/>
    <xf numFmtId="164" fontId="7" fillId="0" borderId="1" xfId="0" applyNumberFormat="1" applyFont="1" applyFill="1" applyBorder="1"/>
    <xf numFmtId="17" fontId="3" fillId="3" borderId="0" xfId="0" applyNumberFormat="1" applyFont="1" applyFill="1" applyBorder="1"/>
    <xf numFmtId="43" fontId="3" fillId="0" borderId="0" xfId="0" applyNumberFormat="1" applyFont="1" applyBorder="1"/>
    <xf numFmtId="164" fontId="3" fillId="0" borderId="0" xfId="0" applyNumberFormat="1" applyFont="1" applyBorder="1"/>
    <xf numFmtId="44" fontId="11" fillId="0" borderId="0" xfId="0" applyNumberFormat="1" applyFont="1"/>
    <xf numFmtId="0" fontId="1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wrapText="1"/>
    </xf>
    <xf numFmtId="44" fontId="11" fillId="0" borderId="0" xfId="3" applyFont="1" applyFill="1" applyBorder="1"/>
    <xf numFmtId="0" fontId="0" fillId="0" borderId="0" xfId="0" applyFill="1" applyBorder="1"/>
    <xf numFmtId="43" fontId="12" fillId="0" borderId="0" xfId="0" applyNumberFormat="1" applyFont="1" applyFill="1" applyBorder="1"/>
    <xf numFmtId="0" fontId="2" fillId="0" borderId="0" xfId="0" applyFont="1" applyFill="1" applyBorder="1"/>
    <xf numFmtId="0" fontId="12" fillId="0" borderId="0" xfId="0" applyFont="1" applyFill="1" applyBorder="1"/>
    <xf numFmtId="44" fontId="11" fillId="0" borderId="0" xfId="0" applyNumberFormat="1" applyFont="1" applyFill="1" applyBorder="1"/>
    <xf numFmtId="164" fontId="3" fillId="0" borderId="3" xfId="0" applyNumberFormat="1" applyFont="1" applyBorder="1"/>
    <xf numFmtId="8" fontId="3" fillId="0" borderId="3" xfId="0" applyNumberFormat="1" applyFont="1" applyBorder="1"/>
    <xf numFmtId="0" fontId="2" fillId="0" borderId="4" xfId="0" applyFont="1" applyBorder="1"/>
    <xf numFmtId="0" fontId="2" fillId="0" borderId="6" xfId="0" applyFont="1" applyBorder="1"/>
    <xf numFmtId="0" fontId="2" fillId="0" borderId="5" xfId="0" applyFont="1" applyBorder="1"/>
    <xf numFmtId="0" fontId="2" fillId="0" borderId="7" xfId="0" applyFont="1" applyBorder="1"/>
    <xf numFmtId="17" fontId="3" fillId="0" borderId="0" xfId="0" applyNumberFormat="1" applyFont="1" applyFill="1" applyBorder="1"/>
    <xf numFmtId="164" fontId="3" fillId="0" borderId="0" xfId="0" applyNumberFormat="1" applyFont="1" applyFill="1" applyBorder="1"/>
    <xf numFmtId="8" fontId="3" fillId="0" borderId="0" xfId="0" applyNumberFormat="1" applyFont="1" applyFill="1" applyBorder="1"/>
    <xf numFmtId="0" fontId="0" fillId="0" borderId="0" xfId="0" applyFill="1"/>
    <xf numFmtId="0" fontId="2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wrapText="1"/>
    </xf>
    <xf numFmtId="3" fontId="7" fillId="0" borderId="1" xfId="0" applyNumberFormat="1" applyFont="1" applyBorder="1"/>
    <xf numFmtId="10" fontId="7" fillId="0" borderId="1" xfId="0" applyNumberFormat="1" applyFont="1" applyBorder="1"/>
    <xf numFmtId="166" fontId="7" fillId="5" borderId="3" xfId="0" applyNumberFormat="1" applyFont="1" applyFill="1" applyBorder="1"/>
    <xf numFmtId="165" fontId="7" fillId="3" borderId="3" xfId="0" applyNumberFormat="1" applyFont="1" applyFill="1" applyBorder="1"/>
    <xf numFmtId="165" fontId="7" fillId="5" borderId="3" xfId="0" applyNumberFormat="1" applyFont="1" applyFill="1" applyBorder="1"/>
    <xf numFmtId="44" fontId="7" fillId="0" borderId="3" xfId="0" applyNumberFormat="1" applyFont="1" applyBorder="1"/>
    <xf numFmtId="10" fontId="7" fillId="0" borderId="3" xfId="0" applyNumberFormat="1" applyFont="1" applyBorder="1"/>
    <xf numFmtId="17" fontId="7" fillId="3" borderId="0" xfId="0" applyNumberFormat="1" applyFont="1" applyFill="1" applyBorder="1"/>
    <xf numFmtId="0" fontId="0" fillId="0" borderId="0" xfId="0" applyBorder="1"/>
    <xf numFmtId="8" fontId="3" fillId="0" borderId="10" xfId="0" applyNumberFormat="1" applyFont="1" applyBorder="1"/>
    <xf numFmtId="8" fontId="3" fillId="0" borderId="11" xfId="0" applyNumberFormat="1" applyFont="1" applyBorder="1"/>
    <xf numFmtId="8" fontId="3" fillId="0" borderId="1" xfId="0" applyNumberFormat="1" applyFont="1" applyBorder="1"/>
    <xf numFmtId="8" fontId="3" fillId="2" borderId="1" xfId="0" applyNumberFormat="1" applyFont="1" applyFill="1" applyBorder="1"/>
    <xf numFmtId="0" fontId="2" fillId="8" borderId="8" xfId="0" applyFont="1" applyFill="1" applyBorder="1" applyAlignment="1">
      <alignment wrapText="1"/>
    </xf>
    <xf numFmtId="0" fontId="0" fillId="8" borderId="9" xfId="0" applyFill="1" applyBorder="1" applyAlignment="1">
      <alignment wrapText="1"/>
    </xf>
  </cellXfs>
  <cellStyles count="4">
    <cellStyle name="Comma" xfId="1" builtinId="3"/>
    <cellStyle name="Comma 3" xfId="2" xr:uid="{00000000-0005-0000-0000-000001000000}"/>
    <cellStyle name="Currency" xfId="3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4763</xdr:colOff>
      <xdr:row>22</xdr:row>
      <xdr:rowOff>14287</xdr:rowOff>
    </xdr:from>
    <xdr:to>
      <xdr:col>14</xdr:col>
      <xdr:colOff>457200</xdr:colOff>
      <xdr:row>28</xdr:row>
      <xdr:rowOff>23813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3958888" y="5338762"/>
          <a:ext cx="3033712" cy="121920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Total Difference $ represent the IESO</a:t>
          </a:r>
          <a:r>
            <a:rPr lang="en-US" sz="1100" baseline="0"/>
            <a:t> Invoice adjustments in addition to the expected GA charges based on the actual GA rates</a:t>
          </a:r>
          <a:endParaRPr lang="en-US" sz="1100"/>
        </a:p>
      </xdr:txBody>
    </xdr:sp>
    <xdr:clientData/>
  </xdr:twoCellAnchor>
  <xdr:twoCellAnchor>
    <xdr:from>
      <xdr:col>8</xdr:col>
      <xdr:colOff>685802</xdr:colOff>
      <xdr:row>21</xdr:row>
      <xdr:rowOff>57151</xdr:rowOff>
    </xdr:from>
    <xdr:to>
      <xdr:col>12</xdr:col>
      <xdr:colOff>38100</xdr:colOff>
      <xdr:row>23</xdr:row>
      <xdr:rowOff>200025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H="1" flipV="1">
          <a:off x="10887077" y="5181601"/>
          <a:ext cx="3105148" cy="552449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ESO%20Statements/IESO%20Statements/GHESI/2017/Final%20Statements/CNF-GUELPHHYDRO_ST-P-F_2017013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IESO%20Statements/IESO%20Statements/GHESI/2017/Final%20Statements/CNF-GUELPHHYDRO_ST-P-F_20170930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IESO%20Statements/IESO%20Statements/GHESI/2017/Final%20Statements/CNF-GUELPHHYDRO_ST-P-F_2017103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IESO%20Statements/IESO%20Statements/GHESI/2017/Final%20Statements/CNF-GUELPHHYDRO_ST-P-F_20171130_v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IESO%20Statements/IESO%20Statements/GHESI/2017/Final%20Statements/Dec%202017%20CNF-GUELPHHYDRO_ST-P-F_20171231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IESO%20Statements/IESO%20Statements/GHESI/2017/January%202017_CNF-GUELPHHYDRO_ST-P-P_20170131_v1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IESO%20Statements/IESO%20Statements/GHESI/2017/Final%20Statements/CNF-GUELPHHYDRO_ST-P-F_2016123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IESO%20Statements/IESO%20Statements/GHESI/2017/CNF-GUELPHHYDRO_ST-P-P_20161231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IESO%20Statements/IESO%20Statements/GHESI/2017/February%202017_CNF-GUELPHHYDRO_ST-P-P_20170228_v1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IESO%20Statements/IESO%20Statements/GHESI/2017/March%202017_CNF-GUELPHHYDRO_ST-P-P_20170331_v1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IESO%20Statements/IESO%20Statements/GHESI/2017/April%202017%20CNF-GUELPHHYDRO_ST-P-P_20170430_v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Submissions/2019/Models/GA-2017%20Reconciling%20Items_20170719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IESO%20Statements/IESO%20Statements/GHESI/2017/May%202017%20CNF-GUELPHHYDRO_ST-P-P_20170531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IESO%20Statements/IESO%20Statements/GHESI/2017/June%202017_CLEAN_CNF-GUELPHHYDRO_ST-P-P_20170630_v1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IESO%20Statements/IESO%20Statements/GHESI/2017/CNF-GUELPHHYDRO_ST-P-P_20170731_v1_July%202017_no%20markups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IESO%20Statements/IESO%20Statements/GHESI/2017/Aug%202017%20CNF-GUELPHHYDRO_ST-P-P_20170831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IESO%20Statements/IESO%20Statements/GHESI/2017/CNF-GUELPHHYDRO_ST-P-P_20170930_v1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IESO%20Statements/IESO%20Statements/GHESI/2017/CNF-GUELPHHYDRO_ST-P-P_20171031_v1%20Oct%202017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IESO%20Statements/IESO%20Statements/GHESI/2017/Nov%202017%20CNF-GUELPHHYDRO_ST-P-P_20171130_v1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IESO%20Statements/IESO%20Statements/GHESI/2017/CNF-GUELPHHYDRO_ST-P-P_20171231_v1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IESO%20Statements/IESO%20Statements/GHESI/2018/Jan%202018%20CNF-GUELPHHYDRO_ST-P-P_20180131_v1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IESO%20Statements/IESO%20Statements/GHESI/2018/Final%20Statements/CNF-GUELPHHYDRO_ST-P-F_20180131_v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IESO%20Statements/IESO%20Statements/GHESI/2017/Final%20Statements/CNF-GUELPHHYDRO_ST-P-F_2017022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IESO%20Statements/IESO%20Statements/GHESI/2017/Final%20Statements/CNF-GUELPHHYDRO_ST-P-F_2017033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IESO%20Statements/IESO%20Statements/GHESI/2017/Final%20Statements/CNF-GUELPHHYDRO_ST-P-F_2017043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IESO%20Statements/IESO%20Statements/GHESI/2017/Final%20Statements/CNF-GUELPHHYDRO_ST-P-F_2017053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IESO%20Statements/IESO%20Statements/GHESI/2017/Final%20Statements/CNF-GUELPHHYDRO_ST-P-F_20170630%20June%202017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IESO%20Statements/IESO%20Statements/GHESI/2017/Final%20Statements/CNF-GUELPHHYDRO_ST-P-F_20170731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IESO%20Statements/IESO%20Statements/GHESI/2017/Final%20Statements/CNF-GUELPHHYDRO_ST-P-F_201708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F-GUELPHHYDRO_ST-P-F_20170131"/>
    </sheetNames>
    <sheetDataSet>
      <sheetData sheetId="0">
        <row r="54">
          <cell r="X54">
            <v>33326.271999999997</v>
          </cell>
        </row>
        <row r="55">
          <cell r="F55">
            <v>-9419115.4399999995</v>
          </cell>
        </row>
        <row r="56">
          <cell r="F56">
            <v>232.21</v>
          </cell>
          <cell r="Y56">
            <v>127.86799999999999</v>
          </cell>
        </row>
        <row r="57">
          <cell r="X57">
            <v>147072.09299999999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F-GUELPHHYDRO_ST-P-F_20170930"/>
    </sheetNames>
    <sheetDataSet>
      <sheetData sheetId="0">
        <row r="52">
          <cell r="X52">
            <v>64874.892000000022</v>
          </cell>
        </row>
        <row r="53">
          <cell r="F53">
            <v>-6414181.4100000001</v>
          </cell>
        </row>
        <row r="54">
          <cell r="F54">
            <v>252.24</v>
          </cell>
          <cell r="Y54">
            <v>1702.596</v>
          </cell>
        </row>
        <row r="55">
          <cell r="X55">
            <v>137439.30300000001</v>
          </cell>
        </row>
        <row r="382">
          <cell r="F382">
            <v>-202045.95</v>
          </cell>
        </row>
        <row r="383">
          <cell r="F383">
            <v>-5864.18</v>
          </cell>
        </row>
        <row r="384">
          <cell r="F384">
            <v>0.23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F-GUELPHHYDRO_ST-P-F_20171031"/>
    </sheetNames>
    <sheetDataSet>
      <sheetData sheetId="0">
        <row r="59">
          <cell r="X59">
            <v>63928.646000000008</v>
          </cell>
        </row>
        <row r="60">
          <cell r="F60">
            <v>-9046197.9700000007</v>
          </cell>
        </row>
        <row r="61">
          <cell r="F61">
            <v>-1886.44</v>
          </cell>
          <cell r="Y61">
            <v>1614.61</v>
          </cell>
        </row>
        <row r="62">
          <cell r="X62">
            <v>135649.277</v>
          </cell>
        </row>
        <row r="464">
          <cell r="F464">
            <v>-197252.29</v>
          </cell>
        </row>
        <row r="465">
          <cell r="F465">
            <v>-6.96</v>
          </cell>
        </row>
        <row r="466">
          <cell r="F466">
            <v>-0.01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F-GUELPHHYDRO_ST-P-F_20171130"/>
    </sheetNames>
    <sheetDataSet>
      <sheetData sheetId="0">
        <row r="60">
          <cell r="X60">
            <v>64325.888000000006</v>
          </cell>
        </row>
        <row r="61">
          <cell r="F61">
            <v>-7178241.8099999996</v>
          </cell>
        </row>
        <row r="62">
          <cell r="F62">
            <v>-138.28</v>
          </cell>
          <cell r="Y62">
            <v>973.67</v>
          </cell>
        </row>
        <row r="63">
          <cell r="X63">
            <v>139160.99100000001</v>
          </cell>
        </row>
        <row r="372">
          <cell r="F372">
            <v>-209049.85</v>
          </cell>
        </row>
        <row r="373">
          <cell r="F373">
            <v>258.12</v>
          </cell>
        </row>
        <row r="374">
          <cell r="F374">
            <v>0.01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F-GUELPHHYDRO_ST-P-F_20171231"/>
    </sheetNames>
    <sheetDataSet>
      <sheetData sheetId="0">
        <row r="55">
          <cell r="X55">
            <v>56490.687999999995</v>
          </cell>
        </row>
        <row r="57">
          <cell r="Y57">
            <v>512.62</v>
          </cell>
        </row>
        <row r="59">
          <cell r="X59">
            <v>139368.541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F-GUELPHHYDRO_ST-P-P_20170131"/>
    </sheetNames>
    <sheetDataSet>
      <sheetData sheetId="0">
        <row r="19">
          <cell r="E19">
            <v>-891682.14</v>
          </cell>
        </row>
        <row r="39">
          <cell r="F39">
            <v>-9419115.4399999995</v>
          </cell>
          <cell r="X39">
            <v>113745.821</v>
          </cell>
          <cell r="Y39">
            <v>127.86799999999999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F-GUELPHHYDRO_ST-P-F_20161231"/>
    </sheetNames>
    <sheetDataSet>
      <sheetData sheetId="0">
        <row r="57">
          <cell r="F57">
            <v>-9536142.2799999993</v>
          </cell>
        </row>
        <row r="58">
          <cell r="F58">
            <v>49101.55</v>
          </cell>
          <cell r="X58">
            <v>108899.185</v>
          </cell>
          <cell r="Y58">
            <v>646.47</v>
          </cell>
        </row>
        <row r="359">
          <cell r="F359">
            <v>40.24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F-GUELPHHYDRO_ST-P-P_20161231"/>
    </sheetNames>
    <sheetDataSet>
      <sheetData sheetId="0">
        <row r="40">
          <cell r="F40">
            <v>-9536142.2799999993</v>
          </cell>
          <cell r="X40">
            <v>108899.185</v>
          </cell>
          <cell r="Y40">
            <v>646.47</v>
          </cell>
        </row>
        <row r="319">
          <cell r="F319">
            <v>40.24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F-GUELPHHYDRO_ST-P-P_20170228"/>
    </sheetNames>
    <sheetDataSet>
      <sheetData sheetId="0">
        <row r="18">
          <cell r="E18">
            <v>-874963.26</v>
          </cell>
        </row>
        <row r="39">
          <cell r="F39">
            <v>-8684680.2100000009</v>
          </cell>
          <cell r="X39">
            <v>100300.166</v>
          </cell>
          <cell r="Y39">
            <v>224.571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F-GUELPHHYDRO_ST-P-P_20170331"/>
    </sheetNames>
    <sheetDataSet>
      <sheetData sheetId="0">
        <row r="19">
          <cell r="E19">
            <v>-850825.56</v>
          </cell>
        </row>
        <row r="41">
          <cell r="F41">
            <v>-7951786.8899999997</v>
          </cell>
          <cell r="X41">
            <v>110632.17200000001</v>
          </cell>
          <cell r="Y41">
            <v>807.98800000000006</v>
          </cell>
        </row>
        <row r="366">
          <cell r="F366">
            <v>807.12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F-GUELPHHYDRO_ST-P-P_20170430"/>
    </sheetNames>
    <sheetDataSet>
      <sheetData sheetId="0">
        <row r="18">
          <cell r="E18">
            <v>-786482.76</v>
          </cell>
        </row>
        <row r="40">
          <cell r="F40">
            <v>-10196735.74</v>
          </cell>
          <cell r="X40">
            <v>94420.407999999996</v>
          </cell>
          <cell r="Y40">
            <v>1215.134</v>
          </cell>
        </row>
        <row r="347">
          <cell r="F347">
            <v>-5746.82</v>
          </cell>
        </row>
        <row r="348">
          <cell r="F348">
            <v>-1730.88</v>
          </cell>
        </row>
        <row r="349">
          <cell r="F349">
            <v>-104188.96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GA Detailed Analysis"/>
      <sheetName val="2.RPP True-up"/>
      <sheetName val="3.IESO Invoice Analysis"/>
      <sheetName val="4.UBR Retailer Contract"/>
      <sheetName val="Sheet1"/>
    </sheetNames>
    <sheetDataSet>
      <sheetData sheetId="0">
        <row r="27">
          <cell r="O27">
            <v>896689.38238249719</v>
          </cell>
        </row>
      </sheetData>
      <sheetData sheetId="1">
        <row r="6">
          <cell r="I6">
            <v>-54994.356181980111</v>
          </cell>
        </row>
        <row r="39">
          <cell r="D39">
            <v>50996363.799999997</v>
          </cell>
        </row>
        <row r="40">
          <cell r="D40">
            <v>38067330.590000004</v>
          </cell>
        </row>
        <row r="41">
          <cell r="D41">
            <v>47543962.390000001</v>
          </cell>
        </row>
        <row r="42">
          <cell r="D42">
            <v>40239739.410000011</v>
          </cell>
        </row>
        <row r="43">
          <cell r="D43">
            <v>36169432.639999971</v>
          </cell>
        </row>
        <row r="44">
          <cell r="D44">
            <v>41016053.76000002</v>
          </cell>
        </row>
        <row r="45">
          <cell r="D45">
            <v>43651909.909999989</v>
          </cell>
        </row>
        <row r="46">
          <cell r="D46">
            <v>41435551.879999995</v>
          </cell>
        </row>
        <row r="47">
          <cell r="D47">
            <v>46105603.689999998</v>
          </cell>
        </row>
        <row r="48">
          <cell r="D48">
            <v>39200418.809999987</v>
          </cell>
        </row>
        <row r="49">
          <cell r="D49">
            <v>37623448.840000011</v>
          </cell>
        </row>
        <row r="50">
          <cell r="D50">
            <v>46582777.969999999</v>
          </cell>
        </row>
      </sheetData>
      <sheetData sheetId="2"/>
      <sheetData sheetId="3">
        <row r="26">
          <cell r="I26">
            <v>-37942.244896199962</v>
          </cell>
        </row>
      </sheetData>
      <sheetData sheetId="4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F-GUELPHHYDRO_ST-P-P_20170531"/>
    </sheetNames>
    <sheetDataSet>
      <sheetData sheetId="0">
        <row r="20">
          <cell r="E20">
            <v>-818024.64</v>
          </cell>
        </row>
        <row r="40">
          <cell r="F40">
            <v>-12205772.08</v>
          </cell>
          <cell r="X40">
            <v>98542.611000000004</v>
          </cell>
          <cell r="Y40">
            <v>1497.53</v>
          </cell>
        </row>
        <row r="313">
          <cell r="F313">
            <v>-86854.33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F-GUELPHHYDRO_ST-P-P_20170630"/>
    </sheetNames>
    <sheetDataSet>
      <sheetData sheetId="0">
        <row r="17">
          <cell r="E17">
            <v>-936451.26</v>
          </cell>
        </row>
        <row r="38">
          <cell r="F38">
            <v>-14735443.560000001</v>
          </cell>
          <cell r="X38">
            <v>136095.82999999999</v>
          </cell>
          <cell r="Y38">
            <v>0</v>
          </cell>
        </row>
        <row r="350">
          <cell r="F350">
            <v>-129699.65</v>
          </cell>
        </row>
        <row r="351">
          <cell r="F351">
            <v>-1218240.8999999999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F-GUELPHHYDRO_ST-P-P_20170731"/>
    </sheetNames>
    <sheetDataSet>
      <sheetData sheetId="0">
        <row r="17">
          <cell r="E17">
            <v>-865535.1</v>
          </cell>
        </row>
        <row r="39">
          <cell r="F39">
            <v>-7956370.2000000002</v>
          </cell>
          <cell r="X39">
            <v>75247.001000000004</v>
          </cell>
          <cell r="Y39">
            <v>1915.1759999999999</v>
          </cell>
        </row>
        <row r="363">
          <cell r="F363">
            <v>-237671.16</v>
          </cell>
        </row>
        <row r="364">
          <cell r="F364">
            <v>21358.94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F-GUELPHHYDRO_ST-P-P_20170831"/>
    </sheetNames>
    <sheetDataSet>
      <sheetData sheetId="0">
        <row r="17">
          <cell r="E17">
            <v>-899049.72</v>
          </cell>
        </row>
        <row r="38">
          <cell r="F38">
            <v>-7604427.29</v>
          </cell>
          <cell r="X38">
            <v>73132.77</v>
          </cell>
          <cell r="Y38">
            <v>1777.9839999999999</v>
          </cell>
        </row>
        <row r="311">
          <cell r="F311">
            <v>-267124.64</v>
          </cell>
        </row>
        <row r="312">
          <cell r="F312">
            <v>293375.37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F-GUELPHHYDRO_ST-P-P_20170930"/>
    </sheetNames>
    <sheetDataSet>
      <sheetData sheetId="0">
        <row r="18">
          <cell r="E18">
            <v>-974932.5</v>
          </cell>
        </row>
        <row r="40">
          <cell r="F40">
            <v>-6414181.4100000001</v>
          </cell>
          <cell r="X40">
            <v>72564.410999999993</v>
          </cell>
          <cell r="Y40">
            <v>1702.596</v>
          </cell>
        </row>
        <row r="356">
          <cell r="F356">
            <v>-202045.95</v>
          </cell>
        </row>
        <row r="357">
          <cell r="F357">
            <v>-5864.18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F-GUELPHHYDRO_ST-P-P_20171031"/>
    </sheetNames>
    <sheetDataSet>
      <sheetData sheetId="0">
        <row r="18">
          <cell r="E18">
            <v>-811842.9</v>
          </cell>
        </row>
        <row r="40">
          <cell r="F40">
            <v>-9046197.9700000007</v>
          </cell>
          <cell r="X40">
            <v>71720.630999999994</v>
          </cell>
          <cell r="Y40">
            <v>1614.61</v>
          </cell>
        </row>
        <row r="323">
          <cell r="F323">
            <v>-6.96</v>
          </cell>
        </row>
        <row r="324">
          <cell r="F324">
            <v>-197252.29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F-GUELPHHYDRO_ST-P-P_20171130"/>
    </sheetNames>
    <sheetDataSet>
      <sheetData sheetId="0">
        <row r="19">
          <cell r="E19">
            <v>-504612.72</v>
          </cell>
        </row>
        <row r="42">
          <cell r="F42">
            <v>-7178241.8099999996</v>
          </cell>
          <cell r="X42">
            <v>74835.103000000003</v>
          </cell>
          <cell r="Y42">
            <v>973.67</v>
          </cell>
        </row>
        <row r="332">
          <cell r="F332">
            <v>-209049.85</v>
          </cell>
        </row>
        <row r="333">
          <cell r="F333">
            <v>258.12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F-GUELPHHYDRO_ST-P-P_20171231"/>
    </sheetNames>
    <sheetDataSet>
      <sheetData sheetId="0">
        <row r="19">
          <cell r="E19">
            <v>-853937.92</v>
          </cell>
        </row>
        <row r="42">
          <cell r="F42">
            <v>-7636545.2599999998</v>
          </cell>
          <cell r="X42">
            <v>82879.150999999998</v>
          </cell>
          <cell r="Y42">
            <v>512.62</v>
          </cell>
        </row>
        <row r="350">
          <cell r="F350">
            <v>-4167.76</v>
          </cell>
        </row>
        <row r="351">
          <cell r="F351">
            <v>-4169.45</v>
          </cell>
        </row>
        <row r="352">
          <cell r="F352">
            <v>-5783.33</v>
          </cell>
        </row>
        <row r="353">
          <cell r="F353">
            <v>-4322.8100000000004</v>
          </cell>
        </row>
        <row r="354">
          <cell r="F354">
            <v>-6496.88</v>
          </cell>
        </row>
        <row r="355">
          <cell r="F355">
            <v>-6829.01</v>
          </cell>
        </row>
        <row r="356">
          <cell r="F356">
            <v>-4572.32</v>
          </cell>
        </row>
        <row r="357">
          <cell r="F357">
            <v>-11991.92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 2018 CNF-GUELPHHYDRO_ST-P-P"/>
    </sheetNames>
    <sheetDataSet>
      <sheetData sheetId="0">
        <row r="40">
          <cell r="X40">
            <v>86843.184999999998</v>
          </cell>
          <cell r="Y40">
            <v>312.678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F-GUELPHHYDRO_ST-P-F_20180131"/>
    </sheetNames>
    <sheetDataSet>
      <sheetData sheetId="0">
        <row r="58">
          <cell r="X58">
            <v>66331.214000000007</v>
          </cell>
        </row>
        <row r="60">
          <cell r="Y60">
            <v>312.678</v>
          </cell>
        </row>
        <row r="62">
          <cell r="X62">
            <v>153174.399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F-GUELPHHYDRO_ST-P-F_20170228"/>
    </sheetNames>
    <sheetDataSet>
      <sheetData sheetId="0">
        <row r="55">
          <cell r="X55">
            <v>31019.353000000003</v>
          </cell>
        </row>
        <row r="56">
          <cell r="F56">
            <v>-8684680.2100000009</v>
          </cell>
        </row>
        <row r="57">
          <cell r="F57">
            <v>-78.5</v>
          </cell>
          <cell r="Y57">
            <v>224.571</v>
          </cell>
        </row>
        <row r="58">
          <cell r="X58">
            <v>131319.519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F-GUELPHHYDRO_ST-P-F_20170331"/>
    </sheetNames>
    <sheetDataSet>
      <sheetData sheetId="0">
        <row r="56">
          <cell r="X56">
            <v>34712.180000000008</v>
          </cell>
        </row>
        <row r="57">
          <cell r="F57">
            <v>-7951786.8899999997</v>
          </cell>
        </row>
        <row r="58">
          <cell r="F58">
            <v>-32.74</v>
          </cell>
          <cell r="Y58">
            <v>807.98800000000006</v>
          </cell>
        </row>
        <row r="59">
          <cell r="X59">
            <v>145344.35200000001</v>
          </cell>
        </row>
        <row r="424">
          <cell r="F424">
            <v>807.12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F-GUELPHHYDRO_ST-P-F_20170430"/>
    </sheetNames>
    <sheetDataSet>
      <sheetData sheetId="0">
        <row r="55">
          <cell r="X55">
            <v>32112.841</v>
          </cell>
        </row>
        <row r="56">
          <cell r="F56">
            <v>-10196735.74</v>
          </cell>
        </row>
        <row r="57">
          <cell r="F57">
            <v>-17805.810000000001</v>
          </cell>
          <cell r="Y57">
            <v>1215.134</v>
          </cell>
        </row>
        <row r="58">
          <cell r="X58">
            <v>126533.249</v>
          </cell>
        </row>
        <row r="392">
          <cell r="F392">
            <v>-1730.88</v>
          </cell>
        </row>
        <row r="393">
          <cell r="F393">
            <v>-104188.96</v>
          </cell>
        </row>
        <row r="394">
          <cell r="F394">
            <v>-5746.82</v>
          </cell>
        </row>
        <row r="395">
          <cell r="F395">
            <v>-0.19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F-GUELPHHYDRO_ST-P-F_20170531"/>
    </sheetNames>
    <sheetDataSet>
      <sheetData sheetId="0">
        <row r="60">
          <cell r="X60">
            <v>33520.472000000009</v>
          </cell>
        </row>
        <row r="61">
          <cell r="F61">
            <v>-12205772.08</v>
          </cell>
        </row>
        <row r="62">
          <cell r="F62">
            <v>-514.30999999999995</v>
          </cell>
          <cell r="Y62">
            <v>1497.53</v>
          </cell>
        </row>
        <row r="63">
          <cell r="X63">
            <v>132063.08300000001</v>
          </cell>
        </row>
        <row r="413">
          <cell r="F413">
            <v>-86854.33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F-GUELPHHYDRO_ST-P-F_20170630"/>
    </sheetNames>
    <sheetDataSet>
      <sheetData sheetId="0">
        <row r="57">
          <cell r="X57">
            <v>33565.645999999993</v>
          </cell>
        </row>
        <row r="58">
          <cell r="F58">
            <v>-14735443.560000001</v>
          </cell>
        </row>
        <row r="59">
          <cell r="F59">
            <v>1686064.31</v>
          </cell>
          <cell r="Y59">
            <v>1783.9369999999999</v>
          </cell>
        </row>
        <row r="60">
          <cell r="X60">
            <v>136095.82999999999</v>
          </cell>
        </row>
        <row r="442">
          <cell r="F442">
            <v>-129699.65</v>
          </cell>
        </row>
        <row r="443">
          <cell r="F443">
            <v>-1218240.8999999999</v>
          </cell>
        </row>
        <row r="444">
          <cell r="F444">
            <v>1218240.8999999999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F-GUELPHHYDRO_ST-P-F_20170731"/>
    </sheetNames>
    <sheetDataSet>
      <sheetData sheetId="0">
        <row r="54">
          <cell r="X54">
            <v>62564.366999999984</v>
          </cell>
        </row>
        <row r="55">
          <cell r="F55">
            <v>-7956370.2000000002</v>
          </cell>
        </row>
        <row r="56">
          <cell r="F56">
            <v>-44.48</v>
          </cell>
          <cell r="Y56">
            <v>1915.1759999999999</v>
          </cell>
        </row>
        <row r="57">
          <cell r="X57">
            <v>137811.36799999999</v>
          </cell>
        </row>
        <row r="456">
          <cell r="F456">
            <v>-237671.16</v>
          </cell>
        </row>
        <row r="457">
          <cell r="F457">
            <v>21358.94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F-GUELPHHYDRO_ST-P-F_20170831"/>
    </sheetNames>
    <sheetDataSet>
      <sheetData sheetId="0">
        <row r="57">
          <cell r="X57">
            <v>67249.843000000008</v>
          </cell>
        </row>
        <row r="58">
          <cell r="F58">
            <v>-7604427.29</v>
          </cell>
        </row>
        <row r="59">
          <cell r="F59">
            <v>-822.56</v>
          </cell>
          <cell r="Y59">
            <v>1777.9839999999999</v>
          </cell>
        </row>
        <row r="60">
          <cell r="X60">
            <v>140382.61300000001</v>
          </cell>
        </row>
        <row r="411">
          <cell r="F411">
            <v>-267124.64</v>
          </cell>
        </row>
        <row r="412">
          <cell r="F412">
            <v>293375.37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workbookViewId="0">
      <selection activeCell="L23" sqref="L23"/>
    </sheetView>
  </sheetViews>
  <sheetFormatPr defaultRowHeight="15"/>
  <cols>
    <col min="2" max="2" width="21.28515625" customWidth="1"/>
    <col min="3" max="5" width="20.85546875" bestFit="1" customWidth="1"/>
    <col min="6" max="6" width="20.7109375" bestFit="1" customWidth="1"/>
    <col min="7" max="7" width="19.85546875" bestFit="1" customWidth="1"/>
    <col min="8" max="8" width="19.42578125" bestFit="1" customWidth="1"/>
    <col min="9" max="9" width="21.7109375" customWidth="1"/>
    <col min="10" max="10" width="17.140625" hidden="1" customWidth="1"/>
    <col min="11" max="11" width="19.28515625" customWidth="1"/>
    <col min="12" max="12" width="15.28515625" customWidth="1"/>
    <col min="13" max="13" width="19.85546875" customWidth="1"/>
    <col min="14" max="14" width="18.85546875" customWidth="1"/>
    <col min="15" max="15" width="14.28515625" customWidth="1"/>
  </cols>
  <sheetData>
    <row r="1" spans="1:34" ht="15.75">
      <c r="A1" s="9" t="s">
        <v>7</v>
      </c>
    </row>
    <row r="2" spans="1:34">
      <c r="A2" s="8" t="s">
        <v>8</v>
      </c>
    </row>
    <row r="4" spans="1:34" ht="15.75">
      <c r="A4" s="9" t="s">
        <v>5</v>
      </c>
    </row>
    <row r="5" spans="1:34" ht="90">
      <c r="A5" s="7" t="s">
        <v>4</v>
      </c>
      <c r="B5" s="1" t="s">
        <v>68</v>
      </c>
      <c r="C5" s="1" t="s">
        <v>0</v>
      </c>
      <c r="D5" s="1" t="s">
        <v>1</v>
      </c>
      <c r="E5" s="1" t="s">
        <v>75</v>
      </c>
      <c r="F5" s="1" t="s">
        <v>2</v>
      </c>
      <c r="G5" s="5" t="s">
        <v>76</v>
      </c>
      <c r="H5" s="1" t="s">
        <v>77</v>
      </c>
      <c r="I5" s="10" t="s">
        <v>18</v>
      </c>
      <c r="K5" s="68" t="s">
        <v>93</v>
      </c>
      <c r="L5" s="10" t="s">
        <v>83</v>
      </c>
      <c r="M5" s="10" t="s">
        <v>88</v>
      </c>
      <c r="N5" s="10" t="s">
        <v>89</v>
      </c>
      <c r="R5" s="27" t="s">
        <v>64</v>
      </c>
      <c r="S5" s="27" t="s">
        <v>65</v>
      </c>
      <c r="T5" s="27" t="s">
        <v>66</v>
      </c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</row>
    <row r="6" spans="1:34" ht="15.75">
      <c r="A6" s="7"/>
      <c r="B6" s="12" t="s">
        <v>12</v>
      </c>
      <c r="C6" s="12" t="s">
        <v>12</v>
      </c>
      <c r="D6" s="12" t="s">
        <v>12</v>
      </c>
      <c r="E6" s="12" t="s">
        <v>12</v>
      </c>
      <c r="F6" s="12" t="s">
        <v>13</v>
      </c>
      <c r="G6" s="13" t="s">
        <v>14</v>
      </c>
      <c r="H6" s="1" t="s">
        <v>14</v>
      </c>
      <c r="I6" s="10" t="s">
        <v>14</v>
      </c>
      <c r="K6" s="67" t="s">
        <v>12</v>
      </c>
      <c r="L6" s="67" t="s">
        <v>90</v>
      </c>
      <c r="M6" s="67" t="s">
        <v>14</v>
      </c>
      <c r="N6" s="67" t="s">
        <v>14</v>
      </c>
    </row>
    <row r="7" spans="1:34" ht="15.75">
      <c r="A7" s="7"/>
      <c r="B7" s="1" t="s">
        <v>9</v>
      </c>
      <c r="C7" s="1" t="s">
        <v>3</v>
      </c>
      <c r="D7" s="1" t="s">
        <v>10</v>
      </c>
      <c r="E7" s="1" t="s">
        <v>11</v>
      </c>
      <c r="F7" s="3" t="s">
        <v>15</v>
      </c>
      <c r="G7" s="3" t="s">
        <v>16</v>
      </c>
      <c r="H7" s="3" t="s">
        <v>17</v>
      </c>
      <c r="I7" s="3" t="s">
        <v>81</v>
      </c>
      <c r="K7" s="33" t="s">
        <v>87</v>
      </c>
      <c r="L7" s="33" t="s">
        <v>91</v>
      </c>
      <c r="M7" s="33" t="s">
        <v>96</v>
      </c>
      <c r="N7" s="33" t="s">
        <v>92</v>
      </c>
    </row>
    <row r="8" spans="1:34" ht="15.75">
      <c r="A8" s="6">
        <v>42736</v>
      </c>
      <c r="B8" s="29">
        <f>'[1]CNF-GUELPHHYDRO_ST-P-F_20170131'!$X$57*1000</f>
        <v>147072093</v>
      </c>
      <c r="C8" s="29">
        <f>'[1]CNF-GUELPHHYDRO_ST-P-F_20170131'!$Y$56*1000</f>
        <v>127868</v>
      </c>
      <c r="D8" s="29">
        <f>'[1]CNF-GUELPHHYDRO_ST-P-F_20170131'!$X$54*1000</f>
        <v>33326271.999999996</v>
      </c>
      <c r="E8" s="2">
        <f>B8+C8-D8</f>
        <v>113873689</v>
      </c>
      <c r="F8" s="30">
        <v>8.2269999999999996E-2</v>
      </c>
      <c r="G8" s="4">
        <f t="shared" ref="G8:G19" si="0">E8*F8</f>
        <v>9368388.3940299992</v>
      </c>
      <c r="H8" s="31">
        <v>9370013.8900000006</v>
      </c>
      <c r="I8" s="11">
        <f>H8-G8</f>
        <v>1625.4959700014442</v>
      </c>
      <c r="J8" t="str">
        <f t="shared" ref="J8:J21" si="1">IF(I8&gt;0,"Overcharged","Undercharged")</f>
        <v>Overcharged</v>
      </c>
      <c r="K8" s="69">
        <f>'[2]2.RPP True-up'!D39</f>
        <v>50996363.799999997</v>
      </c>
      <c r="L8" s="70">
        <f>K8/E8</f>
        <v>0.4478327192860152</v>
      </c>
      <c r="M8" s="11">
        <f>I8*L8</f>
        <v>727.95028043420575</v>
      </c>
      <c r="N8" s="11">
        <f>I8-M8</f>
        <v>897.54568956723847</v>
      </c>
      <c r="Q8" s="6">
        <v>42736</v>
      </c>
      <c r="R8" s="19">
        <v>6.6869999999999999E-2</v>
      </c>
      <c r="S8" s="19">
        <v>8.677E-2</v>
      </c>
      <c r="T8" s="19">
        <v>8.2269999999999996E-2</v>
      </c>
    </row>
    <row r="9" spans="1:34" ht="15.75">
      <c r="A9" s="6">
        <v>42767</v>
      </c>
      <c r="B9" s="29">
        <f>'[3]CNF-GUELPHHYDRO_ST-P-F_20170228'!$X$58*1000</f>
        <v>131319519</v>
      </c>
      <c r="C9" s="29">
        <f>'[3]CNF-GUELPHHYDRO_ST-P-F_20170228'!$Y$57*1000</f>
        <v>224571</v>
      </c>
      <c r="D9" s="29">
        <f>'[3]CNF-GUELPHHYDRO_ST-P-F_20170228'!$X$55*1000</f>
        <v>31019353.000000004</v>
      </c>
      <c r="E9" s="2">
        <f t="shared" ref="E9:E19" si="2">B9+C9-D9</f>
        <v>100524737</v>
      </c>
      <c r="F9" s="30">
        <v>8.6389999999999995E-2</v>
      </c>
      <c r="G9" s="4">
        <f t="shared" si="0"/>
        <v>8684332.0294300001</v>
      </c>
      <c r="H9" s="31">
        <v>8684448</v>
      </c>
      <c r="I9" s="11">
        <f t="shared" ref="I9:I19" si="3">H9-G9</f>
        <v>115.97056999988854</v>
      </c>
      <c r="J9" t="str">
        <f t="shared" si="1"/>
        <v>Overcharged</v>
      </c>
      <c r="K9" s="69">
        <f>'[2]2.RPP True-up'!D40</f>
        <v>38067330.590000004</v>
      </c>
      <c r="L9" s="70">
        <f t="shared" ref="L9:L19" si="4">K9/E9</f>
        <v>0.37868619929838765</v>
      </c>
      <c r="M9" s="11">
        <f t="shared" ref="M9:M20" si="5">I9*L9</f>
        <v>43.916454383725409</v>
      </c>
      <c r="N9" s="11">
        <f t="shared" ref="N9:N20" si="6">I9-M9</f>
        <v>72.054115616163131</v>
      </c>
      <c r="Q9" s="6">
        <v>42767</v>
      </c>
      <c r="R9" s="19">
        <v>0.10559</v>
      </c>
      <c r="S9" s="19">
        <v>8.43E-2</v>
      </c>
      <c r="T9" s="19">
        <v>8.6389999999999995E-2</v>
      </c>
    </row>
    <row r="10" spans="1:34" ht="15.75">
      <c r="A10" s="6">
        <v>42795</v>
      </c>
      <c r="B10" s="29">
        <f>'[4]CNF-GUELPHHYDRO_ST-P-F_20170331'!$X$59*1000</f>
        <v>145344352</v>
      </c>
      <c r="C10" s="29">
        <f>'[4]CNF-GUELPHHYDRO_ST-P-F_20170331'!$Y$58*1000</f>
        <v>807988</v>
      </c>
      <c r="D10" s="29">
        <f>'[4]CNF-GUELPHHYDRO_ST-P-F_20170331'!$X$56*1000</f>
        <v>34712180.000000007</v>
      </c>
      <c r="E10" s="2">
        <f t="shared" si="2"/>
        <v>111440160</v>
      </c>
      <c r="F10" s="30">
        <v>7.1349999999999997E-2</v>
      </c>
      <c r="G10" s="4">
        <f t="shared" si="0"/>
        <v>7951255.4159999993</v>
      </c>
      <c r="H10" s="31">
        <v>7951058.2699999996</v>
      </c>
      <c r="I10" s="11">
        <f t="shared" si="3"/>
        <v>-197.14599999971688</v>
      </c>
      <c r="J10" t="str">
        <f>IF(I10&gt;0,"Overcharged","Undercharged")</f>
        <v>Undercharged</v>
      </c>
      <c r="K10" s="69">
        <f>'[2]2.RPP True-up'!D41</f>
        <v>47543962.390000001</v>
      </c>
      <c r="L10" s="70">
        <f t="shared" si="4"/>
        <v>0.42663221580083877</v>
      </c>
      <c r="M10" s="11">
        <f t="shared" si="5"/>
        <v>-84.108834816151372</v>
      </c>
      <c r="N10" s="11">
        <f t="shared" si="6"/>
        <v>-113.03716518356551</v>
      </c>
      <c r="Q10" s="6">
        <v>42795</v>
      </c>
      <c r="R10" s="19">
        <v>8.4089999999999998E-2</v>
      </c>
      <c r="S10" s="19">
        <v>6.8860000000000005E-2</v>
      </c>
      <c r="T10" s="19">
        <v>7.1349999999999997E-2</v>
      </c>
    </row>
    <row r="11" spans="1:34" ht="15.75">
      <c r="A11" s="6">
        <v>42826</v>
      </c>
      <c r="B11" s="29">
        <f>'[5]CNF-GUELPHHYDRO_ST-P-F_20170430'!$X$58*1000</f>
        <v>126533249</v>
      </c>
      <c r="C11" s="29">
        <f>'[5]CNF-GUELPHHYDRO_ST-P-F_20170430'!$Y$57*1000</f>
        <v>1215134</v>
      </c>
      <c r="D11" s="29">
        <f>'[5]CNF-GUELPHHYDRO_ST-P-F_20170430'!$X$55*1000</f>
        <v>32112841</v>
      </c>
      <c r="E11" s="2">
        <f t="shared" si="2"/>
        <v>95635542</v>
      </c>
      <c r="F11" s="30">
        <v>0.10778</v>
      </c>
      <c r="G11" s="4">
        <f t="shared" si="0"/>
        <v>10307598.71676</v>
      </c>
      <c r="H11" s="31">
        <v>10308435.140000001</v>
      </c>
      <c r="I11" s="11">
        <f t="shared" si="3"/>
        <v>836.42324000038207</v>
      </c>
      <c r="J11" t="str">
        <f t="shared" si="1"/>
        <v>Overcharged</v>
      </c>
      <c r="K11" s="69">
        <f>'[2]2.RPP True-up'!D42</f>
        <v>40239739.410000011</v>
      </c>
      <c r="L11" s="70">
        <f t="shared" si="4"/>
        <v>0.42076134634130075</v>
      </c>
      <c r="M11" s="11">
        <f t="shared" si="5"/>
        <v>351.93456857371365</v>
      </c>
      <c r="N11" s="11">
        <f t="shared" si="6"/>
        <v>484.48867142666842</v>
      </c>
      <c r="Q11" s="6">
        <v>42826</v>
      </c>
      <c r="R11" s="19">
        <v>6.8739999999999996E-2</v>
      </c>
      <c r="S11" s="19">
        <v>0.10218000000000001</v>
      </c>
      <c r="T11" s="19">
        <v>0.10778</v>
      </c>
    </row>
    <row r="12" spans="1:34" ht="15.75">
      <c r="A12" s="6">
        <v>42856</v>
      </c>
      <c r="B12" s="29">
        <f>'[6]CNF-GUELPHHYDRO_ST-P-F_20170531'!$X$63*1000</f>
        <v>132063083.00000001</v>
      </c>
      <c r="C12" s="29">
        <f>'[6]CNF-GUELPHHYDRO_ST-P-F_20170531'!$Y$62*1000</f>
        <v>1497530</v>
      </c>
      <c r="D12" s="29">
        <f>'[6]CNF-GUELPHHYDRO_ST-P-F_20170531'!$X$60*1000</f>
        <v>33520472.000000007</v>
      </c>
      <c r="E12" s="2">
        <f t="shared" si="2"/>
        <v>100040141</v>
      </c>
      <c r="F12" s="30">
        <v>0.12307</v>
      </c>
      <c r="G12" s="4">
        <f t="shared" si="0"/>
        <v>12311940.152869999</v>
      </c>
      <c r="H12" s="31">
        <v>12310432.41</v>
      </c>
      <c r="I12" s="11">
        <f t="shared" si="3"/>
        <v>-1507.7428699992597</v>
      </c>
      <c r="J12" t="str">
        <f t="shared" si="1"/>
        <v>Undercharged</v>
      </c>
      <c r="K12" s="69">
        <f>'[2]2.RPP True-up'!D43</f>
        <v>36169432.639999971</v>
      </c>
      <c r="L12" s="70">
        <f t="shared" si="4"/>
        <v>0.36154919693685728</v>
      </c>
      <c r="M12" s="11">
        <f t="shared" si="5"/>
        <v>-545.12322383550475</v>
      </c>
      <c r="N12" s="11">
        <f t="shared" si="6"/>
        <v>-962.61964616375496</v>
      </c>
      <c r="Q12" s="6">
        <v>42856</v>
      </c>
      <c r="R12" s="19">
        <v>0.10623</v>
      </c>
      <c r="S12" s="19">
        <v>0.12776000000000001</v>
      </c>
      <c r="T12" s="19">
        <v>0.12307</v>
      </c>
    </row>
    <row r="13" spans="1:34" ht="15.75">
      <c r="A13" s="6">
        <v>42887</v>
      </c>
      <c r="B13" s="29">
        <f>'[7]CNF-GUELPHHYDRO_ST-P-F_20170630'!$X$60*1000</f>
        <v>136095830</v>
      </c>
      <c r="C13" s="29">
        <f>'[7]CNF-GUELPHHYDRO_ST-P-F_20170630'!$Y$59*1000</f>
        <v>1783937</v>
      </c>
      <c r="D13" s="29">
        <f>'[7]CNF-GUELPHHYDRO_ST-P-F_20170630'!$X$57*1000</f>
        <v>33565645.999999993</v>
      </c>
      <c r="E13" s="2">
        <f t="shared" si="2"/>
        <v>104314121</v>
      </c>
      <c r="F13" s="30">
        <v>0.11848</v>
      </c>
      <c r="G13" s="4">
        <f t="shared" si="0"/>
        <v>12359137.05608</v>
      </c>
      <c r="H13" s="31">
        <v>16083898.42</v>
      </c>
      <c r="I13" s="11">
        <f t="shared" si="3"/>
        <v>3724761.3639199995</v>
      </c>
      <c r="J13" t="str">
        <f t="shared" si="1"/>
        <v>Overcharged</v>
      </c>
      <c r="K13" s="69">
        <f>'[2]2.RPP True-up'!D44</f>
        <v>41016053.76000002</v>
      </c>
      <c r="L13" s="70">
        <f t="shared" si="4"/>
        <v>0.39319752078436265</v>
      </c>
      <c r="M13" s="11">
        <f t="shared" si="5"/>
        <v>1464566.9338067251</v>
      </c>
      <c r="N13" s="11">
        <f t="shared" si="6"/>
        <v>2260194.4301132746</v>
      </c>
      <c r="Q13" s="6">
        <v>42887</v>
      </c>
      <c r="R13" s="19">
        <v>0.11954000000000001</v>
      </c>
      <c r="S13" s="19">
        <v>0.12562999999999999</v>
      </c>
      <c r="T13" s="19">
        <v>0.11848</v>
      </c>
    </row>
    <row r="14" spans="1:34" ht="15.75">
      <c r="A14" s="6">
        <v>42917</v>
      </c>
      <c r="B14" s="29">
        <f>'[8]CNF-GUELPHHYDRO_ST-P-F_20170731'!$X$57*1000</f>
        <v>137811368</v>
      </c>
      <c r="C14" s="29">
        <f>'[8]CNF-GUELPHHYDRO_ST-P-F_20170731'!$Y$56*1000</f>
        <v>1915176</v>
      </c>
      <c r="D14" s="29">
        <f>'[8]CNF-GUELPHHYDRO_ST-P-F_20170731'!$X$54*1000</f>
        <v>62564366.999999985</v>
      </c>
      <c r="E14" s="2">
        <f t="shared" si="2"/>
        <v>77162177.000000015</v>
      </c>
      <c r="F14" s="30">
        <v>0.1128</v>
      </c>
      <c r="G14" s="4">
        <f t="shared" si="0"/>
        <v>8703893.5656000022</v>
      </c>
      <c r="H14" s="31">
        <v>5268377.21</v>
      </c>
      <c r="I14" s="11">
        <f t="shared" si="3"/>
        <v>-3435516.3556000022</v>
      </c>
      <c r="J14" t="str">
        <f t="shared" si="1"/>
        <v>Undercharged</v>
      </c>
      <c r="K14" s="69">
        <f>'[2]2.RPP True-up'!D45</f>
        <v>43651909.909999989</v>
      </c>
      <c r="L14" s="70">
        <f t="shared" si="4"/>
        <v>0.56571641194104694</v>
      </c>
      <c r="M14" s="11">
        <f t="shared" si="5"/>
        <v>-1943527.9858548152</v>
      </c>
      <c r="N14" s="11">
        <f t="shared" si="6"/>
        <v>-1491988.369745187</v>
      </c>
      <c r="Q14" s="6">
        <v>42917</v>
      </c>
      <c r="R14" s="19">
        <v>0.10651999999999999</v>
      </c>
      <c r="S14" s="19">
        <v>0.10197000000000001</v>
      </c>
      <c r="T14" s="19">
        <v>0.1128</v>
      </c>
    </row>
    <row r="15" spans="1:34" ht="15.75">
      <c r="A15" s="6">
        <v>42948</v>
      </c>
      <c r="B15" s="29">
        <f>'[9]CNF-GUELPHHYDRO_ST-P-F_20170831'!$X$60*1000</f>
        <v>140382613</v>
      </c>
      <c r="C15" s="29">
        <f>'[9]CNF-GUELPHHYDRO_ST-P-F_20170831'!$Y$59*1000</f>
        <v>1777984</v>
      </c>
      <c r="D15" s="29">
        <f>'[9]CNF-GUELPHHYDRO_ST-P-F_20170831'!$X$57*1000</f>
        <v>67249843.000000015</v>
      </c>
      <c r="E15" s="2">
        <f t="shared" si="2"/>
        <v>74910753.999999985</v>
      </c>
      <c r="F15" s="30">
        <v>0.10109</v>
      </c>
      <c r="G15" s="4">
        <f t="shared" si="0"/>
        <v>7572728.1218599984</v>
      </c>
      <c r="H15" s="31">
        <v>7578221.04</v>
      </c>
      <c r="I15" s="11">
        <f t="shared" si="3"/>
        <v>5492.918140001595</v>
      </c>
      <c r="J15" t="str">
        <f t="shared" si="1"/>
        <v>Overcharged</v>
      </c>
      <c r="K15" s="69">
        <f>'[2]2.RPP True-up'!D46</f>
        <v>41435551.879999995</v>
      </c>
      <c r="L15" s="70">
        <f t="shared" si="4"/>
        <v>0.55313222291154618</v>
      </c>
      <c r="M15" s="11">
        <f t="shared" si="5"/>
        <v>3038.310021050238</v>
      </c>
      <c r="N15" s="11">
        <f t="shared" si="6"/>
        <v>2454.608118951357</v>
      </c>
      <c r="Q15" s="6">
        <v>42948</v>
      </c>
      <c r="R15" s="19">
        <v>0.115</v>
      </c>
      <c r="S15" s="19">
        <v>0.10476000000000001</v>
      </c>
      <c r="T15" s="19">
        <v>0.10109</v>
      </c>
    </row>
    <row r="16" spans="1:34" ht="15.75">
      <c r="A16" s="6">
        <v>42979</v>
      </c>
      <c r="B16" s="29">
        <f>'[10]CNF-GUELPHHYDRO_ST-P-F_20170930'!$X$55*1000</f>
        <v>137439303</v>
      </c>
      <c r="C16" s="29">
        <f>'[10]CNF-GUELPHHYDRO_ST-P-F_20170930'!$Y$54*1000</f>
        <v>1702596</v>
      </c>
      <c r="D16" s="29">
        <f>'[10]CNF-GUELPHHYDRO_ST-P-F_20170930'!$X$52*1000</f>
        <v>64874892.000000022</v>
      </c>
      <c r="E16" s="2">
        <f t="shared" si="2"/>
        <v>74267006.99999997</v>
      </c>
      <c r="F16" s="30">
        <v>8.8639999999999997E-2</v>
      </c>
      <c r="G16" s="4">
        <f t="shared" si="0"/>
        <v>6583027.5004799971</v>
      </c>
      <c r="H16" s="31">
        <v>6622914.0999999996</v>
      </c>
      <c r="I16" s="11">
        <f t="shared" si="3"/>
        <v>39886.599520002492</v>
      </c>
      <c r="J16" t="str">
        <f t="shared" si="1"/>
        <v>Overcharged</v>
      </c>
      <c r="K16" s="69">
        <f>'[2]2.RPP True-up'!D47</f>
        <v>46105603.689999998</v>
      </c>
      <c r="L16" s="70">
        <f t="shared" si="4"/>
        <v>0.62080869490270441</v>
      </c>
      <c r="M16" s="11">
        <f t="shared" si="5"/>
        <v>24761.947792119583</v>
      </c>
      <c r="N16" s="11">
        <f t="shared" si="6"/>
        <v>15124.651727882909</v>
      </c>
      <c r="Q16" s="6">
        <v>42979</v>
      </c>
      <c r="R16" s="19">
        <v>0.12739</v>
      </c>
      <c r="S16" s="19">
        <v>9.8949999999999996E-2</v>
      </c>
      <c r="T16" s="19">
        <v>8.8639999999999997E-2</v>
      </c>
    </row>
    <row r="17" spans="1:20" ht="15.75">
      <c r="A17" s="6">
        <v>43009</v>
      </c>
      <c r="B17" s="29">
        <f>'[11]CNF-GUELPHHYDRO_ST-P-F_20171031'!$X$62*1000</f>
        <v>135649277</v>
      </c>
      <c r="C17" s="29">
        <f>'[11]CNF-GUELPHHYDRO_ST-P-F_20171031'!$Y$61*1000</f>
        <v>1614610</v>
      </c>
      <c r="D17" s="29">
        <f>'[11]CNF-GUELPHHYDRO_ST-P-F_20171031'!$X$59*1000</f>
        <v>63928646.000000007</v>
      </c>
      <c r="E17" s="2">
        <f t="shared" si="2"/>
        <v>73335241</v>
      </c>
      <c r="F17" s="30">
        <v>0.12562999999999999</v>
      </c>
      <c r="G17" s="4">
        <f t="shared" si="0"/>
        <v>9213106.3268299997</v>
      </c>
      <c r="H17" s="31">
        <v>9243204.75</v>
      </c>
      <c r="I17" s="11">
        <f t="shared" si="3"/>
        <v>30098.423170000315</v>
      </c>
      <c r="J17" t="str">
        <f t="shared" si="1"/>
        <v>Overcharged</v>
      </c>
      <c r="K17" s="69">
        <f>'[2]2.RPP True-up'!D48</f>
        <v>39200418.809999987</v>
      </c>
      <c r="L17" s="70">
        <f t="shared" si="4"/>
        <v>0.53453726033299576</v>
      </c>
      <c r="M17" s="11">
        <f t="shared" si="5"/>
        <v>16088.72866163513</v>
      </c>
      <c r="N17" s="11">
        <f t="shared" si="6"/>
        <v>14009.694508365184</v>
      </c>
      <c r="Q17" s="6">
        <v>43009</v>
      </c>
      <c r="R17" s="19">
        <v>0.10212</v>
      </c>
      <c r="S17" s="19">
        <v>0.11973</v>
      </c>
      <c r="T17" s="19">
        <v>0.12562999999999999</v>
      </c>
    </row>
    <row r="18" spans="1:20" ht="15.75">
      <c r="A18" s="6">
        <v>43040</v>
      </c>
      <c r="B18" s="29">
        <f>'[12]CNF-GUELPHHYDRO_ST-P-F_20171130'!$X$63*1000</f>
        <v>139160991</v>
      </c>
      <c r="C18" s="29">
        <f>'[12]CNF-GUELPHHYDRO_ST-P-F_20171130'!$Y$62*1000</f>
        <v>973670</v>
      </c>
      <c r="D18" s="29">
        <f>'[12]CNF-GUELPHHYDRO_ST-P-F_20171130'!$X$60*1000</f>
        <v>64325888.000000007</v>
      </c>
      <c r="E18" s="2">
        <f t="shared" si="2"/>
        <v>75808773</v>
      </c>
      <c r="F18" s="30">
        <v>9.7040000000000001E-2</v>
      </c>
      <c r="G18" s="4">
        <f t="shared" si="0"/>
        <v>7356483.3319199998</v>
      </c>
      <c r="H18" s="31">
        <v>7388919.9900000002</v>
      </c>
      <c r="I18" s="11">
        <f t="shared" si="3"/>
        <v>32436.65808000043</v>
      </c>
      <c r="J18" t="str">
        <f t="shared" si="1"/>
        <v>Overcharged</v>
      </c>
      <c r="K18" s="69">
        <f>'[2]2.RPP True-up'!D49</f>
        <v>37623448.840000011</v>
      </c>
      <c r="L18" s="70">
        <f t="shared" si="4"/>
        <v>0.49629412733009159</v>
      </c>
      <c r="M18" s="11">
        <f t="shared" si="5"/>
        <v>16098.122915318378</v>
      </c>
      <c r="N18" s="11">
        <f t="shared" si="6"/>
        <v>16338.535164682053</v>
      </c>
      <c r="Q18" s="6">
        <v>43040</v>
      </c>
      <c r="R18" s="19">
        <v>0.11164</v>
      </c>
      <c r="S18" s="19">
        <v>9.6689999999999998E-2</v>
      </c>
      <c r="T18" s="19">
        <v>9.7040000000000001E-2</v>
      </c>
    </row>
    <row r="19" spans="1:20" ht="15.75">
      <c r="A19" s="6">
        <v>43070</v>
      </c>
      <c r="B19" s="29">
        <f>'[13]CNF-GUELPHHYDRO_ST-P-F_20171231'!$X$59*1000</f>
        <v>139368541</v>
      </c>
      <c r="C19" s="29">
        <f>'[13]CNF-GUELPHHYDRO_ST-P-F_20171231'!$Y$57*1000</f>
        <v>512620</v>
      </c>
      <c r="D19" s="29">
        <f>'[13]CNF-GUELPHHYDRO_ST-P-F_20171231'!$X$55*1000</f>
        <v>56490687.999999993</v>
      </c>
      <c r="E19" s="2">
        <f t="shared" si="2"/>
        <v>83390473</v>
      </c>
      <c r="F19" s="30">
        <v>9.2069999999999999E-2</v>
      </c>
      <c r="G19" s="4">
        <f t="shared" si="0"/>
        <v>7677760.8491099998</v>
      </c>
      <c r="H19" s="31">
        <v>7685017.0099999998</v>
      </c>
      <c r="I19" s="11">
        <f t="shared" si="3"/>
        <v>7256.160889999941</v>
      </c>
      <c r="J19" t="str">
        <f t="shared" si="1"/>
        <v>Overcharged</v>
      </c>
      <c r="K19" s="69">
        <f>'[2]2.RPP True-up'!D50</f>
        <v>46582777.969999999</v>
      </c>
      <c r="L19" s="70">
        <f t="shared" si="4"/>
        <v>0.55861030995710981</v>
      </c>
      <c r="M19" s="11">
        <f t="shared" si="5"/>
        <v>4053.3662838615246</v>
      </c>
      <c r="N19" s="11">
        <f t="shared" si="6"/>
        <v>3202.7946061384164</v>
      </c>
      <c r="Q19" s="6">
        <v>43070</v>
      </c>
      <c r="R19" s="19">
        <v>8.3909999999999998E-2</v>
      </c>
      <c r="S19" s="19">
        <v>9.6689999999999998E-2</v>
      </c>
      <c r="T19" s="19">
        <v>9.2069999999999999E-2</v>
      </c>
    </row>
    <row r="20" spans="1:20" ht="15.75">
      <c r="A20" s="6" t="s">
        <v>94</v>
      </c>
      <c r="B20" s="29"/>
      <c r="C20" s="29"/>
      <c r="D20" s="29"/>
      <c r="E20" s="2">
        <f>G63</f>
        <v>-1298.0000000149012</v>
      </c>
      <c r="F20" s="71">
        <f>F19</f>
        <v>9.2069999999999999E-2</v>
      </c>
      <c r="G20" s="72"/>
      <c r="H20" s="73"/>
      <c r="I20" s="74">
        <f>E20*F20</f>
        <v>-119.50686000137195</v>
      </c>
      <c r="J20" t="str">
        <f t="shared" si="1"/>
        <v>Undercharged</v>
      </c>
      <c r="K20" s="69"/>
      <c r="L20" s="75">
        <f>L19</f>
        <v>0.55861030995710981</v>
      </c>
      <c r="M20" s="11">
        <f t="shared" si="5"/>
        <v>-66.757764107367308</v>
      </c>
      <c r="N20" s="74">
        <f t="shared" si="6"/>
        <v>-52.74909589400464</v>
      </c>
      <c r="Q20" s="76"/>
      <c r="R20" s="77"/>
      <c r="S20" s="77"/>
      <c r="T20" s="77"/>
    </row>
    <row r="21" spans="1:20" ht="15.75">
      <c r="A21" s="14" t="s">
        <v>6</v>
      </c>
      <c r="B21" s="15">
        <f>SUM(B8:B19)</f>
        <v>1648240219</v>
      </c>
      <c r="C21" s="15">
        <f t="shared" ref="C21:H21" si="7">SUM(C8:C19)</f>
        <v>14153684</v>
      </c>
      <c r="D21" s="15">
        <f t="shared" si="7"/>
        <v>577691088</v>
      </c>
      <c r="E21" s="15">
        <f>SUM(E8:E20)</f>
        <v>1084701517</v>
      </c>
      <c r="F21" s="57"/>
      <c r="G21" s="80">
        <f>SUM(G8:G19)</f>
        <v>108089651.46096998</v>
      </c>
      <c r="H21" s="80">
        <f t="shared" si="7"/>
        <v>108494940.22999999</v>
      </c>
      <c r="I21" s="81">
        <f>SUM(I8:I20)</f>
        <v>405169.26217000338</v>
      </c>
      <c r="J21" t="str">
        <f t="shared" si="1"/>
        <v>Overcharged</v>
      </c>
      <c r="K21" s="15">
        <f>SUM(K8:K19)</f>
        <v>508632593.69000006</v>
      </c>
      <c r="L21" s="58"/>
      <c r="M21" s="80">
        <f>SUM(M8:M20)</f>
        <v>-414492.76489347266</v>
      </c>
      <c r="N21" s="80">
        <f>SUM(N8:N20)</f>
        <v>819662.02706347615</v>
      </c>
    </row>
    <row r="22" spans="1:20" s="66" customFormat="1" ht="15.75">
      <c r="A22" s="63"/>
      <c r="B22" s="64"/>
      <c r="C22" s="64"/>
      <c r="D22" s="64"/>
      <c r="E22" s="64"/>
      <c r="F22" s="64"/>
      <c r="G22" s="65"/>
      <c r="H22" s="65"/>
      <c r="I22" s="65"/>
    </row>
    <row r="23" spans="1:20" s="66" customFormat="1" ht="16.5" thickBot="1">
      <c r="A23" s="63"/>
      <c r="B23" s="64"/>
      <c r="C23" s="64"/>
      <c r="D23" s="64"/>
      <c r="E23" s="64"/>
      <c r="F23" s="64" t="s">
        <v>86</v>
      </c>
      <c r="G23" s="65"/>
      <c r="H23" s="65"/>
      <c r="I23" s="65"/>
    </row>
    <row r="24" spans="1:20" ht="16.5" thickBot="1">
      <c r="F24" s="82" t="s">
        <v>85</v>
      </c>
      <c r="G24" s="83"/>
      <c r="H24" s="81">
        <f>+I21</f>
        <v>405169.26217000338</v>
      </c>
    </row>
    <row r="25" spans="1:20" ht="15.75">
      <c r="A25" s="9" t="s">
        <v>67</v>
      </c>
      <c r="F25" s="59" t="s">
        <v>83</v>
      </c>
      <c r="G25" s="61"/>
      <c r="H25" s="78">
        <f>+M21</f>
        <v>-414492.76489347266</v>
      </c>
      <c r="I25" t="s">
        <v>95</v>
      </c>
    </row>
    <row r="26" spans="1:20" ht="16.5" thickBot="1">
      <c r="A26" t="s">
        <v>19</v>
      </c>
      <c r="F26" s="60" t="s">
        <v>84</v>
      </c>
      <c r="G26" s="62"/>
      <c r="H26" s="79">
        <f>+N21</f>
        <v>819662.02706347615</v>
      </c>
    </row>
    <row r="27" spans="1:20">
      <c r="A27" s="16" t="s">
        <v>20</v>
      </c>
    </row>
    <row r="28" spans="1:20">
      <c r="A28" s="35"/>
    </row>
    <row r="29" spans="1:20" s="17" customFormat="1" ht="31.5">
      <c r="A29" s="18"/>
      <c r="B29" s="3" t="s">
        <v>21</v>
      </c>
      <c r="C29" s="3" t="s">
        <v>79</v>
      </c>
      <c r="D29" s="3" t="s">
        <v>22</v>
      </c>
      <c r="E29" s="3" t="s">
        <v>25</v>
      </c>
      <c r="F29" s="3" t="s">
        <v>23</v>
      </c>
      <c r="G29" s="3" t="s">
        <v>18</v>
      </c>
      <c r="H29" s="49"/>
      <c r="I29" s="50"/>
    </row>
    <row r="30" spans="1:20" s="17" customFormat="1" ht="15.75">
      <c r="A30" s="18"/>
      <c r="B30" s="3" t="s">
        <v>9</v>
      </c>
      <c r="C30" s="3" t="s">
        <v>3</v>
      </c>
      <c r="D30" s="3" t="s">
        <v>10</v>
      </c>
      <c r="E30" s="3" t="s">
        <v>11</v>
      </c>
      <c r="F30" s="3" t="s">
        <v>15</v>
      </c>
      <c r="G30" s="3" t="s">
        <v>24</v>
      </c>
      <c r="H30" s="49"/>
      <c r="I30" s="50"/>
      <c r="N30" s="6">
        <v>42736</v>
      </c>
      <c r="O30" s="24" t="s">
        <v>26</v>
      </c>
      <c r="P30" s="32" t="s">
        <v>60</v>
      </c>
      <c r="Q30" s="32" t="s">
        <v>61</v>
      </c>
      <c r="R30"/>
      <c r="S30"/>
    </row>
    <row r="31" spans="1:20" ht="15.75">
      <c r="A31" s="6">
        <v>42736</v>
      </c>
      <c r="B31" s="38">
        <f>-('[14]CNF-GUELPHHYDRO_ST-P-P_20170131'!$F$39)</f>
        <v>9419115.4399999995</v>
      </c>
      <c r="C31" s="38">
        <f>-('[15]CNF-GUELPHHYDRO_ST-P-F_20161231'!$F$57+'[15]CNF-GUELPHHYDRO_ST-P-F_20161231'!$F$58+'[15]CNF-GUELPHHYDRO_ST-P-F_20161231'!$F$359)</f>
        <v>9487000.4899999984</v>
      </c>
      <c r="D31" s="38">
        <f>-('[16]CNF-GUELPHHYDRO_ST-P-P_20161231'!$F$40+'[16]CNF-GUELPHHYDRO_ST-P-P_20161231'!$F$319)</f>
        <v>9536102.0399999991</v>
      </c>
      <c r="E31" s="39">
        <f>B31+C31-D31</f>
        <v>9370013.8900000006</v>
      </c>
      <c r="F31" s="38">
        <v>9370013.8900000006</v>
      </c>
      <c r="G31" s="39">
        <f t="shared" ref="G31:G42" si="8">E31-F31</f>
        <v>0</v>
      </c>
      <c r="H31" s="51"/>
      <c r="I31" s="52"/>
      <c r="N31" s="6">
        <v>42767</v>
      </c>
      <c r="O31" s="24" t="s">
        <v>27</v>
      </c>
      <c r="P31" t="s">
        <v>29</v>
      </c>
      <c r="Q31" s="24" t="s">
        <v>30</v>
      </c>
      <c r="S31" s="24" t="s">
        <v>59</v>
      </c>
    </row>
    <row r="32" spans="1:20" ht="15.75">
      <c r="A32" s="6">
        <v>42767</v>
      </c>
      <c r="B32" s="38">
        <f>-('[17]CNF-GUELPHHYDRO_ST-P-P_20170228'!$F$39)</f>
        <v>8684680.2100000009</v>
      </c>
      <c r="C32" s="38">
        <f>-('[1]CNF-GUELPHHYDRO_ST-P-F_20170131'!$F$55+'[1]CNF-GUELPHHYDRO_ST-P-F_20170131'!$F$56)</f>
        <v>9418883.2299999986</v>
      </c>
      <c r="D32" s="38">
        <f>B31</f>
        <v>9419115.4399999995</v>
      </c>
      <c r="E32" s="39">
        <f t="shared" ref="E32:E42" si="9">B32+C32-D32</f>
        <v>8684447.9999999981</v>
      </c>
      <c r="F32" s="38">
        <v>8684448</v>
      </c>
      <c r="G32" s="39">
        <f t="shared" si="8"/>
        <v>0</v>
      </c>
      <c r="H32" s="51"/>
      <c r="I32" s="52"/>
      <c r="N32" s="6">
        <v>42795</v>
      </c>
      <c r="O32" s="24" t="s">
        <v>31</v>
      </c>
      <c r="P32" t="s">
        <v>33</v>
      </c>
      <c r="Q32" s="24" t="s">
        <v>34</v>
      </c>
    </row>
    <row r="33" spans="1:17" ht="15.75">
      <c r="A33" s="6">
        <v>42795</v>
      </c>
      <c r="B33" s="38">
        <f>-('[18]CNF-GUELPHHYDRO_ST-P-P_20170331'!$F$41+'[18]CNF-GUELPHHYDRO_ST-P-P_20170331'!$F$366)</f>
        <v>7950979.7699999996</v>
      </c>
      <c r="C33" s="38">
        <f>-('[3]CNF-GUELPHHYDRO_ST-P-F_20170228'!$F$56+'[3]CNF-GUELPHHYDRO_ST-P-F_20170228'!$F$57)</f>
        <v>8684758.7100000009</v>
      </c>
      <c r="D33" s="38">
        <f t="shared" ref="D33:D42" si="10">B32</f>
        <v>8684680.2100000009</v>
      </c>
      <c r="E33" s="39">
        <f t="shared" si="9"/>
        <v>7951058.2699999996</v>
      </c>
      <c r="F33" s="38">
        <v>7951058.2699999996</v>
      </c>
      <c r="G33" s="39">
        <f t="shared" si="8"/>
        <v>0</v>
      </c>
      <c r="H33" s="51"/>
      <c r="I33" s="52"/>
      <c r="N33" s="6">
        <v>42826</v>
      </c>
      <c r="O33" s="24" t="s">
        <v>35</v>
      </c>
      <c r="P33" t="s">
        <v>32</v>
      </c>
      <c r="Q33" s="24" t="s">
        <v>36</v>
      </c>
    </row>
    <row r="34" spans="1:17" ht="15.75">
      <c r="A34" s="6">
        <v>42826</v>
      </c>
      <c r="B34" s="38">
        <f>-('[19]CNF-GUELPHHYDRO_ST-P-P_20170430'!$F$40+'[19]CNF-GUELPHHYDRO_ST-P-P_20170430'!$F$347+'[19]CNF-GUELPHHYDRO_ST-P-P_20170430'!$F$348+'[19]CNF-GUELPHHYDRO_ST-P-P_20170430'!$F$349)</f>
        <v>10308402.400000002</v>
      </c>
      <c r="C34" s="38">
        <f>-('[4]CNF-GUELPHHYDRO_ST-P-F_20170331'!$F$57+'[4]CNF-GUELPHHYDRO_ST-P-F_20170331'!$F$58+'[4]CNF-GUELPHHYDRO_ST-P-F_20170331'!$F$424)</f>
        <v>7951012.5099999998</v>
      </c>
      <c r="D34" s="38">
        <f t="shared" si="10"/>
        <v>7950979.7699999996</v>
      </c>
      <c r="E34" s="39">
        <f t="shared" si="9"/>
        <v>10308435.140000004</v>
      </c>
      <c r="F34" s="38">
        <v>10308435.140000001</v>
      </c>
      <c r="G34" s="39">
        <f t="shared" si="8"/>
        <v>0</v>
      </c>
      <c r="H34" s="51"/>
      <c r="I34" s="52"/>
      <c r="N34" s="6">
        <v>42856</v>
      </c>
      <c r="O34" s="24" t="s">
        <v>28</v>
      </c>
      <c r="P34" t="s">
        <v>37</v>
      </c>
      <c r="Q34" s="24" t="s">
        <v>38</v>
      </c>
    </row>
    <row r="35" spans="1:17" ht="15.75">
      <c r="A35" s="6">
        <v>42856</v>
      </c>
      <c r="B35" s="38">
        <f>-('[20]CNF-GUELPHHYDRO_ST-P-P_20170531'!$F$40+'[20]CNF-GUELPHHYDRO_ST-P-P_20170531'!$F$313)</f>
        <v>12292626.41</v>
      </c>
      <c r="C35" s="38">
        <f>-('[5]CNF-GUELPHHYDRO_ST-P-F_20170430'!$F$56+'[5]CNF-GUELPHHYDRO_ST-P-F_20170430'!$F$57+'[5]CNF-GUELPHHYDRO_ST-P-F_20170430'!$F$392+'[5]CNF-GUELPHHYDRO_ST-P-F_20170430'!$F$393+'[5]CNF-GUELPHHYDRO_ST-P-F_20170430'!$F$394+'[5]CNF-GUELPHHYDRO_ST-P-F_20170430'!$F$395)</f>
        <v>10326208.400000002</v>
      </c>
      <c r="D35" s="38">
        <f t="shared" si="10"/>
        <v>10308402.400000002</v>
      </c>
      <c r="E35" s="39">
        <f t="shared" si="9"/>
        <v>12310432.41</v>
      </c>
      <c r="F35" s="38">
        <v>12310432.41</v>
      </c>
      <c r="G35" s="39">
        <f t="shared" si="8"/>
        <v>0</v>
      </c>
      <c r="H35" s="51"/>
      <c r="I35" s="52"/>
      <c r="N35" s="6">
        <v>42887</v>
      </c>
      <c r="O35" s="24" t="s">
        <v>39</v>
      </c>
      <c r="P35" t="s">
        <v>40</v>
      </c>
      <c r="Q35" s="24" t="s">
        <v>41</v>
      </c>
    </row>
    <row r="36" spans="1:17" ht="15.75">
      <c r="A36" s="6">
        <v>42887</v>
      </c>
      <c r="B36" s="38">
        <f>-('[21]CNF-GUELPHHYDRO_ST-P-P_20170630'!$F$38+'[21]CNF-GUELPHHYDRO_ST-P-P_20170630'!$F$350+'[21]CNF-GUELPHHYDRO_ST-P-P_20170630'!$F$351)</f>
        <v>16083384.110000001</v>
      </c>
      <c r="C36" s="38">
        <f>-('[6]CNF-GUELPHHYDRO_ST-P-F_20170531'!$F$61+'[6]CNF-GUELPHHYDRO_ST-P-F_20170531'!$F$62+'[6]CNF-GUELPHHYDRO_ST-P-F_20170531'!$F$413)</f>
        <v>12293140.720000001</v>
      </c>
      <c r="D36" s="38">
        <f t="shared" si="10"/>
        <v>12292626.41</v>
      </c>
      <c r="E36" s="39">
        <f t="shared" si="9"/>
        <v>16083898.420000002</v>
      </c>
      <c r="F36" s="38">
        <v>16083898.42</v>
      </c>
      <c r="G36" s="39">
        <f t="shared" si="8"/>
        <v>0</v>
      </c>
      <c r="H36" s="51"/>
      <c r="I36" s="52"/>
      <c r="N36" s="6">
        <v>42917</v>
      </c>
      <c r="O36" s="24" t="s">
        <v>42</v>
      </c>
      <c r="P36" t="s">
        <v>43</v>
      </c>
      <c r="Q36" s="24" t="s">
        <v>44</v>
      </c>
    </row>
    <row r="37" spans="1:17" ht="15.75">
      <c r="A37" s="6">
        <v>42917</v>
      </c>
      <c r="B37" s="38">
        <f>-('[22]CNF-GUELPHHYDRO_ST-P-P_20170731'!$F$39+'[22]CNF-GUELPHHYDRO_ST-P-P_20170731'!$F$363+'[22]CNF-GUELPHHYDRO_ST-P-P_20170731'!$F$364)</f>
        <v>8172682.4199999999</v>
      </c>
      <c r="C37" s="38">
        <f>-('[7]CNF-GUELPHHYDRO_ST-P-F_20170630'!$F$58+'[7]CNF-GUELPHHYDRO_ST-P-F_20170630'!$F$59+'[7]CNF-GUELPHHYDRO_ST-P-F_20170630'!$F$442+'[7]CNF-GUELPHHYDRO_ST-P-F_20170630'!$F$443+'[7]CNF-GUELPHHYDRO_ST-P-F_20170630'!$F$444)</f>
        <v>13179078.9</v>
      </c>
      <c r="D37" s="38">
        <f t="shared" si="10"/>
        <v>16083384.110000001</v>
      </c>
      <c r="E37" s="39">
        <f t="shared" si="9"/>
        <v>5268377.209999999</v>
      </c>
      <c r="F37" s="38">
        <v>5268377.21</v>
      </c>
      <c r="G37" s="39">
        <f t="shared" si="8"/>
        <v>0</v>
      </c>
      <c r="H37" s="51"/>
      <c r="I37" s="52"/>
      <c r="N37" s="6">
        <v>42948</v>
      </c>
      <c r="O37" s="24" t="s">
        <v>45</v>
      </c>
      <c r="P37" t="s">
        <v>46</v>
      </c>
      <c r="Q37" s="24" t="s">
        <v>47</v>
      </c>
    </row>
    <row r="38" spans="1:17" ht="15.75">
      <c r="A38" s="6">
        <v>42948</v>
      </c>
      <c r="B38" s="38">
        <f>-('[23]CNF-GUELPHHYDRO_ST-P-P_20170831'!$F$38+'[23]CNF-GUELPHHYDRO_ST-P-P_20170831'!$F$311+'[23]CNF-GUELPHHYDRO_ST-P-P_20170831'!$F$312)</f>
        <v>7578176.5599999996</v>
      </c>
      <c r="C38" s="38">
        <f>-('[8]CNF-GUELPHHYDRO_ST-P-F_20170731'!$F$55+'[8]CNF-GUELPHHYDRO_ST-P-F_20170731'!$F$56+'[8]CNF-GUELPHHYDRO_ST-P-F_20170731'!$F$456+'[8]CNF-GUELPHHYDRO_ST-P-F_20170731'!$F$457)</f>
        <v>8172726.9000000004</v>
      </c>
      <c r="D38" s="38">
        <f t="shared" si="10"/>
        <v>8172682.4199999999</v>
      </c>
      <c r="E38" s="39">
        <f t="shared" si="9"/>
        <v>7578221.040000001</v>
      </c>
      <c r="F38" s="38">
        <v>7578221.04</v>
      </c>
      <c r="G38" s="39">
        <f t="shared" si="8"/>
        <v>0</v>
      </c>
      <c r="H38" s="51"/>
      <c r="I38" s="52"/>
      <c r="N38" s="6">
        <v>42979</v>
      </c>
      <c r="O38" s="24" t="s">
        <v>48</v>
      </c>
      <c r="P38" t="s">
        <v>49</v>
      </c>
      <c r="Q38" s="24" t="s">
        <v>50</v>
      </c>
    </row>
    <row r="39" spans="1:17" ht="15.75">
      <c r="A39" s="6">
        <v>42979</v>
      </c>
      <c r="B39" s="38">
        <f>-('[24]CNF-GUELPHHYDRO_ST-P-P_20170930'!$F$40+'[24]CNF-GUELPHHYDRO_ST-P-P_20170930'!$F$356+'[24]CNF-GUELPHHYDRO_ST-P-P_20170930'!$F$357)</f>
        <v>6622091.54</v>
      </c>
      <c r="C39" s="38">
        <f>-('[9]CNF-GUELPHHYDRO_ST-P-F_20170831'!$F$58+'[9]CNF-GUELPHHYDRO_ST-P-F_20170831'!$F$59+'[9]CNF-GUELPHHYDRO_ST-P-F_20170831'!$F$411+'[9]CNF-GUELPHHYDRO_ST-P-F_20170831'!$F$412)</f>
        <v>7578999.1199999992</v>
      </c>
      <c r="D39" s="38">
        <f t="shared" si="10"/>
        <v>7578176.5599999996</v>
      </c>
      <c r="E39" s="39">
        <f t="shared" si="9"/>
        <v>6622914.1000000006</v>
      </c>
      <c r="F39" s="38">
        <v>6622914.0999999996</v>
      </c>
      <c r="G39" s="39">
        <f t="shared" si="8"/>
        <v>0</v>
      </c>
      <c r="H39" s="51"/>
      <c r="I39" s="52"/>
      <c r="N39" s="6">
        <v>43009</v>
      </c>
      <c r="O39" s="24" t="s">
        <v>51</v>
      </c>
      <c r="P39" t="s">
        <v>52</v>
      </c>
      <c r="Q39" s="24" t="s">
        <v>53</v>
      </c>
    </row>
    <row r="40" spans="1:17" ht="15.75">
      <c r="A40" s="6">
        <v>43009</v>
      </c>
      <c r="B40" s="38">
        <f>-('[25]CNF-GUELPHHYDRO_ST-P-P_20171031'!$F$40+'[25]CNF-GUELPHHYDRO_ST-P-P_20171031'!$F$323+'[25]CNF-GUELPHHYDRO_ST-P-P_20171031'!$F$324)</f>
        <v>9243457.2200000007</v>
      </c>
      <c r="C40" s="38">
        <f>-('[10]CNF-GUELPHHYDRO_ST-P-F_20170930'!$F$53+'[10]CNF-GUELPHHYDRO_ST-P-F_20170930'!$F$54+'[10]CNF-GUELPHHYDRO_ST-P-F_20170930'!$F$382+'[10]CNF-GUELPHHYDRO_ST-P-F_20170930'!$F$383+'[10]CNF-GUELPHHYDRO_ST-P-F_20170930'!$F$384)</f>
        <v>6621839.0699999994</v>
      </c>
      <c r="D40" s="38">
        <f t="shared" si="10"/>
        <v>6622091.54</v>
      </c>
      <c r="E40" s="39">
        <f t="shared" si="9"/>
        <v>9243204.75</v>
      </c>
      <c r="F40" s="38">
        <v>9243204.75</v>
      </c>
      <c r="G40" s="39">
        <f t="shared" si="8"/>
        <v>0</v>
      </c>
      <c r="H40" s="51"/>
      <c r="I40" s="52"/>
      <c r="N40" s="6">
        <v>43040</v>
      </c>
      <c r="O40" s="24" t="s">
        <v>54</v>
      </c>
      <c r="P40" t="s">
        <v>55</v>
      </c>
      <c r="Q40" s="24" t="s">
        <v>56</v>
      </c>
    </row>
    <row r="41" spans="1:17" ht="15.75">
      <c r="A41" s="6">
        <v>43040</v>
      </c>
      <c r="B41" s="38">
        <f>-('[26]CNF-GUELPHHYDRO_ST-P-P_20171130'!$F$42+'[26]CNF-GUELPHHYDRO_ST-P-P_20171130'!$F$332+'[26]CNF-GUELPHHYDRO_ST-P-P_20171130'!$F$333)</f>
        <v>7387033.5399999991</v>
      </c>
      <c r="C41" s="38">
        <f>-('[11]CNF-GUELPHHYDRO_ST-P-F_20171031'!$F$60+'[11]CNF-GUELPHHYDRO_ST-P-F_20171031'!$F$61+'[11]CNF-GUELPHHYDRO_ST-P-F_20171031'!$F$464+'[11]CNF-GUELPHHYDRO_ST-P-F_20171031'!$F$465+'[11]CNF-GUELPHHYDRO_ST-P-F_20171031'!$F$466)</f>
        <v>9245343.6699999999</v>
      </c>
      <c r="D41" s="38">
        <f t="shared" si="10"/>
        <v>9243457.2200000007</v>
      </c>
      <c r="E41" s="39">
        <f t="shared" si="9"/>
        <v>7388919.9899999984</v>
      </c>
      <c r="F41" s="38">
        <v>7388919.9900000002</v>
      </c>
      <c r="G41" s="39">
        <f t="shared" si="8"/>
        <v>0</v>
      </c>
      <c r="H41" s="51"/>
      <c r="I41" s="52"/>
      <c r="N41" s="6">
        <v>43070</v>
      </c>
      <c r="O41" s="25" t="s">
        <v>62</v>
      </c>
      <c r="P41" s="25" t="s">
        <v>57</v>
      </c>
      <c r="Q41" s="26" t="s">
        <v>58</v>
      </c>
    </row>
    <row r="42" spans="1:17" ht="15.75">
      <c r="A42" s="6">
        <v>43070</v>
      </c>
      <c r="B42" s="38">
        <f>-('[27]CNF-GUELPHHYDRO_ST-P-P_20171231'!$F$42+'[27]CNF-GUELPHHYDRO_ST-P-P_20171231'!$F$350+'[27]CNF-GUELPHHYDRO_ST-P-P_20171231'!$F$351+'[27]CNF-GUELPHHYDRO_ST-P-P_20171231'!$F$352+'[27]CNF-GUELPHHYDRO_ST-P-P_20171231'!$F$353+'[27]CNF-GUELPHHYDRO_ST-P-P_20171231'!$F$354+'[27]CNF-GUELPHHYDRO_ST-P-P_20171231'!$F$355+'[27]CNF-GUELPHHYDRO_ST-P-P_20171231'!$F$356+'[27]CNF-GUELPHHYDRO_ST-P-P_20171231'!$F$357)</f>
        <v>7684878.7399999993</v>
      </c>
      <c r="C42" s="38">
        <f>-('[12]CNF-GUELPHHYDRO_ST-P-F_20171130'!$F$61+'[12]CNF-GUELPHHYDRO_ST-P-F_20171130'!$F$62+'[12]CNF-GUELPHHYDRO_ST-P-F_20171130'!$F$372+'[12]CNF-GUELPHHYDRO_ST-P-F_20171130'!$F$373+'[12]CNF-GUELPHHYDRO_ST-P-F_20171130'!$F$374)</f>
        <v>7387171.8099999996</v>
      </c>
      <c r="D42" s="38">
        <f t="shared" si="10"/>
        <v>7387033.5399999991</v>
      </c>
      <c r="E42" s="39">
        <f t="shared" si="9"/>
        <v>7685017.0099999998</v>
      </c>
      <c r="F42" s="38">
        <v>7685017.0099999998</v>
      </c>
      <c r="G42" s="39">
        <f t="shared" si="8"/>
        <v>0</v>
      </c>
      <c r="H42" s="51"/>
      <c r="I42" s="52"/>
      <c r="N42" s="22" t="s">
        <v>63</v>
      </c>
    </row>
    <row r="43" spans="1:17" s="22" customFormat="1" ht="15.75">
      <c r="A43" s="14" t="s">
        <v>6</v>
      </c>
      <c r="B43" s="40">
        <f>SUM(B31:B42)</f>
        <v>111427508.36</v>
      </c>
      <c r="C43" s="40">
        <f t="shared" ref="C43:E43" si="11">SUM(C31:C42)</f>
        <v>110346163.53000002</v>
      </c>
      <c r="D43" s="40">
        <f t="shared" si="11"/>
        <v>113278731.66</v>
      </c>
      <c r="E43" s="40">
        <f t="shared" si="11"/>
        <v>108494940.23</v>
      </c>
      <c r="F43" s="41">
        <f>SUM(F31:F42)</f>
        <v>108494940.22999999</v>
      </c>
      <c r="G43" s="41">
        <f>SUM(G31:G42)</f>
        <v>0</v>
      </c>
      <c r="H43" s="53"/>
      <c r="I43" s="54"/>
      <c r="N43" s="37">
        <f>SUM(C32:C42)+B42+C31-D31</f>
        <v>108494940.22999999</v>
      </c>
    </row>
    <row r="44" spans="1:17">
      <c r="F44" s="48"/>
      <c r="G44" s="34"/>
      <c r="H44" s="51"/>
      <c r="I44" s="55"/>
    </row>
    <row r="45" spans="1:17" ht="15.75">
      <c r="A45" s="9" t="s">
        <v>69</v>
      </c>
      <c r="F45" s="48"/>
      <c r="G45" s="48"/>
      <c r="H45" s="51"/>
      <c r="I45" s="55"/>
    </row>
    <row r="46" spans="1:17">
      <c r="F46" s="48"/>
      <c r="G46" s="34"/>
      <c r="H46" s="56"/>
      <c r="I46" s="55"/>
    </row>
    <row r="47" spans="1:17" ht="63">
      <c r="A47" s="18"/>
      <c r="B47" s="3" t="s">
        <v>70</v>
      </c>
      <c r="C47" s="3" t="s">
        <v>80</v>
      </c>
      <c r="D47" s="3" t="s">
        <v>71</v>
      </c>
      <c r="E47" s="3" t="s">
        <v>72</v>
      </c>
      <c r="F47" s="1" t="s">
        <v>73</v>
      </c>
      <c r="G47" s="33" t="s">
        <v>78</v>
      </c>
    </row>
    <row r="48" spans="1:17" ht="15.75">
      <c r="A48" s="18"/>
      <c r="B48" s="3" t="s">
        <v>9</v>
      </c>
      <c r="C48" s="3" t="s">
        <v>3</v>
      </c>
      <c r="D48" s="3" t="s">
        <v>10</v>
      </c>
      <c r="E48" s="3" t="s">
        <v>11</v>
      </c>
      <c r="F48" s="33" t="s">
        <v>15</v>
      </c>
      <c r="G48" s="33" t="s">
        <v>74</v>
      </c>
    </row>
    <row r="49" spans="1:8" ht="15.75">
      <c r="A49" s="6">
        <v>42736</v>
      </c>
      <c r="B49" s="23">
        <f>('[14]CNF-GUELPHHYDRO_ST-P-P_20170131'!$X$39+'[14]CNF-GUELPHHYDRO_ST-P-P_20170131'!$Y$39)*1000</f>
        <v>113873689</v>
      </c>
      <c r="C49" s="23">
        <f>('[15]CNF-GUELPHHYDRO_ST-P-F_20161231'!$X$58+'[15]CNF-GUELPHHYDRO_ST-P-F_20161231'!$Y$58)*1000</f>
        <v>109545655</v>
      </c>
      <c r="D49" s="23">
        <f>('[16]CNF-GUELPHHYDRO_ST-P-P_20161231'!$X$40+'[16]CNF-GUELPHHYDRO_ST-P-P_20161231'!$Y$40)*1000</f>
        <v>109545655</v>
      </c>
      <c r="E49" s="20">
        <f>B49+C49-D49</f>
        <v>113873689</v>
      </c>
      <c r="F49" s="42">
        <f t="shared" ref="F49:F60" si="12">E8</f>
        <v>113873689</v>
      </c>
      <c r="G49" s="43">
        <f t="shared" ref="G49:G61" si="13">E49-F49</f>
        <v>0</v>
      </c>
    </row>
    <row r="50" spans="1:8" ht="15.75">
      <c r="A50" s="6">
        <v>42767</v>
      </c>
      <c r="B50" s="23">
        <f>('[17]CNF-GUELPHHYDRO_ST-P-P_20170228'!$X$39+'[17]CNF-GUELPHHYDRO_ST-P-P_20170228'!$Y$39)*1000</f>
        <v>100524737</v>
      </c>
      <c r="C50" s="23">
        <f t="shared" ref="C50:C60" si="14">E8</f>
        <v>113873689</v>
      </c>
      <c r="D50" s="23">
        <f>B49</f>
        <v>113873689</v>
      </c>
      <c r="E50" s="20">
        <f t="shared" ref="E50:E63" si="15">B50+C50-D50</f>
        <v>100524737</v>
      </c>
      <c r="F50" s="42">
        <f t="shared" si="12"/>
        <v>100524737</v>
      </c>
      <c r="G50" s="43">
        <f t="shared" si="13"/>
        <v>0</v>
      </c>
    </row>
    <row r="51" spans="1:8" ht="15.75">
      <c r="A51" s="6">
        <v>42795</v>
      </c>
      <c r="B51" s="23">
        <f>('[18]CNF-GUELPHHYDRO_ST-P-P_20170331'!$X$41+'[18]CNF-GUELPHHYDRO_ST-P-P_20170331'!$Y$41)*1000</f>
        <v>111440160</v>
      </c>
      <c r="C51" s="23">
        <f t="shared" si="14"/>
        <v>100524737</v>
      </c>
      <c r="D51" s="23">
        <f t="shared" ref="D51:D60" si="16">B50</f>
        <v>100524737</v>
      </c>
      <c r="E51" s="20">
        <f t="shared" si="15"/>
        <v>111440160</v>
      </c>
      <c r="F51" s="42">
        <f t="shared" si="12"/>
        <v>111440160</v>
      </c>
      <c r="G51" s="43">
        <f t="shared" si="13"/>
        <v>0</v>
      </c>
    </row>
    <row r="52" spans="1:8" ht="15.75">
      <c r="A52" s="6">
        <v>42826</v>
      </c>
      <c r="B52" s="23">
        <f>('[19]CNF-GUELPHHYDRO_ST-P-P_20170430'!$X$40+'[19]CNF-GUELPHHYDRO_ST-P-P_20170430'!$Y$40)*1000</f>
        <v>95635542</v>
      </c>
      <c r="C52" s="23">
        <f t="shared" si="14"/>
        <v>111440160</v>
      </c>
      <c r="D52" s="23">
        <f t="shared" si="16"/>
        <v>111440160</v>
      </c>
      <c r="E52" s="20">
        <f t="shared" si="15"/>
        <v>95635542</v>
      </c>
      <c r="F52" s="42">
        <f t="shared" si="12"/>
        <v>95635542</v>
      </c>
      <c r="G52" s="43">
        <f t="shared" si="13"/>
        <v>0</v>
      </c>
    </row>
    <row r="53" spans="1:8" ht="15.75">
      <c r="A53" s="6">
        <v>42856</v>
      </c>
      <c r="B53" s="23">
        <f>('[20]CNF-GUELPHHYDRO_ST-P-P_20170531'!$X$40+'[20]CNF-GUELPHHYDRO_ST-P-P_20170531'!$Y$40)*1000</f>
        <v>100040141</v>
      </c>
      <c r="C53" s="23">
        <f t="shared" si="14"/>
        <v>95635542</v>
      </c>
      <c r="D53" s="23">
        <f t="shared" si="16"/>
        <v>95635542</v>
      </c>
      <c r="E53" s="20">
        <f t="shared" si="15"/>
        <v>100040141</v>
      </c>
      <c r="F53" s="42">
        <f t="shared" si="12"/>
        <v>100040141</v>
      </c>
      <c r="G53" s="43">
        <f t="shared" si="13"/>
        <v>0</v>
      </c>
    </row>
    <row r="54" spans="1:8" ht="15.75">
      <c r="A54" s="6">
        <v>42887</v>
      </c>
      <c r="B54" s="23">
        <f>('[21]CNF-GUELPHHYDRO_ST-P-P_20170630'!$X$38+'[21]CNF-GUELPHHYDRO_ST-P-P_20170630'!$Y$38)*1000</f>
        <v>136095830</v>
      </c>
      <c r="C54" s="23">
        <f t="shared" si="14"/>
        <v>100040141</v>
      </c>
      <c r="D54" s="23">
        <f t="shared" si="16"/>
        <v>100040141</v>
      </c>
      <c r="E54" s="20">
        <f t="shared" si="15"/>
        <v>136095830</v>
      </c>
      <c r="F54" s="42">
        <f t="shared" si="12"/>
        <v>104314121</v>
      </c>
      <c r="G54" s="43">
        <f t="shared" si="13"/>
        <v>31781709</v>
      </c>
    </row>
    <row r="55" spans="1:8" ht="15.75">
      <c r="A55" s="6">
        <v>42917</v>
      </c>
      <c r="B55" s="23">
        <f>('[22]CNF-GUELPHHYDRO_ST-P-P_20170731'!$X$39+'[22]CNF-GUELPHHYDRO_ST-P-P_20170731'!$Y$39)*1000</f>
        <v>77162177.000000015</v>
      </c>
      <c r="C55" s="23">
        <f t="shared" si="14"/>
        <v>104314121</v>
      </c>
      <c r="D55" s="23">
        <f t="shared" si="16"/>
        <v>136095830</v>
      </c>
      <c r="E55" s="20">
        <f t="shared" si="15"/>
        <v>45380468</v>
      </c>
      <c r="F55" s="42">
        <f t="shared" si="12"/>
        <v>77162177.000000015</v>
      </c>
      <c r="G55" s="43">
        <f t="shared" si="13"/>
        <v>-31781709.000000015</v>
      </c>
    </row>
    <row r="56" spans="1:8" ht="15.75">
      <c r="A56" s="6">
        <v>42948</v>
      </c>
      <c r="B56" s="23">
        <f>('[23]CNF-GUELPHHYDRO_ST-P-P_20170831'!$X$38+'[23]CNF-GUELPHHYDRO_ST-P-P_20170831'!$Y$38)*1000</f>
        <v>74910754</v>
      </c>
      <c r="C56" s="23">
        <f t="shared" si="14"/>
        <v>77162177.000000015</v>
      </c>
      <c r="D56" s="23">
        <f t="shared" si="16"/>
        <v>77162177.000000015</v>
      </c>
      <c r="E56" s="20">
        <f t="shared" si="15"/>
        <v>74910753.999999985</v>
      </c>
      <c r="F56" s="42">
        <f t="shared" si="12"/>
        <v>74910753.999999985</v>
      </c>
      <c r="G56" s="43">
        <f t="shared" si="13"/>
        <v>0</v>
      </c>
    </row>
    <row r="57" spans="1:8" ht="15.75">
      <c r="A57" s="6">
        <v>42979</v>
      </c>
      <c r="B57" s="23">
        <f>('[24]CNF-GUELPHHYDRO_ST-P-P_20170930'!$X$40+'[24]CNF-GUELPHHYDRO_ST-P-P_20170930'!$Y$40)*1000</f>
        <v>74267007</v>
      </c>
      <c r="C57" s="23">
        <f t="shared" si="14"/>
        <v>74910753.999999985</v>
      </c>
      <c r="D57" s="23">
        <f t="shared" si="16"/>
        <v>74910754</v>
      </c>
      <c r="E57" s="20">
        <f t="shared" si="15"/>
        <v>74267007</v>
      </c>
      <c r="F57" s="42">
        <f t="shared" si="12"/>
        <v>74267006.99999997</v>
      </c>
      <c r="G57" s="43">
        <f t="shared" si="13"/>
        <v>0</v>
      </c>
    </row>
    <row r="58" spans="1:8" ht="15.75">
      <c r="A58" s="6">
        <v>43009</v>
      </c>
      <c r="B58" s="23">
        <f>('[25]CNF-GUELPHHYDRO_ST-P-P_20171031'!$X$40+'[25]CNF-GUELPHHYDRO_ST-P-P_20171031'!$Y$40)*1000</f>
        <v>73335241</v>
      </c>
      <c r="C58" s="23">
        <f t="shared" si="14"/>
        <v>74267006.99999997</v>
      </c>
      <c r="D58" s="23">
        <f t="shared" si="16"/>
        <v>74267007</v>
      </c>
      <c r="E58" s="20">
        <f t="shared" si="15"/>
        <v>73335240.99999997</v>
      </c>
      <c r="F58" s="42">
        <f t="shared" si="12"/>
        <v>73335241</v>
      </c>
      <c r="G58" s="43">
        <f t="shared" si="13"/>
        <v>0</v>
      </c>
    </row>
    <row r="59" spans="1:8" ht="15.75">
      <c r="A59" s="6">
        <v>43040</v>
      </c>
      <c r="B59" s="23">
        <f>('[26]CNF-GUELPHHYDRO_ST-P-P_20171130'!$X$42+'[26]CNF-GUELPHHYDRO_ST-P-P_20171130'!$Y$42)*1000</f>
        <v>75808773</v>
      </c>
      <c r="C59" s="23">
        <f t="shared" si="14"/>
        <v>73335241</v>
      </c>
      <c r="D59" s="23">
        <f t="shared" si="16"/>
        <v>73335241</v>
      </c>
      <c r="E59" s="20">
        <f t="shared" si="15"/>
        <v>75808773</v>
      </c>
      <c r="F59" s="42">
        <f t="shared" si="12"/>
        <v>75808773</v>
      </c>
      <c r="G59" s="43">
        <f t="shared" si="13"/>
        <v>0</v>
      </c>
    </row>
    <row r="60" spans="1:8" ht="15.75">
      <c r="A60" s="6">
        <v>43070</v>
      </c>
      <c r="B60" s="23">
        <f>('[27]CNF-GUELPHHYDRO_ST-P-P_20171231'!$X$42+'[27]CNF-GUELPHHYDRO_ST-P-P_20171231'!$Y$42)*1000</f>
        <v>83391771</v>
      </c>
      <c r="C60" s="23">
        <f t="shared" si="14"/>
        <v>75808773</v>
      </c>
      <c r="D60" s="23">
        <f t="shared" si="16"/>
        <v>75808773</v>
      </c>
      <c r="E60" s="20">
        <f t="shared" si="15"/>
        <v>83391771</v>
      </c>
      <c r="F60" s="42">
        <f t="shared" si="12"/>
        <v>83390473</v>
      </c>
      <c r="G60" s="43">
        <f t="shared" si="13"/>
        <v>1298</v>
      </c>
      <c r="H60" s="34" t="s">
        <v>82</v>
      </c>
    </row>
    <row r="61" spans="1:8" ht="15.75">
      <c r="A61" s="14" t="s">
        <v>6</v>
      </c>
      <c r="B61" s="21">
        <f>SUM(B49:B60)</f>
        <v>1116485822</v>
      </c>
      <c r="C61" s="21">
        <f t="shared" ref="C61:E61" si="17">SUM(C49:C60)</f>
        <v>1110857997</v>
      </c>
      <c r="D61" s="21">
        <f t="shared" si="17"/>
        <v>1142639706</v>
      </c>
      <c r="E61" s="21">
        <f t="shared" si="17"/>
        <v>1084704113</v>
      </c>
      <c r="F61" s="15">
        <f t="shared" ref="F61" si="18">E21</f>
        <v>1084701517</v>
      </c>
      <c r="G61" s="21">
        <f t="shared" si="13"/>
        <v>2596</v>
      </c>
    </row>
    <row r="62" spans="1:8" ht="15.75">
      <c r="A62" s="45"/>
      <c r="B62" s="46"/>
      <c r="C62" s="46"/>
      <c r="D62" s="46"/>
      <c r="E62" s="46"/>
      <c r="F62" s="47"/>
      <c r="G62" s="46"/>
    </row>
    <row r="63" spans="1:8" ht="15.75">
      <c r="A63" s="6">
        <v>43101</v>
      </c>
      <c r="B63" s="23">
        <f>('[28]Jan 2018 CNF-GUELPHHYDRO_ST-P-P'!$X$40+'[28]Jan 2018 CNF-GUELPHHYDRO_ST-P-P'!$Y$40)*1000</f>
        <v>87155863</v>
      </c>
      <c r="C63" s="23">
        <f>E19</f>
        <v>83390473</v>
      </c>
      <c r="D63" s="23">
        <f>B60</f>
        <v>83391771</v>
      </c>
      <c r="E63" s="20">
        <f t="shared" si="15"/>
        <v>87154565</v>
      </c>
      <c r="F63" s="44">
        <f>('[29]CNF-GUELPHHYDRO_ST-P-F_20180131'!$X$62+'[29]CNF-GUELPHHYDRO_ST-P-F_20180131'!$Y$60-'[29]CNF-GUELPHHYDRO_ST-P-F_20180131'!$X$58)*1000</f>
        <v>87155863.000000015</v>
      </c>
      <c r="G63" s="43">
        <f>E63-F63</f>
        <v>-1298.0000000149012</v>
      </c>
    </row>
    <row r="65" spans="7:7">
      <c r="G65" s="36"/>
    </row>
  </sheetData>
  <mergeCells count="1">
    <mergeCell ref="F24:G24"/>
  </mergeCells>
  <pageMargins left="0.7" right="0.7" top="0.75" bottom="0.75" header="0.3" footer="0.3"/>
  <pageSetup paperSize="3"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IESO Inoivce Adjustment 2017</vt:lpstr>
    </vt:vector>
  </TitlesOfParts>
  <Company>Ontario Energy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Li</dc:creator>
  <cp:lastModifiedBy>Cristina Birceanu</cp:lastModifiedBy>
  <cp:lastPrinted>2018-11-13T13:22:16Z</cp:lastPrinted>
  <dcterms:created xsi:type="dcterms:W3CDTF">2018-10-30T15:06:15Z</dcterms:created>
  <dcterms:modified xsi:type="dcterms:W3CDTF">2018-11-13T16:18:51Z</dcterms:modified>
</cp:coreProperties>
</file>